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ennotkin/Documents/world-bank/compoundriskdata/Risk_sheets/"/>
    </mc:Choice>
  </mc:AlternateContent>
  <xr:revisionPtr revIDLastSave="0" documentId="13_ncr:1_{7C2D16D6-596B-0149-A052-6FB10CEAD10F}" xr6:coauthVersionLast="46" xr6:coauthVersionMax="46" xr10:uidLastSave="{00000000-0000-0000-0000-000000000000}"/>
  <bookViews>
    <workbookView xWindow="0" yWindow="460" windowWidth="24560" windowHeight="19600" xr2:uid="{00000000-000D-0000-FFFF-FFFF00000000}"/>
  </bookViews>
  <sheets>
    <sheet name="Options" sheetId="8" r:id="rId1"/>
    <sheet name="CompoundAlert" sheetId="1" r:id="rId2"/>
    <sheet name="Health" sheetId="2" r:id="rId3"/>
    <sheet name="Food Security" sheetId="3" r:id="rId4"/>
    <sheet name="Fragility and Conflict" sheetId="4" r:id="rId5"/>
    <sheet name="Macro Fiscal" sheetId="5" r:id="rId6"/>
    <sheet name="Natural Hazard" sheetId="6" r:id="rId7"/>
    <sheet name="Socioeconomic Vulnerability" sheetId="7" r:id="rId8"/>
  </sheets>
  <externalReferences>
    <externalReference r:id="rId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195" i="1" l="1"/>
  <c r="AI195" i="1"/>
  <c r="AH195" i="1"/>
  <c r="AG195" i="1"/>
  <c r="I195" i="1" s="1"/>
  <c r="J195" i="1" s="1"/>
  <c r="AF195" i="1"/>
  <c r="AE195" i="1"/>
  <c r="AC195" i="1"/>
  <c r="AB195" i="1"/>
  <c r="U195" i="1" s="1"/>
  <c r="AA195" i="1"/>
  <c r="Z195" i="1"/>
  <c r="Y195" i="1"/>
  <c r="X195" i="1"/>
  <c r="Q195" i="1" s="1"/>
  <c r="E195" i="1" s="1"/>
  <c r="F195" i="1" s="1"/>
  <c r="V195" i="1"/>
  <c r="T195" i="1"/>
  <c r="S195" i="1"/>
  <c r="R195" i="1"/>
  <c r="L195" i="1"/>
  <c r="G195" i="1"/>
  <c r="H195" i="1" s="1"/>
  <c r="AJ194" i="1"/>
  <c r="AI194" i="1"/>
  <c r="AH194" i="1"/>
  <c r="AG194" i="1"/>
  <c r="AF194" i="1"/>
  <c r="AE194" i="1"/>
  <c r="AC194" i="1"/>
  <c r="AB194" i="1"/>
  <c r="AA194" i="1"/>
  <c r="T194" i="1" s="1"/>
  <c r="Z194" i="1"/>
  <c r="S194" i="1" s="1"/>
  <c r="E194" i="1" s="1"/>
  <c r="F194" i="1" s="1"/>
  <c r="Y194" i="1"/>
  <c r="X194" i="1"/>
  <c r="M194" i="1" s="1"/>
  <c r="V194" i="1"/>
  <c r="U194" i="1"/>
  <c r="R194" i="1"/>
  <c r="Q194" i="1"/>
  <c r="I194" i="1"/>
  <c r="J194" i="1" s="1"/>
  <c r="AJ193" i="1"/>
  <c r="AI193" i="1"/>
  <c r="AH193" i="1"/>
  <c r="AG193" i="1"/>
  <c r="AF193" i="1"/>
  <c r="AE193" i="1"/>
  <c r="AC193" i="1"/>
  <c r="AB193" i="1"/>
  <c r="AA193" i="1"/>
  <c r="Z193" i="1"/>
  <c r="Y193" i="1"/>
  <c r="X193" i="1"/>
  <c r="M193" i="1" s="1"/>
  <c r="I193" i="1"/>
  <c r="J193" i="1" s="1"/>
  <c r="E193" i="1"/>
  <c r="F193" i="1" s="1"/>
  <c r="AJ192" i="1"/>
  <c r="AI192" i="1"/>
  <c r="AH192" i="1"/>
  <c r="AG192" i="1"/>
  <c r="I192" i="1" s="1"/>
  <c r="J192" i="1" s="1"/>
  <c r="AF192" i="1"/>
  <c r="AE192" i="1"/>
  <c r="AC192" i="1"/>
  <c r="V192" i="1" s="1"/>
  <c r="AB192" i="1"/>
  <c r="U192" i="1" s="1"/>
  <c r="AA192" i="1"/>
  <c r="Z192" i="1"/>
  <c r="Y192" i="1"/>
  <c r="X192" i="1"/>
  <c r="Q192" i="1" s="1"/>
  <c r="T192" i="1"/>
  <c r="S192" i="1"/>
  <c r="R192" i="1"/>
  <c r="L192" i="1"/>
  <c r="G192" i="1"/>
  <c r="H192" i="1" s="1"/>
  <c r="AJ191" i="1"/>
  <c r="AI191" i="1"/>
  <c r="AH191" i="1"/>
  <c r="AG191" i="1"/>
  <c r="AF191" i="1"/>
  <c r="AE191" i="1"/>
  <c r="I191" i="1" s="1"/>
  <c r="J191" i="1" s="1"/>
  <c r="AC191" i="1"/>
  <c r="AB191" i="1"/>
  <c r="AA191" i="1"/>
  <c r="Z191" i="1"/>
  <c r="Y191" i="1"/>
  <c r="X191" i="1"/>
  <c r="M191" i="1" s="1"/>
  <c r="L191" i="1"/>
  <c r="G191" i="1"/>
  <c r="H191" i="1" s="1"/>
  <c r="E191" i="1"/>
  <c r="F191" i="1" s="1"/>
  <c r="AJ190" i="1"/>
  <c r="AI190" i="1"/>
  <c r="AH190" i="1"/>
  <c r="AG190" i="1"/>
  <c r="AF190" i="1"/>
  <c r="AE190" i="1"/>
  <c r="I190" i="1" s="1"/>
  <c r="J190" i="1" s="1"/>
  <c r="AC190" i="1"/>
  <c r="AB190" i="1"/>
  <c r="AA190" i="1"/>
  <c r="Z190" i="1"/>
  <c r="Y190" i="1"/>
  <c r="X190" i="1"/>
  <c r="M190" i="1" s="1"/>
  <c r="L190" i="1"/>
  <c r="G190" i="1"/>
  <c r="H190" i="1" s="1"/>
  <c r="E190" i="1"/>
  <c r="F190" i="1" s="1"/>
  <c r="AJ189" i="1"/>
  <c r="AI189" i="1"/>
  <c r="AH189" i="1"/>
  <c r="AG189" i="1"/>
  <c r="AF189" i="1"/>
  <c r="AE189" i="1"/>
  <c r="I189" i="1" s="1"/>
  <c r="J189" i="1" s="1"/>
  <c r="AC189" i="1"/>
  <c r="AB189" i="1"/>
  <c r="AA189" i="1"/>
  <c r="Z189" i="1"/>
  <c r="Y189" i="1"/>
  <c r="X189" i="1"/>
  <c r="M189" i="1" s="1"/>
  <c r="L189" i="1"/>
  <c r="G189" i="1"/>
  <c r="H189" i="1" s="1"/>
  <c r="E189" i="1"/>
  <c r="F189" i="1" s="1"/>
  <c r="AJ188" i="1"/>
  <c r="AI188" i="1"/>
  <c r="AH188" i="1"/>
  <c r="AG188" i="1"/>
  <c r="AF188" i="1"/>
  <c r="AE188" i="1"/>
  <c r="I188" i="1" s="1"/>
  <c r="J188" i="1" s="1"/>
  <c r="AC188" i="1"/>
  <c r="AB188" i="1"/>
  <c r="AA188" i="1"/>
  <c r="Z188" i="1"/>
  <c r="Y188" i="1"/>
  <c r="X188" i="1"/>
  <c r="M188" i="1" s="1"/>
  <c r="L188" i="1"/>
  <c r="G188" i="1"/>
  <c r="H188" i="1" s="1"/>
  <c r="E188" i="1"/>
  <c r="F188" i="1" s="1"/>
  <c r="AJ187" i="1"/>
  <c r="AI187" i="1"/>
  <c r="AH187" i="1"/>
  <c r="AG187" i="1"/>
  <c r="AF187" i="1"/>
  <c r="AE187" i="1"/>
  <c r="I187" i="1" s="1"/>
  <c r="J187" i="1" s="1"/>
  <c r="AC187" i="1"/>
  <c r="AB187" i="1"/>
  <c r="AA187" i="1"/>
  <c r="Z187" i="1"/>
  <c r="Y187" i="1"/>
  <c r="X187" i="1"/>
  <c r="M187" i="1" s="1"/>
  <c r="L187" i="1"/>
  <c r="G187" i="1"/>
  <c r="H187" i="1" s="1"/>
  <c r="E187" i="1"/>
  <c r="F187" i="1" s="1"/>
  <c r="AJ186" i="1"/>
  <c r="AI186" i="1"/>
  <c r="AH186" i="1"/>
  <c r="AG186" i="1"/>
  <c r="AF186" i="1"/>
  <c r="AE186" i="1"/>
  <c r="I186" i="1" s="1"/>
  <c r="J186" i="1" s="1"/>
  <c r="AC186" i="1"/>
  <c r="AB186" i="1"/>
  <c r="AA186" i="1"/>
  <c r="Z186" i="1"/>
  <c r="L186" i="1" s="1"/>
  <c r="Y186" i="1"/>
  <c r="X186" i="1"/>
  <c r="G186" i="1"/>
  <c r="H186" i="1" s="1"/>
  <c r="E186" i="1"/>
  <c r="F186" i="1" s="1"/>
  <c r="AJ185" i="1"/>
  <c r="AI185" i="1"/>
  <c r="AH185" i="1"/>
  <c r="AG185" i="1"/>
  <c r="AF185" i="1"/>
  <c r="AE185" i="1"/>
  <c r="I185" i="1" s="1"/>
  <c r="J185" i="1" s="1"/>
  <c r="AC185" i="1"/>
  <c r="AB185" i="1"/>
  <c r="AA185" i="1"/>
  <c r="Z185" i="1"/>
  <c r="L185" i="1" s="1"/>
  <c r="Y185" i="1"/>
  <c r="X185" i="1"/>
  <c r="G185" i="1"/>
  <c r="H185" i="1" s="1"/>
  <c r="E185" i="1"/>
  <c r="F185" i="1" s="1"/>
  <c r="AJ184" i="1"/>
  <c r="AI184" i="1"/>
  <c r="AH184" i="1"/>
  <c r="AG184" i="1"/>
  <c r="AF184" i="1"/>
  <c r="AE184" i="1"/>
  <c r="I184" i="1" s="1"/>
  <c r="J184" i="1" s="1"/>
  <c r="AC184" i="1"/>
  <c r="AB184" i="1"/>
  <c r="AA184" i="1"/>
  <c r="Z184" i="1"/>
  <c r="Y184" i="1"/>
  <c r="X184" i="1"/>
  <c r="M184" i="1" s="1"/>
  <c r="L184" i="1"/>
  <c r="G184" i="1"/>
  <c r="H184" i="1" s="1"/>
  <c r="E184" i="1"/>
  <c r="F184" i="1" s="1"/>
  <c r="AJ183" i="1"/>
  <c r="AI183" i="1"/>
  <c r="AH183" i="1"/>
  <c r="AG183" i="1"/>
  <c r="AF183" i="1"/>
  <c r="AE183" i="1"/>
  <c r="I183" i="1" s="1"/>
  <c r="J183" i="1" s="1"/>
  <c r="AC183" i="1"/>
  <c r="AB183" i="1"/>
  <c r="AA183" i="1"/>
  <c r="Z183" i="1"/>
  <c r="Y183" i="1"/>
  <c r="X183" i="1"/>
  <c r="L183" i="1"/>
  <c r="G183" i="1"/>
  <c r="H183" i="1" s="1"/>
  <c r="E183" i="1"/>
  <c r="F183" i="1" s="1"/>
  <c r="AJ182" i="1"/>
  <c r="AI182" i="1"/>
  <c r="AH182" i="1"/>
  <c r="AG182" i="1"/>
  <c r="AF182" i="1"/>
  <c r="AE182" i="1"/>
  <c r="Q182" i="1" s="1"/>
  <c r="AC182" i="1"/>
  <c r="AB182" i="1"/>
  <c r="AA182" i="1"/>
  <c r="T182" i="1" s="1"/>
  <c r="Z182" i="1"/>
  <c r="Y182" i="1"/>
  <c r="X182" i="1"/>
  <c r="V182" i="1"/>
  <c r="U182" i="1"/>
  <c r="R182" i="1"/>
  <c r="AJ181" i="1"/>
  <c r="AI181" i="1"/>
  <c r="AH181" i="1"/>
  <c r="AG181" i="1"/>
  <c r="I181" i="1" s="1"/>
  <c r="J181" i="1" s="1"/>
  <c r="AF181" i="1"/>
  <c r="AE181" i="1"/>
  <c r="AC181" i="1"/>
  <c r="AB181" i="1"/>
  <c r="AA181" i="1"/>
  <c r="Z181" i="1"/>
  <c r="Y181" i="1"/>
  <c r="X181" i="1"/>
  <c r="E181" i="1"/>
  <c r="F181" i="1" s="1"/>
  <c r="AJ180" i="1"/>
  <c r="AI180" i="1"/>
  <c r="AH180" i="1"/>
  <c r="AG180" i="1"/>
  <c r="AF180" i="1"/>
  <c r="AE180" i="1"/>
  <c r="AC180" i="1"/>
  <c r="AB180" i="1"/>
  <c r="AA180" i="1"/>
  <c r="Z180" i="1"/>
  <c r="Y180" i="1"/>
  <c r="X180" i="1"/>
  <c r="I180" i="1"/>
  <c r="J180" i="1" s="1"/>
  <c r="E180" i="1"/>
  <c r="F180" i="1" s="1"/>
  <c r="AJ179" i="1"/>
  <c r="AI179" i="1"/>
  <c r="AH179" i="1"/>
  <c r="AG179" i="1"/>
  <c r="I179" i="1" s="1"/>
  <c r="J179" i="1" s="1"/>
  <c r="AF179" i="1"/>
  <c r="AE179" i="1"/>
  <c r="AC179" i="1"/>
  <c r="AB179" i="1"/>
  <c r="AA179" i="1"/>
  <c r="Z179" i="1"/>
  <c r="Y179" i="1"/>
  <c r="X179" i="1"/>
  <c r="E179" i="1"/>
  <c r="F179" i="1" s="1"/>
  <c r="AJ178" i="1"/>
  <c r="AI178" i="1"/>
  <c r="AH178" i="1"/>
  <c r="AG178" i="1"/>
  <c r="AF178" i="1"/>
  <c r="AE178" i="1"/>
  <c r="AC178" i="1"/>
  <c r="AB178" i="1"/>
  <c r="AA178" i="1"/>
  <c r="Z178" i="1"/>
  <c r="Y178" i="1"/>
  <c r="X178" i="1"/>
  <c r="I178" i="1"/>
  <c r="J178" i="1" s="1"/>
  <c r="E178" i="1"/>
  <c r="F178" i="1" s="1"/>
  <c r="AJ177" i="1"/>
  <c r="AI177" i="1"/>
  <c r="AH177" i="1"/>
  <c r="AG177" i="1"/>
  <c r="I177" i="1" s="1"/>
  <c r="J177" i="1" s="1"/>
  <c r="AF177" i="1"/>
  <c r="AE177" i="1"/>
  <c r="AC177" i="1"/>
  <c r="AB177" i="1"/>
  <c r="AA177" i="1"/>
  <c r="Z177" i="1"/>
  <c r="Y177" i="1"/>
  <c r="X177" i="1"/>
  <c r="E177" i="1"/>
  <c r="F177" i="1" s="1"/>
  <c r="AJ176" i="1"/>
  <c r="AI176" i="1"/>
  <c r="AH176" i="1"/>
  <c r="AG176" i="1"/>
  <c r="AF176" i="1"/>
  <c r="AE176" i="1"/>
  <c r="AC176" i="1"/>
  <c r="AB176" i="1"/>
  <c r="AA176" i="1"/>
  <c r="Z176" i="1"/>
  <c r="Y176" i="1"/>
  <c r="X176" i="1"/>
  <c r="I176" i="1"/>
  <c r="J176" i="1" s="1"/>
  <c r="E176" i="1"/>
  <c r="F176" i="1" s="1"/>
  <c r="AJ175" i="1"/>
  <c r="AI175" i="1"/>
  <c r="AH175" i="1"/>
  <c r="AG175" i="1"/>
  <c r="I175" i="1" s="1"/>
  <c r="J175" i="1" s="1"/>
  <c r="AF175" i="1"/>
  <c r="AE175" i="1"/>
  <c r="AC175" i="1"/>
  <c r="AB175" i="1"/>
  <c r="AA175" i="1"/>
  <c r="Z175" i="1"/>
  <c r="Y175" i="1"/>
  <c r="X175" i="1"/>
  <c r="E175" i="1"/>
  <c r="F175" i="1" s="1"/>
  <c r="AJ174" i="1"/>
  <c r="AI174" i="1"/>
  <c r="AH174" i="1"/>
  <c r="AG174" i="1"/>
  <c r="AF174" i="1"/>
  <c r="AE174" i="1"/>
  <c r="AC174" i="1"/>
  <c r="AB174" i="1"/>
  <c r="AA174" i="1"/>
  <c r="Z174" i="1"/>
  <c r="Y174" i="1"/>
  <c r="X174" i="1"/>
  <c r="I174" i="1"/>
  <c r="J174" i="1" s="1"/>
  <c r="E174" i="1"/>
  <c r="F174" i="1" s="1"/>
  <c r="AJ173" i="1"/>
  <c r="AI173" i="1"/>
  <c r="AH173" i="1"/>
  <c r="AG173" i="1"/>
  <c r="I173" i="1" s="1"/>
  <c r="J173" i="1" s="1"/>
  <c r="AF173" i="1"/>
  <c r="AE173" i="1"/>
  <c r="AC173" i="1"/>
  <c r="AB173" i="1"/>
  <c r="AA173" i="1"/>
  <c r="Z173" i="1"/>
  <c r="Y173" i="1"/>
  <c r="X173" i="1"/>
  <c r="E173" i="1"/>
  <c r="F173" i="1" s="1"/>
  <c r="AJ172" i="1"/>
  <c r="AI172" i="1"/>
  <c r="AH172" i="1"/>
  <c r="AG172" i="1"/>
  <c r="AF172" i="1"/>
  <c r="AE172" i="1"/>
  <c r="AC172" i="1"/>
  <c r="AB172" i="1"/>
  <c r="AA172" i="1"/>
  <c r="Z172" i="1"/>
  <c r="Y172" i="1"/>
  <c r="X172" i="1"/>
  <c r="I172" i="1"/>
  <c r="J172" i="1" s="1"/>
  <c r="E172" i="1"/>
  <c r="F172" i="1" s="1"/>
  <c r="AJ171" i="1"/>
  <c r="AI171" i="1"/>
  <c r="AH171" i="1"/>
  <c r="AG171" i="1"/>
  <c r="I171" i="1" s="1"/>
  <c r="J171" i="1" s="1"/>
  <c r="AF171" i="1"/>
  <c r="AE171" i="1"/>
  <c r="AC171" i="1"/>
  <c r="AB171" i="1"/>
  <c r="AA171" i="1"/>
  <c r="Z171" i="1"/>
  <c r="Y171" i="1"/>
  <c r="X171" i="1"/>
  <c r="E171" i="1"/>
  <c r="F171" i="1" s="1"/>
  <c r="AJ170" i="1"/>
  <c r="AI170" i="1"/>
  <c r="AH170" i="1"/>
  <c r="AG170" i="1"/>
  <c r="I170" i="1" s="1"/>
  <c r="J170" i="1" s="1"/>
  <c r="AF170" i="1"/>
  <c r="AE170" i="1"/>
  <c r="AC170" i="1"/>
  <c r="AB170" i="1"/>
  <c r="U170" i="1" s="1"/>
  <c r="AA170" i="1"/>
  <c r="T170" i="1" s="1"/>
  <c r="Z170" i="1"/>
  <c r="Y170" i="1"/>
  <c r="X170" i="1"/>
  <c r="G170" i="1" s="1"/>
  <c r="H170" i="1" s="1"/>
  <c r="V170" i="1"/>
  <c r="S170" i="1"/>
  <c r="R170" i="1"/>
  <c r="L170" i="1"/>
  <c r="AJ169" i="1"/>
  <c r="AI169" i="1"/>
  <c r="AH169" i="1"/>
  <c r="AG169" i="1"/>
  <c r="AF169" i="1"/>
  <c r="AE169" i="1"/>
  <c r="I169" i="1" s="1"/>
  <c r="J169" i="1" s="1"/>
  <c r="AC169" i="1"/>
  <c r="AB169" i="1"/>
  <c r="AA169" i="1"/>
  <c r="Z169" i="1"/>
  <c r="Y169" i="1"/>
  <c r="X169" i="1"/>
  <c r="L169" i="1"/>
  <c r="G169" i="1"/>
  <c r="H169" i="1" s="1"/>
  <c r="E169" i="1"/>
  <c r="F169" i="1" s="1"/>
  <c r="AJ168" i="1"/>
  <c r="AI168" i="1"/>
  <c r="AH168" i="1"/>
  <c r="AG168" i="1"/>
  <c r="AF168" i="1"/>
  <c r="AE168" i="1"/>
  <c r="I168" i="1" s="1"/>
  <c r="J168" i="1" s="1"/>
  <c r="AC168" i="1"/>
  <c r="AB168" i="1"/>
  <c r="AA168" i="1"/>
  <c r="Z168" i="1"/>
  <c r="L168" i="1" s="1"/>
  <c r="Y168" i="1"/>
  <c r="X168" i="1"/>
  <c r="G168" i="1"/>
  <c r="H168" i="1" s="1"/>
  <c r="E168" i="1"/>
  <c r="F168" i="1" s="1"/>
  <c r="AJ167" i="1"/>
  <c r="AI167" i="1"/>
  <c r="AH167" i="1"/>
  <c r="AG167" i="1"/>
  <c r="AF167" i="1"/>
  <c r="AE167" i="1"/>
  <c r="AC167" i="1"/>
  <c r="AB167" i="1"/>
  <c r="AA167" i="1"/>
  <c r="Z167" i="1"/>
  <c r="Y167" i="1"/>
  <c r="X167" i="1"/>
  <c r="M167" i="1" s="1"/>
  <c r="L167" i="1"/>
  <c r="I167" i="1"/>
  <c r="J167" i="1" s="1"/>
  <c r="G167" i="1"/>
  <c r="H167" i="1" s="1"/>
  <c r="E167" i="1"/>
  <c r="F167" i="1" s="1"/>
  <c r="AJ166" i="1"/>
  <c r="AI166" i="1"/>
  <c r="AH166" i="1"/>
  <c r="AG166" i="1"/>
  <c r="I166" i="1" s="1"/>
  <c r="J166" i="1" s="1"/>
  <c r="AF166" i="1"/>
  <c r="AE166" i="1"/>
  <c r="AC166" i="1"/>
  <c r="AB166" i="1"/>
  <c r="AA166" i="1"/>
  <c r="Z166" i="1"/>
  <c r="Y166" i="1"/>
  <c r="X166" i="1"/>
  <c r="M166" i="1" s="1"/>
  <c r="G166" i="1"/>
  <c r="H166" i="1" s="1"/>
  <c r="E166" i="1"/>
  <c r="F166" i="1" s="1"/>
  <c r="AJ165" i="1"/>
  <c r="AI165" i="1"/>
  <c r="AH165" i="1"/>
  <c r="AG165" i="1"/>
  <c r="I165" i="1" s="1"/>
  <c r="J165" i="1" s="1"/>
  <c r="AF165" i="1"/>
  <c r="AE165" i="1"/>
  <c r="AC165" i="1"/>
  <c r="AB165" i="1"/>
  <c r="AA165" i="1"/>
  <c r="Z165" i="1"/>
  <c r="Y165" i="1"/>
  <c r="X165" i="1"/>
  <c r="M165" i="1" s="1"/>
  <c r="G165" i="1"/>
  <c r="H165" i="1" s="1"/>
  <c r="E165" i="1"/>
  <c r="F165" i="1" s="1"/>
  <c r="AJ164" i="1"/>
  <c r="AI164" i="1"/>
  <c r="AH164" i="1"/>
  <c r="AG164" i="1"/>
  <c r="I164" i="1" s="1"/>
  <c r="J164" i="1" s="1"/>
  <c r="AF164" i="1"/>
  <c r="AE164" i="1"/>
  <c r="AC164" i="1"/>
  <c r="AB164" i="1"/>
  <c r="AA164" i="1"/>
  <c r="Z164" i="1"/>
  <c r="Y164" i="1"/>
  <c r="X164" i="1"/>
  <c r="M164" i="1" s="1"/>
  <c r="G164" i="1"/>
  <c r="H164" i="1" s="1"/>
  <c r="E164" i="1"/>
  <c r="F164" i="1" s="1"/>
  <c r="AJ163" i="1"/>
  <c r="AI163" i="1"/>
  <c r="AH163" i="1"/>
  <c r="AG163" i="1"/>
  <c r="I163" i="1" s="1"/>
  <c r="J163" i="1" s="1"/>
  <c r="AF163" i="1"/>
  <c r="AE163" i="1"/>
  <c r="AC163" i="1"/>
  <c r="AB163" i="1"/>
  <c r="AA163" i="1"/>
  <c r="Z163" i="1"/>
  <c r="Y163" i="1"/>
  <c r="X163" i="1"/>
  <c r="M163" i="1" s="1"/>
  <c r="E163" i="1"/>
  <c r="F163" i="1" s="1"/>
  <c r="AJ162" i="1"/>
  <c r="AI162" i="1"/>
  <c r="AH162" i="1"/>
  <c r="AG162" i="1"/>
  <c r="I162" i="1" s="1"/>
  <c r="J162" i="1" s="1"/>
  <c r="AF162" i="1"/>
  <c r="AE162" i="1"/>
  <c r="AC162" i="1"/>
  <c r="AB162" i="1"/>
  <c r="AA162" i="1"/>
  <c r="Z162" i="1"/>
  <c r="Y162" i="1"/>
  <c r="X162" i="1"/>
  <c r="M162" i="1" s="1"/>
  <c r="E162" i="1"/>
  <c r="F162" i="1" s="1"/>
  <c r="AJ161" i="1"/>
  <c r="AI161" i="1"/>
  <c r="AH161" i="1"/>
  <c r="AG161" i="1"/>
  <c r="AF161" i="1"/>
  <c r="AE161" i="1"/>
  <c r="AC161" i="1"/>
  <c r="AB161" i="1"/>
  <c r="U161" i="1" s="1"/>
  <c r="AA161" i="1"/>
  <c r="Z161" i="1"/>
  <c r="Y161" i="1"/>
  <c r="X161" i="1"/>
  <c r="M161" i="1" s="1"/>
  <c r="V161" i="1"/>
  <c r="T161" i="1"/>
  <c r="S161" i="1"/>
  <c r="R161" i="1"/>
  <c r="I161" i="1"/>
  <c r="J161" i="1" s="1"/>
  <c r="AJ160" i="1"/>
  <c r="AI160" i="1"/>
  <c r="AH160" i="1"/>
  <c r="AG160" i="1"/>
  <c r="AF160" i="1"/>
  <c r="AE160" i="1"/>
  <c r="AC160" i="1"/>
  <c r="AB160" i="1"/>
  <c r="AA160" i="1"/>
  <c r="Z160" i="1"/>
  <c r="L160" i="1" s="1"/>
  <c r="Y160" i="1"/>
  <c r="X160" i="1"/>
  <c r="I160" i="1"/>
  <c r="J160" i="1" s="1"/>
  <c r="E160" i="1"/>
  <c r="F160" i="1" s="1"/>
  <c r="AJ159" i="1"/>
  <c r="AI159" i="1"/>
  <c r="AH159" i="1"/>
  <c r="AG159" i="1"/>
  <c r="AF159" i="1"/>
  <c r="AE159" i="1"/>
  <c r="I159" i="1" s="1"/>
  <c r="J159" i="1" s="1"/>
  <c r="AC159" i="1"/>
  <c r="AB159" i="1"/>
  <c r="AA159" i="1"/>
  <c r="T159" i="1" s="1"/>
  <c r="Z159" i="1"/>
  <c r="S159" i="1" s="1"/>
  <c r="Y159" i="1"/>
  <c r="X159" i="1"/>
  <c r="V159" i="1"/>
  <c r="U159" i="1"/>
  <c r="R159" i="1"/>
  <c r="L159" i="1"/>
  <c r="AJ158" i="1"/>
  <c r="AI158" i="1"/>
  <c r="AH158" i="1"/>
  <c r="AG158" i="1"/>
  <c r="I158" i="1" s="1"/>
  <c r="J158" i="1" s="1"/>
  <c r="AF158" i="1"/>
  <c r="AE158" i="1"/>
  <c r="AC158" i="1"/>
  <c r="AB158" i="1"/>
  <c r="AA158" i="1"/>
  <c r="Z158" i="1"/>
  <c r="Y158" i="1"/>
  <c r="X158" i="1"/>
  <c r="M158" i="1" s="1"/>
  <c r="L158" i="1"/>
  <c r="E158" i="1"/>
  <c r="F158" i="1" s="1"/>
  <c r="AJ157" i="1"/>
  <c r="AI157" i="1"/>
  <c r="AH157" i="1"/>
  <c r="AG157" i="1"/>
  <c r="I157" i="1" s="1"/>
  <c r="J157" i="1" s="1"/>
  <c r="AF157" i="1"/>
  <c r="AE157" i="1"/>
  <c r="AC157" i="1"/>
  <c r="AB157" i="1"/>
  <c r="AA157" i="1"/>
  <c r="Z157" i="1"/>
  <c r="Y157" i="1"/>
  <c r="X157" i="1"/>
  <c r="M157" i="1" s="1"/>
  <c r="L157" i="1"/>
  <c r="E157" i="1"/>
  <c r="F157" i="1" s="1"/>
  <c r="AJ156" i="1"/>
  <c r="AI156" i="1"/>
  <c r="AH156" i="1"/>
  <c r="AG156" i="1"/>
  <c r="I156" i="1" s="1"/>
  <c r="J156" i="1" s="1"/>
  <c r="AF156" i="1"/>
  <c r="AE156" i="1"/>
  <c r="AC156" i="1"/>
  <c r="AB156" i="1"/>
  <c r="AA156" i="1"/>
  <c r="Z156" i="1"/>
  <c r="Y156" i="1"/>
  <c r="X156" i="1"/>
  <c r="M156" i="1" s="1"/>
  <c r="L156" i="1"/>
  <c r="E156" i="1"/>
  <c r="F156" i="1" s="1"/>
  <c r="AJ155" i="1"/>
  <c r="AI155" i="1"/>
  <c r="AH155" i="1"/>
  <c r="AG155" i="1"/>
  <c r="I155" i="1" s="1"/>
  <c r="J155" i="1" s="1"/>
  <c r="AF155" i="1"/>
  <c r="AE155" i="1"/>
  <c r="AC155" i="1"/>
  <c r="AB155" i="1"/>
  <c r="AA155" i="1"/>
  <c r="Z155" i="1"/>
  <c r="Y155" i="1"/>
  <c r="X155" i="1"/>
  <c r="L155" i="1" s="1"/>
  <c r="M155" i="1"/>
  <c r="G155" i="1"/>
  <c r="H155" i="1" s="1"/>
  <c r="E155" i="1"/>
  <c r="F155" i="1" s="1"/>
  <c r="AJ154" i="1"/>
  <c r="AI154" i="1"/>
  <c r="AH154" i="1"/>
  <c r="AG154" i="1"/>
  <c r="AF154" i="1"/>
  <c r="AE154" i="1"/>
  <c r="I154" i="1" s="1"/>
  <c r="J154" i="1" s="1"/>
  <c r="AC154" i="1"/>
  <c r="AB154" i="1"/>
  <c r="AA154" i="1"/>
  <c r="Z154" i="1"/>
  <c r="Y154" i="1"/>
  <c r="M154" i="1" s="1"/>
  <c r="X154" i="1"/>
  <c r="F154" i="1"/>
  <c r="E154" i="1"/>
  <c r="AJ153" i="1"/>
  <c r="AI153" i="1"/>
  <c r="AH153" i="1"/>
  <c r="I153" i="1" s="1"/>
  <c r="J153" i="1" s="1"/>
  <c r="AG153" i="1"/>
  <c r="AF153" i="1"/>
  <c r="AE153" i="1"/>
  <c r="AC153" i="1"/>
  <c r="V153" i="1" s="1"/>
  <c r="AB153" i="1"/>
  <c r="AA153" i="1"/>
  <c r="Z153" i="1"/>
  <c r="S153" i="1" s="1"/>
  <c r="Y153" i="1"/>
  <c r="L153" i="1" s="1"/>
  <c r="X153" i="1"/>
  <c r="U153" i="1"/>
  <c r="T153" i="1"/>
  <c r="Q153" i="1"/>
  <c r="M153" i="1"/>
  <c r="AJ152" i="1"/>
  <c r="AI152" i="1"/>
  <c r="AH152" i="1"/>
  <c r="AG152" i="1"/>
  <c r="AF152" i="1"/>
  <c r="I152" i="1" s="1"/>
  <c r="J152" i="1" s="1"/>
  <c r="AE152" i="1"/>
  <c r="AC152" i="1"/>
  <c r="AB152" i="1"/>
  <c r="AA152" i="1"/>
  <c r="Z152" i="1"/>
  <c r="Y152" i="1"/>
  <c r="X152" i="1"/>
  <c r="M152" i="1"/>
  <c r="E152" i="1"/>
  <c r="F152" i="1" s="1"/>
  <c r="AJ151" i="1"/>
  <c r="AI151" i="1"/>
  <c r="AH151" i="1"/>
  <c r="AG151" i="1"/>
  <c r="AF151" i="1"/>
  <c r="I151" i="1" s="1"/>
  <c r="J151" i="1" s="1"/>
  <c r="AE151" i="1"/>
  <c r="AC151" i="1"/>
  <c r="AB151" i="1"/>
  <c r="AA151" i="1"/>
  <c r="Z151" i="1"/>
  <c r="Y151" i="1"/>
  <c r="X151" i="1"/>
  <c r="M151" i="1"/>
  <c r="E151" i="1"/>
  <c r="F151" i="1" s="1"/>
  <c r="AJ150" i="1"/>
  <c r="AI150" i="1"/>
  <c r="AH150" i="1"/>
  <c r="AG150" i="1"/>
  <c r="AF150" i="1"/>
  <c r="I150" i="1" s="1"/>
  <c r="J150" i="1" s="1"/>
  <c r="AE150" i="1"/>
  <c r="AC150" i="1"/>
  <c r="AB150" i="1"/>
  <c r="AA150" i="1"/>
  <c r="Z150" i="1"/>
  <c r="Y150" i="1"/>
  <c r="X150" i="1"/>
  <c r="L150" i="1" s="1"/>
  <c r="M150" i="1"/>
  <c r="E150" i="1"/>
  <c r="F150" i="1" s="1"/>
  <c r="AJ149" i="1"/>
  <c r="AI149" i="1"/>
  <c r="AH149" i="1"/>
  <c r="AG149" i="1"/>
  <c r="AF149" i="1"/>
  <c r="I149" i="1" s="1"/>
  <c r="J149" i="1" s="1"/>
  <c r="AE149" i="1"/>
  <c r="AC149" i="1"/>
  <c r="AB149" i="1"/>
  <c r="AA149" i="1"/>
  <c r="Z149" i="1"/>
  <c r="Y149" i="1"/>
  <c r="X149" i="1"/>
  <c r="L149" i="1" s="1"/>
  <c r="M149" i="1"/>
  <c r="E149" i="1"/>
  <c r="F149" i="1" s="1"/>
  <c r="AJ148" i="1"/>
  <c r="AI148" i="1"/>
  <c r="AH148" i="1"/>
  <c r="AG148" i="1"/>
  <c r="AF148" i="1"/>
  <c r="I148" i="1" s="1"/>
  <c r="J148" i="1" s="1"/>
  <c r="AE148" i="1"/>
  <c r="AC148" i="1"/>
  <c r="AB148" i="1"/>
  <c r="AA148" i="1"/>
  <c r="Z148" i="1"/>
  <c r="Y148" i="1"/>
  <c r="X148" i="1"/>
  <c r="M148" i="1"/>
  <c r="E148" i="1"/>
  <c r="F148" i="1" s="1"/>
  <c r="AJ147" i="1"/>
  <c r="AI147" i="1"/>
  <c r="AH147" i="1"/>
  <c r="AG147" i="1"/>
  <c r="AF147" i="1"/>
  <c r="I147" i="1" s="1"/>
  <c r="J147" i="1" s="1"/>
  <c r="AE147" i="1"/>
  <c r="AC147" i="1"/>
  <c r="AB147" i="1"/>
  <c r="AA147" i="1"/>
  <c r="Z147" i="1"/>
  <c r="Y147" i="1"/>
  <c r="X147" i="1"/>
  <c r="M147" i="1"/>
  <c r="E147" i="1"/>
  <c r="F147" i="1" s="1"/>
  <c r="AJ146" i="1"/>
  <c r="AI146" i="1"/>
  <c r="AH146" i="1"/>
  <c r="AG146" i="1"/>
  <c r="I146" i="1" s="1"/>
  <c r="J146" i="1" s="1"/>
  <c r="AF146" i="1"/>
  <c r="AE146" i="1"/>
  <c r="AC146" i="1"/>
  <c r="AB146" i="1"/>
  <c r="AA146" i="1"/>
  <c r="Z146" i="1"/>
  <c r="Y146" i="1"/>
  <c r="X146" i="1"/>
  <c r="E146" i="1"/>
  <c r="F146" i="1" s="1"/>
  <c r="AJ145" i="1"/>
  <c r="AI145" i="1"/>
  <c r="AH145" i="1"/>
  <c r="AG145" i="1"/>
  <c r="I145" i="1" s="1"/>
  <c r="J145" i="1" s="1"/>
  <c r="AF145" i="1"/>
  <c r="AE145" i="1"/>
  <c r="AC145" i="1"/>
  <c r="AB145" i="1"/>
  <c r="AA145" i="1"/>
  <c r="Z145" i="1"/>
  <c r="Y145" i="1"/>
  <c r="X145" i="1"/>
  <c r="E145" i="1"/>
  <c r="F145" i="1" s="1"/>
  <c r="AJ144" i="1"/>
  <c r="AI144" i="1"/>
  <c r="AH144" i="1"/>
  <c r="AG144" i="1"/>
  <c r="I144" i="1" s="1"/>
  <c r="J144" i="1" s="1"/>
  <c r="AF144" i="1"/>
  <c r="AE144" i="1"/>
  <c r="AC144" i="1"/>
  <c r="AB144" i="1"/>
  <c r="AA144" i="1"/>
  <c r="Z144" i="1"/>
  <c r="Y144" i="1"/>
  <c r="X144" i="1"/>
  <c r="E144" i="1"/>
  <c r="F144" i="1" s="1"/>
  <c r="AJ143" i="1"/>
  <c r="AI143" i="1"/>
  <c r="AH143" i="1"/>
  <c r="AG143" i="1"/>
  <c r="I143" i="1" s="1"/>
  <c r="J143" i="1" s="1"/>
  <c r="AF143" i="1"/>
  <c r="AE143" i="1"/>
  <c r="AC143" i="1"/>
  <c r="AB143" i="1"/>
  <c r="AA143" i="1"/>
  <c r="Z143" i="1"/>
  <c r="Y143" i="1"/>
  <c r="X143" i="1"/>
  <c r="E143" i="1"/>
  <c r="F143" i="1" s="1"/>
  <c r="AJ142" i="1"/>
  <c r="AI142" i="1"/>
  <c r="AH142" i="1"/>
  <c r="AG142" i="1"/>
  <c r="I142" i="1" s="1"/>
  <c r="J142" i="1" s="1"/>
  <c r="AF142" i="1"/>
  <c r="AE142" i="1"/>
  <c r="AC142" i="1"/>
  <c r="AB142" i="1"/>
  <c r="AA142" i="1"/>
  <c r="Z142" i="1"/>
  <c r="Y142" i="1"/>
  <c r="X142" i="1"/>
  <c r="E142" i="1"/>
  <c r="F142" i="1" s="1"/>
  <c r="AJ141" i="1"/>
  <c r="AI141" i="1"/>
  <c r="AH141" i="1"/>
  <c r="AG141" i="1"/>
  <c r="I141" i="1" s="1"/>
  <c r="J141" i="1" s="1"/>
  <c r="AF141" i="1"/>
  <c r="AE141" i="1"/>
  <c r="AC141" i="1"/>
  <c r="AB141" i="1"/>
  <c r="AA141" i="1"/>
  <c r="Z141" i="1"/>
  <c r="Y141" i="1"/>
  <c r="X141" i="1"/>
  <c r="E141" i="1"/>
  <c r="F141" i="1" s="1"/>
  <c r="AJ140" i="1"/>
  <c r="AI140" i="1"/>
  <c r="AH140" i="1"/>
  <c r="AG140" i="1"/>
  <c r="I140" i="1" s="1"/>
  <c r="J140" i="1" s="1"/>
  <c r="AF140" i="1"/>
  <c r="AE140" i="1"/>
  <c r="AC140" i="1"/>
  <c r="AB140" i="1"/>
  <c r="AA140" i="1"/>
  <c r="Z140" i="1"/>
  <c r="Y140" i="1"/>
  <c r="X140" i="1"/>
  <c r="E140" i="1"/>
  <c r="F140" i="1" s="1"/>
  <c r="AJ139" i="1"/>
  <c r="AI139" i="1"/>
  <c r="AH139" i="1"/>
  <c r="AG139" i="1"/>
  <c r="I139" i="1" s="1"/>
  <c r="J139" i="1" s="1"/>
  <c r="AF139" i="1"/>
  <c r="AE139" i="1"/>
  <c r="AC139" i="1"/>
  <c r="AB139" i="1"/>
  <c r="AA139" i="1"/>
  <c r="Z139" i="1"/>
  <c r="Y139" i="1"/>
  <c r="X139" i="1"/>
  <c r="E139" i="1"/>
  <c r="F139" i="1" s="1"/>
  <c r="AJ138" i="1"/>
  <c r="AI138" i="1"/>
  <c r="AH138" i="1"/>
  <c r="AG138" i="1"/>
  <c r="S138" i="1" s="1"/>
  <c r="AF138" i="1"/>
  <c r="AE138" i="1"/>
  <c r="AC138" i="1"/>
  <c r="AB138" i="1"/>
  <c r="U138" i="1" s="1"/>
  <c r="AA138" i="1"/>
  <c r="T138" i="1" s="1"/>
  <c r="Z138" i="1"/>
  <c r="Y138" i="1"/>
  <c r="X138" i="1"/>
  <c r="V138" i="1"/>
  <c r="R138" i="1"/>
  <c r="L138" i="1"/>
  <c r="AJ137" i="1"/>
  <c r="AI137" i="1"/>
  <c r="AH137" i="1"/>
  <c r="AG137" i="1"/>
  <c r="AF137" i="1"/>
  <c r="AE137" i="1"/>
  <c r="AC137" i="1"/>
  <c r="AB137" i="1"/>
  <c r="AA137" i="1"/>
  <c r="Z137" i="1"/>
  <c r="Y137" i="1"/>
  <c r="X137" i="1"/>
  <c r="M137" i="1" s="1"/>
  <c r="L137" i="1"/>
  <c r="G137" i="1"/>
  <c r="H137" i="1" s="1"/>
  <c r="F137" i="1"/>
  <c r="E137" i="1"/>
  <c r="AJ136" i="1"/>
  <c r="AI136" i="1"/>
  <c r="AH136" i="1"/>
  <c r="AG136" i="1"/>
  <c r="AF136" i="1"/>
  <c r="AE136" i="1"/>
  <c r="AC136" i="1"/>
  <c r="AB136" i="1"/>
  <c r="AA136" i="1"/>
  <c r="Z136" i="1"/>
  <c r="Y136" i="1"/>
  <c r="L136" i="1" s="1"/>
  <c r="X136" i="1"/>
  <c r="M136" i="1" s="1"/>
  <c r="G136" i="1"/>
  <c r="H136" i="1" s="1"/>
  <c r="F136" i="1"/>
  <c r="E136" i="1"/>
  <c r="AJ135" i="1"/>
  <c r="AI135" i="1"/>
  <c r="AH135" i="1"/>
  <c r="AG135" i="1"/>
  <c r="AF135" i="1"/>
  <c r="AE135" i="1"/>
  <c r="AC135" i="1"/>
  <c r="AB135" i="1"/>
  <c r="AA135" i="1"/>
  <c r="Z135" i="1"/>
  <c r="Y135" i="1"/>
  <c r="L135" i="1" s="1"/>
  <c r="X135" i="1"/>
  <c r="G135" i="1"/>
  <c r="H135" i="1" s="1"/>
  <c r="F135" i="1"/>
  <c r="E135" i="1"/>
  <c r="AJ134" i="1"/>
  <c r="AI134" i="1"/>
  <c r="AH134" i="1"/>
  <c r="AG134" i="1"/>
  <c r="AF134" i="1"/>
  <c r="AE134" i="1"/>
  <c r="I134" i="1" s="1"/>
  <c r="AC134" i="1"/>
  <c r="AB134" i="1"/>
  <c r="AA134" i="1"/>
  <c r="Z134" i="1"/>
  <c r="G134" i="1" s="1"/>
  <c r="H134" i="1" s="1"/>
  <c r="Y134" i="1"/>
  <c r="X134" i="1"/>
  <c r="J134" i="1"/>
  <c r="F134" i="1"/>
  <c r="E134" i="1"/>
  <c r="AJ133" i="1"/>
  <c r="AI133" i="1"/>
  <c r="AH133" i="1"/>
  <c r="AG133" i="1"/>
  <c r="AF133" i="1"/>
  <c r="AE133" i="1"/>
  <c r="AC133" i="1"/>
  <c r="AB133" i="1"/>
  <c r="AA133" i="1"/>
  <c r="Z133" i="1"/>
  <c r="Y133" i="1"/>
  <c r="X133" i="1"/>
  <c r="M133" i="1" s="1"/>
  <c r="L133" i="1"/>
  <c r="G133" i="1"/>
  <c r="H133" i="1" s="1"/>
  <c r="F133" i="1"/>
  <c r="E133" i="1"/>
  <c r="AJ132" i="1"/>
  <c r="AI132" i="1"/>
  <c r="AH132" i="1"/>
  <c r="AG132" i="1"/>
  <c r="I132" i="1" s="1"/>
  <c r="J132" i="1" s="1"/>
  <c r="AF132" i="1"/>
  <c r="AE132" i="1"/>
  <c r="AC132" i="1"/>
  <c r="AB132" i="1"/>
  <c r="AA132" i="1"/>
  <c r="Z132" i="1"/>
  <c r="Y132" i="1"/>
  <c r="X132" i="1"/>
  <c r="M132" i="1" s="1"/>
  <c r="G132" i="1"/>
  <c r="H132" i="1" s="1"/>
  <c r="E132" i="1"/>
  <c r="F132" i="1" s="1"/>
  <c r="AJ131" i="1"/>
  <c r="AI131" i="1"/>
  <c r="AH131" i="1"/>
  <c r="AG131" i="1"/>
  <c r="AF131" i="1"/>
  <c r="AE131" i="1"/>
  <c r="I131" i="1" s="1"/>
  <c r="J131" i="1" s="1"/>
  <c r="AC131" i="1"/>
  <c r="AB131" i="1"/>
  <c r="AA131" i="1"/>
  <c r="Z131" i="1"/>
  <c r="G131" i="1" s="1"/>
  <c r="H131" i="1" s="1"/>
  <c r="Y131" i="1"/>
  <c r="X131" i="1"/>
  <c r="E131" i="1"/>
  <c r="F131" i="1" s="1"/>
  <c r="AJ130" i="1"/>
  <c r="AI130" i="1"/>
  <c r="AH130" i="1"/>
  <c r="AG130" i="1"/>
  <c r="I130" i="1" s="1"/>
  <c r="J130" i="1" s="1"/>
  <c r="AF130" i="1"/>
  <c r="AE130" i="1"/>
  <c r="AC130" i="1"/>
  <c r="AB130" i="1"/>
  <c r="AA130" i="1"/>
  <c r="Z130" i="1"/>
  <c r="Y130" i="1"/>
  <c r="X130" i="1"/>
  <c r="M130" i="1" s="1"/>
  <c r="G130" i="1"/>
  <c r="H130" i="1" s="1"/>
  <c r="E130" i="1"/>
  <c r="F130" i="1" s="1"/>
  <c r="AJ129" i="1"/>
  <c r="AI129" i="1"/>
  <c r="U129" i="1" s="1"/>
  <c r="AH129" i="1"/>
  <c r="AG129" i="1"/>
  <c r="AF129" i="1"/>
  <c r="AE129" i="1"/>
  <c r="I129" i="1" s="1"/>
  <c r="J129" i="1" s="1"/>
  <c r="AC129" i="1"/>
  <c r="V129" i="1" s="1"/>
  <c r="AB129" i="1"/>
  <c r="AA129" i="1"/>
  <c r="Z129" i="1"/>
  <c r="S129" i="1" s="1"/>
  <c r="Y129" i="1"/>
  <c r="R129" i="1" s="1"/>
  <c r="X129" i="1"/>
  <c r="T129" i="1"/>
  <c r="L129" i="1"/>
  <c r="AJ128" i="1"/>
  <c r="AI128" i="1"/>
  <c r="AH128" i="1"/>
  <c r="AG128" i="1"/>
  <c r="I128" i="1" s="1"/>
  <c r="J128" i="1" s="1"/>
  <c r="AF128" i="1"/>
  <c r="AE128" i="1"/>
  <c r="AC128" i="1"/>
  <c r="AB128" i="1"/>
  <c r="AA128" i="1"/>
  <c r="Z128" i="1"/>
  <c r="Y128" i="1"/>
  <c r="X128" i="1"/>
  <c r="M128" i="1" s="1"/>
  <c r="E128" i="1"/>
  <c r="F128" i="1" s="1"/>
  <c r="AJ127" i="1"/>
  <c r="AI127" i="1"/>
  <c r="AH127" i="1"/>
  <c r="AG127" i="1"/>
  <c r="AF127" i="1"/>
  <c r="AE127" i="1"/>
  <c r="I127" i="1" s="1"/>
  <c r="J127" i="1" s="1"/>
  <c r="AC127" i="1"/>
  <c r="AB127" i="1"/>
  <c r="AA127" i="1"/>
  <c r="Z127" i="1"/>
  <c r="M127" i="1" s="1"/>
  <c r="Y127" i="1"/>
  <c r="X127" i="1"/>
  <c r="L127" i="1"/>
  <c r="E127" i="1"/>
  <c r="F127" i="1" s="1"/>
  <c r="AJ126" i="1"/>
  <c r="AI126" i="1"/>
  <c r="AH126" i="1"/>
  <c r="AG126" i="1"/>
  <c r="S126" i="1" s="1"/>
  <c r="AF126" i="1"/>
  <c r="AE126" i="1"/>
  <c r="AC126" i="1"/>
  <c r="AB126" i="1"/>
  <c r="U126" i="1" s="1"/>
  <c r="AA126" i="1"/>
  <c r="T126" i="1" s="1"/>
  <c r="Z126" i="1"/>
  <c r="Y126" i="1"/>
  <c r="X126" i="1"/>
  <c r="M126" i="1" s="1"/>
  <c r="V126" i="1"/>
  <c r="R126" i="1"/>
  <c r="I126" i="1"/>
  <c r="J126" i="1" s="1"/>
  <c r="AJ125" i="1"/>
  <c r="AI125" i="1"/>
  <c r="AH125" i="1"/>
  <c r="AG125" i="1"/>
  <c r="AF125" i="1"/>
  <c r="I125" i="1" s="1"/>
  <c r="J125" i="1" s="1"/>
  <c r="AE125" i="1"/>
  <c r="AC125" i="1"/>
  <c r="AB125" i="1"/>
  <c r="AA125" i="1"/>
  <c r="Z125" i="1"/>
  <c r="Y125" i="1"/>
  <c r="X125" i="1"/>
  <c r="L125" i="1" s="1"/>
  <c r="M125" i="1"/>
  <c r="E125" i="1"/>
  <c r="F125" i="1" s="1"/>
  <c r="AJ124" i="1"/>
  <c r="AI124" i="1"/>
  <c r="AH124" i="1"/>
  <c r="AG124" i="1"/>
  <c r="AF124" i="1"/>
  <c r="I124" i="1" s="1"/>
  <c r="J124" i="1" s="1"/>
  <c r="AE124" i="1"/>
  <c r="AC124" i="1"/>
  <c r="AB124" i="1"/>
  <c r="U124" i="1" s="1"/>
  <c r="AA124" i="1"/>
  <c r="T124" i="1" s="1"/>
  <c r="Z124" i="1"/>
  <c r="Y124" i="1"/>
  <c r="X124" i="1"/>
  <c r="Q124" i="1" s="1"/>
  <c r="E124" i="1" s="1"/>
  <c r="F124" i="1" s="1"/>
  <c r="V124" i="1"/>
  <c r="S124" i="1"/>
  <c r="R124" i="1"/>
  <c r="AJ123" i="1"/>
  <c r="AI123" i="1"/>
  <c r="AH123" i="1"/>
  <c r="I123" i="1" s="1"/>
  <c r="J123" i="1" s="1"/>
  <c r="AG123" i="1"/>
  <c r="AF123" i="1"/>
  <c r="AE123" i="1"/>
  <c r="AC123" i="1"/>
  <c r="V123" i="1" s="1"/>
  <c r="AB123" i="1"/>
  <c r="AA123" i="1"/>
  <c r="Z123" i="1"/>
  <c r="S123" i="1" s="1"/>
  <c r="Y123" i="1"/>
  <c r="L123" i="1" s="1"/>
  <c r="X123" i="1"/>
  <c r="U123" i="1"/>
  <c r="T123" i="1"/>
  <c r="Q123" i="1"/>
  <c r="M123" i="1"/>
  <c r="AJ122" i="1"/>
  <c r="AI122" i="1"/>
  <c r="AH122" i="1"/>
  <c r="AG122" i="1"/>
  <c r="AF122" i="1"/>
  <c r="I122" i="1" s="1"/>
  <c r="J122" i="1" s="1"/>
  <c r="AE122" i="1"/>
  <c r="AC122" i="1"/>
  <c r="AB122" i="1"/>
  <c r="AA122" i="1"/>
  <c r="Z122" i="1"/>
  <c r="Y122" i="1"/>
  <c r="X122" i="1"/>
  <c r="L122" i="1" s="1"/>
  <c r="M122" i="1"/>
  <c r="E122" i="1"/>
  <c r="F122" i="1" s="1"/>
  <c r="AJ121" i="1"/>
  <c r="AI121" i="1"/>
  <c r="AH121" i="1"/>
  <c r="AG121" i="1"/>
  <c r="AF121" i="1"/>
  <c r="I121" i="1" s="1"/>
  <c r="J121" i="1" s="1"/>
  <c r="AE121" i="1"/>
  <c r="AC121" i="1"/>
  <c r="AB121" i="1"/>
  <c r="AA121" i="1"/>
  <c r="Z121" i="1"/>
  <c r="Y121" i="1"/>
  <c r="X121" i="1"/>
  <c r="L121" i="1" s="1"/>
  <c r="M121" i="1"/>
  <c r="E121" i="1"/>
  <c r="F121" i="1" s="1"/>
  <c r="AJ120" i="1"/>
  <c r="AI120" i="1"/>
  <c r="AH120" i="1"/>
  <c r="AG120" i="1"/>
  <c r="AF120" i="1"/>
  <c r="I120" i="1" s="1"/>
  <c r="J120" i="1" s="1"/>
  <c r="AE120" i="1"/>
  <c r="AC120" i="1"/>
  <c r="AB120" i="1"/>
  <c r="U120" i="1" s="1"/>
  <c r="AA120" i="1"/>
  <c r="T120" i="1" s="1"/>
  <c r="Z120" i="1"/>
  <c r="Y120" i="1"/>
  <c r="X120" i="1"/>
  <c r="Q120" i="1" s="1"/>
  <c r="V120" i="1"/>
  <c r="S120" i="1"/>
  <c r="R120" i="1"/>
  <c r="AJ119" i="1"/>
  <c r="AI119" i="1"/>
  <c r="AH119" i="1"/>
  <c r="AG119" i="1"/>
  <c r="AF119" i="1"/>
  <c r="AE119" i="1"/>
  <c r="I119" i="1" s="1"/>
  <c r="J119" i="1" s="1"/>
  <c r="AC119" i="1"/>
  <c r="AB119" i="1"/>
  <c r="AA119" i="1"/>
  <c r="Z119" i="1"/>
  <c r="Y119" i="1"/>
  <c r="L119" i="1" s="1"/>
  <c r="X119" i="1"/>
  <c r="M119" i="1" s="1"/>
  <c r="F119" i="1"/>
  <c r="E119" i="1"/>
  <c r="AJ118" i="1"/>
  <c r="AI118" i="1"/>
  <c r="AH118" i="1"/>
  <c r="I118" i="1" s="1"/>
  <c r="J118" i="1" s="1"/>
  <c r="AG118" i="1"/>
  <c r="AF118" i="1"/>
  <c r="AE118" i="1"/>
  <c r="AC118" i="1"/>
  <c r="V118" i="1" s="1"/>
  <c r="AB118" i="1"/>
  <c r="AA118" i="1"/>
  <c r="Z118" i="1"/>
  <c r="S118" i="1" s="1"/>
  <c r="Y118" i="1"/>
  <c r="L118" i="1" s="1"/>
  <c r="X118" i="1"/>
  <c r="U118" i="1"/>
  <c r="T118" i="1"/>
  <c r="Q118" i="1"/>
  <c r="M118" i="1"/>
  <c r="AJ117" i="1"/>
  <c r="AI117" i="1"/>
  <c r="AH117" i="1"/>
  <c r="AG117" i="1"/>
  <c r="AF117" i="1"/>
  <c r="I117" i="1" s="1"/>
  <c r="J117" i="1" s="1"/>
  <c r="AE117" i="1"/>
  <c r="AC117" i="1"/>
  <c r="AB117" i="1"/>
  <c r="AA117" i="1"/>
  <c r="Z117" i="1"/>
  <c r="Y117" i="1"/>
  <c r="X117" i="1"/>
  <c r="L117" i="1" s="1"/>
  <c r="M117" i="1"/>
  <c r="E117" i="1"/>
  <c r="F117" i="1" s="1"/>
  <c r="AJ116" i="1"/>
  <c r="AI116" i="1"/>
  <c r="AH116" i="1"/>
  <c r="AG116" i="1"/>
  <c r="AF116" i="1"/>
  <c r="I116" i="1" s="1"/>
  <c r="J116" i="1" s="1"/>
  <c r="AE116" i="1"/>
  <c r="AC116" i="1"/>
  <c r="AB116" i="1"/>
  <c r="AA116" i="1"/>
  <c r="Z116" i="1"/>
  <c r="Y116" i="1"/>
  <c r="X116" i="1"/>
  <c r="L116" i="1" s="1"/>
  <c r="M116" i="1"/>
  <c r="E116" i="1"/>
  <c r="F116" i="1" s="1"/>
  <c r="AJ115" i="1"/>
  <c r="AI115" i="1"/>
  <c r="AH115" i="1"/>
  <c r="AG115" i="1"/>
  <c r="AF115" i="1"/>
  <c r="I115" i="1" s="1"/>
  <c r="J115" i="1" s="1"/>
  <c r="AE115" i="1"/>
  <c r="AC115" i="1"/>
  <c r="AB115" i="1"/>
  <c r="AA115" i="1"/>
  <c r="Z115" i="1"/>
  <c r="Y115" i="1"/>
  <c r="X115" i="1"/>
  <c r="L115" i="1" s="1"/>
  <c r="M115" i="1"/>
  <c r="E115" i="1"/>
  <c r="F115" i="1" s="1"/>
  <c r="AJ114" i="1"/>
  <c r="AI114" i="1"/>
  <c r="AH114" i="1"/>
  <c r="AG114" i="1"/>
  <c r="AF114" i="1"/>
  <c r="I114" i="1" s="1"/>
  <c r="J114" i="1" s="1"/>
  <c r="AE114" i="1"/>
  <c r="AC114" i="1"/>
  <c r="AB114" i="1"/>
  <c r="AA114" i="1"/>
  <c r="Z114" i="1"/>
  <c r="Y114" i="1"/>
  <c r="X114" i="1"/>
  <c r="L114" i="1" s="1"/>
  <c r="M114" i="1"/>
  <c r="E114" i="1"/>
  <c r="F114" i="1" s="1"/>
  <c r="AJ113" i="1"/>
  <c r="AI113" i="1"/>
  <c r="AH113" i="1"/>
  <c r="AG113" i="1"/>
  <c r="AF113" i="1"/>
  <c r="I113" i="1" s="1"/>
  <c r="J113" i="1" s="1"/>
  <c r="AE113" i="1"/>
  <c r="AC113" i="1"/>
  <c r="AB113" i="1"/>
  <c r="U113" i="1" s="1"/>
  <c r="AA113" i="1"/>
  <c r="Z113" i="1"/>
  <c r="Y113" i="1"/>
  <c r="X113" i="1"/>
  <c r="Q113" i="1" s="1"/>
  <c r="V113" i="1"/>
  <c r="S113" i="1"/>
  <c r="R113" i="1"/>
  <c r="AJ112" i="1"/>
  <c r="AI112" i="1"/>
  <c r="AH112" i="1"/>
  <c r="AG112" i="1"/>
  <c r="AF112" i="1"/>
  <c r="AE112" i="1"/>
  <c r="I112" i="1" s="1"/>
  <c r="J112" i="1" s="1"/>
  <c r="AC112" i="1"/>
  <c r="AB112" i="1"/>
  <c r="AA112" i="1"/>
  <c r="Z112" i="1"/>
  <c r="Y112" i="1"/>
  <c r="X112" i="1"/>
  <c r="M112" i="1" s="1"/>
  <c r="F112" i="1"/>
  <c r="E112" i="1"/>
  <c r="AJ111" i="1"/>
  <c r="AI111" i="1"/>
  <c r="AH111" i="1"/>
  <c r="AG111" i="1"/>
  <c r="AF111" i="1"/>
  <c r="AE111" i="1"/>
  <c r="AC111" i="1"/>
  <c r="AB111" i="1"/>
  <c r="AA111" i="1"/>
  <c r="Z111" i="1"/>
  <c r="Y111" i="1"/>
  <c r="X111" i="1"/>
  <c r="F111" i="1"/>
  <c r="E111" i="1"/>
  <c r="AJ110" i="1"/>
  <c r="AI110" i="1"/>
  <c r="AH110" i="1"/>
  <c r="AG110" i="1"/>
  <c r="AF110" i="1"/>
  <c r="AE110" i="1"/>
  <c r="AC110" i="1"/>
  <c r="AB110" i="1"/>
  <c r="AA110" i="1"/>
  <c r="Z110" i="1"/>
  <c r="Y110" i="1"/>
  <c r="X110" i="1"/>
  <c r="M110" i="1" s="1"/>
  <c r="F110" i="1"/>
  <c r="E110" i="1"/>
  <c r="AJ109" i="1"/>
  <c r="AI109" i="1"/>
  <c r="AH109" i="1"/>
  <c r="AG109" i="1"/>
  <c r="AF109" i="1"/>
  <c r="AE109" i="1"/>
  <c r="AC109" i="1"/>
  <c r="AB109" i="1"/>
  <c r="AA109" i="1"/>
  <c r="Z109" i="1"/>
  <c r="Y109" i="1"/>
  <c r="X109" i="1"/>
  <c r="M109" i="1" s="1"/>
  <c r="F109" i="1"/>
  <c r="E109" i="1"/>
  <c r="AJ108" i="1"/>
  <c r="AI108" i="1"/>
  <c r="AH108" i="1"/>
  <c r="AG108" i="1"/>
  <c r="AF108" i="1"/>
  <c r="AE108" i="1"/>
  <c r="I108" i="1" s="1"/>
  <c r="J108" i="1" s="1"/>
  <c r="AC108" i="1"/>
  <c r="AB108" i="1"/>
  <c r="AA108" i="1"/>
  <c r="Z108" i="1"/>
  <c r="Y108" i="1"/>
  <c r="X108" i="1"/>
  <c r="M108" i="1" s="1"/>
  <c r="F108" i="1"/>
  <c r="E108" i="1"/>
  <c r="AJ107" i="1"/>
  <c r="AI107" i="1"/>
  <c r="AH107" i="1"/>
  <c r="AG107" i="1"/>
  <c r="AF107" i="1"/>
  <c r="AE107" i="1"/>
  <c r="AC107" i="1"/>
  <c r="AB107" i="1"/>
  <c r="AA107" i="1"/>
  <c r="Z107" i="1"/>
  <c r="Y107" i="1"/>
  <c r="X107" i="1"/>
  <c r="F107" i="1"/>
  <c r="E107" i="1"/>
  <c r="AJ106" i="1"/>
  <c r="AI106" i="1"/>
  <c r="AH106" i="1"/>
  <c r="AG106" i="1"/>
  <c r="AF106" i="1"/>
  <c r="AE106" i="1"/>
  <c r="AC106" i="1"/>
  <c r="AB106" i="1"/>
  <c r="AA106" i="1"/>
  <c r="Z106" i="1"/>
  <c r="Y106" i="1"/>
  <c r="X106" i="1"/>
  <c r="M106" i="1" s="1"/>
  <c r="F106" i="1"/>
  <c r="E106" i="1"/>
  <c r="AJ105" i="1"/>
  <c r="AI105" i="1"/>
  <c r="AH105" i="1"/>
  <c r="AG105" i="1"/>
  <c r="AF105" i="1"/>
  <c r="AE105" i="1"/>
  <c r="AC105" i="1"/>
  <c r="AB105" i="1"/>
  <c r="AA105" i="1"/>
  <c r="Z105" i="1"/>
  <c r="Y105" i="1"/>
  <c r="X105" i="1"/>
  <c r="M105" i="1" s="1"/>
  <c r="F105" i="1"/>
  <c r="E105" i="1"/>
  <c r="AJ104" i="1"/>
  <c r="AI104" i="1"/>
  <c r="AH104" i="1"/>
  <c r="AG104" i="1"/>
  <c r="AF104" i="1"/>
  <c r="AE104" i="1"/>
  <c r="I104" i="1" s="1"/>
  <c r="J104" i="1" s="1"/>
  <c r="AC104" i="1"/>
  <c r="AB104" i="1"/>
  <c r="AA104" i="1"/>
  <c r="Z104" i="1"/>
  <c r="Y104" i="1"/>
  <c r="X104" i="1"/>
  <c r="M104" i="1" s="1"/>
  <c r="F104" i="1"/>
  <c r="E104" i="1"/>
  <c r="AJ103" i="1"/>
  <c r="AI103" i="1"/>
  <c r="AH103" i="1"/>
  <c r="AG103" i="1"/>
  <c r="AF103" i="1"/>
  <c r="AE103" i="1"/>
  <c r="AC103" i="1"/>
  <c r="AB103" i="1"/>
  <c r="AA103" i="1"/>
  <c r="Z103" i="1"/>
  <c r="Y103" i="1"/>
  <c r="X103" i="1"/>
  <c r="F103" i="1"/>
  <c r="E103" i="1"/>
  <c r="AJ102" i="1"/>
  <c r="AI102" i="1"/>
  <c r="AH102" i="1"/>
  <c r="I102" i="1" s="1"/>
  <c r="J102" i="1" s="1"/>
  <c r="AG102" i="1"/>
  <c r="AF102" i="1"/>
  <c r="AE102" i="1"/>
  <c r="AC102" i="1"/>
  <c r="V102" i="1" s="1"/>
  <c r="AB102" i="1"/>
  <c r="AA102" i="1"/>
  <c r="Z102" i="1"/>
  <c r="S102" i="1" s="1"/>
  <c r="Y102" i="1"/>
  <c r="X102" i="1"/>
  <c r="U102" i="1"/>
  <c r="Q102" i="1"/>
  <c r="M102" i="1"/>
  <c r="AJ101" i="1"/>
  <c r="AI101" i="1"/>
  <c r="AH101" i="1"/>
  <c r="AG101" i="1"/>
  <c r="AF101" i="1"/>
  <c r="I101" i="1" s="1"/>
  <c r="J101" i="1" s="1"/>
  <c r="AE101" i="1"/>
  <c r="AC101" i="1"/>
  <c r="AB101" i="1"/>
  <c r="U101" i="1" s="1"/>
  <c r="AA101" i="1"/>
  <c r="Z101" i="1"/>
  <c r="Y101" i="1"/>
  <c r="X101" i="1"/>
  <c r="Q101" i="1" s="1"/>
  <c r="V101" i="1"/>
  <c r="S101" i="1"/>
  <c r="R101" i="1"/>
  <c r="AJ100" i="1"/>
  <c r="AI100" i="1"/>
  <c r="AH100" i="1"/>
  <c r="AG100" i="1"/>
  <c r="AF100" i="1"/>
  <c r="AE100" i="1"/>
  <c r="I100" i="1" s="1"/>
  <c r="J100" i="1" s="1"/>
  <c r="AC100" i="1"/>
  <c r="AB100" i="1"/>
  <c r="AA100" i="1"/>
  <c r="Z100" i="1"/>
  <c r="Y100" i="1"/>
  <c r="X100" i="1"/>
  <c r="M100" i="1" s="1"/>
  <c r="F100" i="1"/>
  <c r="E100" i="1"/>
  <c r="AJ99" i="1"/>
  <c r="AI99" i="1"/>
  <c r="AH99" i="1"/>
  <c r="AG99" i="1"/>
  <c r="AF99" i="1"/>
  <c r="AE99" i="1"/>
  <c r="AC99" i="1"/>
  <c r="AB99" i="1"/>
  <c r="AA99" i="1"/>
  <c r="Z99" i="1"/>
  <c r="Y99" i="1"/>
  <c r="X99" i="1"/>
  <c r="F99" i="1"/>
  <c r="E99" i="1"/>
  <c r="AJ98" i="1"/>
  <c r="AI98" i="1"/>
  <c r="AH98" i="1"/>
  <c r="AG98" i="1"/>
  <c r="AF98" i="1"/>
  <c r="AE98" i="1"/>
  <c r="AC98" i="1"/>
  <c r="AB98" i="1"/>
  <c r="AA98" i="1"/>
  <c r="Z98" i="1"/>
  <c r="Y98" i="1"/>
  <c r="X98" i="1"/>
  <c r="M98" i="1" s="1"/>
  <c r="F98" i="1"/>
  <c r="E98" i="1"/>
  <c r="AJ97" i="1"/>
  <c r="AI97" i="1"/>
  <c r="AH97" i="1"/>
  <c r="AG97" i="1"/>
  <c r="AF97" i="1"/>
  <c r="AE97" i="1"/>
  <c r="AC97" i="1"/>
  <c r="AB97" i="1"/>
  <c r="AA97" i="1"/>
  <c r="Z97" i="1"/>
  <c r="Y97" i="1"/>
  <c r="X97" i="1"/>
  <c r="M97" i="1" s="1"/>
  <c r="F97" i="1"/>
  <c r="E97" i="1"/>
  <c r="AJ96" i="1"/>
  <c r="AI96" i="1"/>
  <c r="AH96" i="1"/>
  <c r="AG96" i="1"/>
  <c r="AF96" i="1"/>
  <c r="AE96" i="1"/>
  <c r="I96" i="1" s="1"/>
  <c r="J96" i="1" s="1"/>
  <c r="AC96" i="1"/>
  <c r="AB96" i="1"/>
  <c r="AA96" i="1"/>
  <c r="Z96" i="1"/>
  <c r="Y96" i="1"/>
  <c r="X96" i="1"/>
  <c r="M96" i="1" s="1"/>
  <c r="F96" i="1"/>
  <c r="E96" i="1"/>
  <c r="AJ95" i="1"/>
  <c r="AI95" i="1"/>
  <c r="AH95" i="1"/>
  <c r="AG95" i="1"/>
  <c r="AF95" i="1"/>
  <c r="AE95" i="1"/>
  <c r="AC95" i="1"/>
  <c r="AB95" i="1"/>
  <c r="AA95" i="1"/>
  <c r="Z95" i="1"/>
  <c r="Y95" i="1"/>
  <c r="X95" i="1"/>
  <c r="F95" i="1"/>
  <c r="E95" i="1"/>
  <c r="AJ94" i="1"/>
  <c r="AI94" i="1"/>
  <c r="AH94" i="1"/>
  <c r="AG94" i="1"/>
  <c r="AF94" i="1"/>
  <c r="AE94" i="1"/>
  <c r="AC94" i="1"/>
  <c r="AB94" i="1"/>
  <c r="AA94" i="1"/>
  <c r="Z94" i="1"/>
  <c r="Y94" i="1"/>
  <c r="X94" i="1"/>
  <c r="M94" i="1" s="1"/>
  <c r="F94" i="1"/>
  <c r="E94" i="1"/>
  <c r="AJ93" i="1"/>
  <c r="AI93" i="1"/>
  <c r="AH93" i="1"/>
  <c r="I93" i="1" s="1"/>
  <c r="J93" i="1" s="1"/>
  <c r="AG93" i="1"/>
  <c r="AF93" i="1"/>
  <c r="AE93" i="1"/>
  <c r="AC93" i="1"/>
  <c r="V93" i="1" s="1"/>
  <c r="AB93" i="1"/>
  <c r="AA93" i="1"/>
  <c r="Z93" i="1"/>
  <c r="S93" i="1" s="1"/>
  <c r="Y93" i="1"/>
  <c r="X93" i="1"/>
  <c r="U93" i="1"/>
  <c r="T93" i="1"/>
  <c r="Q93" i="1"/>
  <c r="M93" i="1"/>
  <c r="AJ92" i="1"/>
  <c r="AI92" i="1"/>
  <c r="AH92" i="1"/>
  <c r="AG92" i="1"/>
  <c r="I92" i="1" s="1"/>
  <c r="J92" i="1" s="1"/>
  <c r="AF92" i="1"/>
  <c r="AE92" i="1"/>
  <c r="AC92" i="1"/>
  <c r="AB92" i="1"/>
  <c r="AA92" i="1"/>
  <c r="Z92" i="1"/>
  <c r="Y92" i="1"/>
  <c r="X92" i="1"/>
  <c r="E92" i="1"/>
  <c r="F92" i="1" s="1"/>
  <c r="AJ91" i="1"/>
  <c r="AI91" i="1"/>
  <c r="AH91" i="1"/>
  <c r="AG91" i="1"/>
  <c r="I91" i="1" s="1"/>
  <c r="J91" i="1" s="1"/>
  <c r="AF91" i="1"/>
  <c r="AE91" i="1"/>
  <c r="AC91" i="1"/>
  <c r="AB91" i="1"/>
  <c r="AA91" i="1"/>
  <c r="Z91" i="1"/>
  <c r="Y91" i="1"/>
  <c r="X91" i="1"/>
  <c r="E91" i="1"/>
  <c r="F91" i="1" s="1"/>
  <c r="AJ90" i="1"/>
  <c r="AI90" i="1"/>
  <c r="AH90" i="1"/>
  <c r="AG90" i="1"/>
  <c r="I90" i="1" s="1"/>
  <c r="J90" i="1" s="1"/>
  <c r="AF90" i="1"/>
  <c r="AE90" i="1"/>
  <c r="AC90" i="1"/>
  <c r="AB90" i="1"/>
  <c r="AA90" i="1"/>
  <c r="Z90" i="1"/>
  <c r="Y90" i="1"/>
  <c r="X90" i="1"/>
  <c r="E90" i="1"/>
  <c r="F90" i="1" s="1"/>
  <c r="AJ89" i="1"/>
  <c r="AI89" i="1"/>
  <c r="AH89" i="1"/>
  <c r="AG89" i="1"/>
  <c r="I89" i="1" s="1"/>
  <c r="J89" i="1" s="1"/>
  <c r="AF89" i="1"/>
  <c r="AE89" i="1"/>
  <c r="AC89" i="1"/>
  <c r="AB89" i="1"/>
  <c r="AA89" i="1"/>
  <c r="Z89" i="1"/>
  <c r="Y89" i="1"/>
  <c r="X89" i="1"/>
  <c r="E89" i="1"/>
  <c r="F89" i="1" s="1"/>
  <c r="AJ88" i="1"/>
  <c r="AI88" i="1"/>
  <c r="AH88" i="1"/>
  <c r="AG88" i="1"/>
  <c r="I88" i="1" s="1"/>
  <c r="J88" i="1" s="1"/>
  <c r="AF88" i="1"/>
  <c r="AE88" i="1"/>
  <c r="AC88" i="1"/>
  <c r="AB88" i="1"/>
  <c r="AA88" i="1"/>
  <c r="Z88" i="1"/>
  <c r="Y88" i="1"/>
  <c r="X88" i="1"/>
  <c r="E88" i="1"/>
  <c r="F88" i="1" s="1"/>
  <c r="AJ87" i="1"/>
  <c r="AI87" i="1"/>
  <c r="AH87" i="1"/>
  <c r="AG87" i="1"/>
  <c r="I87" i="1" s="1"/>
  <c r="J87" i="1" s="1"/>
  <c r="AF87" i="1"/>
  <c r="AE87" i="1"/>
  <c r="AC87" i="1"/>
  <c r="AB87" i="1"/>
  <c r="AA87" i="1"/>
  <c r="Z87" i="1"/>
  <c r="Y87" i="1"/>
  <c r="X87" i="1"/>
  <c r="E87" i="1"/>
  <c r="F87" i="1" s="1"/>
  <c r="AJ86" i="1"/>
  <c r="AI86" i="1"/>
  <c r="AH86" i="1"/>
  <c r="AG86" i="1"/>
  <c r="I86" i="1" s="1"/>
  <c r="J86" i="1" s="1"/>
  <c r="AF86" i="1"/>
  <c r="AE86" i="1"/>
  <c r="AC86" i="1"/>
  <c r="AB86" i="1"/>
  <c r="AA86" i="1"/>
  <c r="Z86" i="1"/>
  <c r="Y86" i="1"/>
  <c r="X86" i="1"/>
  <c r="E86" i="1"/>
  <c r="F86" i="1" s="1"/>
  <c r="AJ85" i="1"/>
  <c r="AI85" i="1"/>
  <c r="AH85" i="1"/>
  <c r="AG85" i="1"/>
  <c r="I85" i="1" s="1"/>
  <c r="J85" i="1" s="1"/>
  <c r="AF85" i="1"/>
  <c r="AE85" i="1"/>
  <c r="AC85" i="1"/>
  <c r="AB85" i="1"/>
  <c r="AA85" i="1"/>
  <c r="Z85" i="1"/>
  <c r="Y85" i="1"/>
  <c r="X85" i="1"/>
  <c r="E85" i="1"/>
  <c r="F85" i="1" s="1"/>
  <c r="AJ84" i="1"/>
  <c r="AI84" i="1"/>
  <c r="AH84" i="1"/>
  <c r="AG84" i="1"/>
  <c r="I84" i="1" s="1"/>
  <c r="J84" i="1" s="1"/>
  <c r="AF84" i="1"/>
  <c r="AE84" i="1"/>
  <c r="AC84" i="1"/>
  <c r="AB84" i="1"/>
  <c r="AA84" i="1"/>
  <c r="Z84" i="1"/>
  <c r="Y84" i="1"/>
  <c r="X84" i="1"/>
  <c r="E84" i="1"/>
  <c r="F84" i="1" s="1"/>
  <c r="AJ83" i="1"/>
  <c r="AI83" i="1"/>
  <c r="AH83" i="1"/>
  <c r="AG83" i="1"/>
  <c r="I83" i="1" s="1"/>
  <c r="J83" i="1" s="1"/>
  <c r="AF83" i="1"/>
  <c r="AE83" i="1"/>
  <c r="AC83" i="1"/>
  <c r="AB83" i="1"/>
  <c r="AA83" i="1"/>
  <c r="Z83" i="1"/>
  <c r="Y83" i="1"/>
  <c r="X83" i="1"/>
  <c r="G83" i="1" s="1"/>
  <c r="H83" i="1" s="1"/>
  <c r="E83" i="1"/>
  <c r="F83" i="1" s="1"/>
  <c r="AJ82" i="1"/>
  <c r="AI82" i="1"/>
  <c r="AH82" i="1"/>
  <c r="AG82" i="1"/>
  <c r="AF82" i="1"/>
  <c r="AE82" i="1"/>
  <c r="AC82" i="1"/>
  <c r="AB82" i="1"/>
  <c r="AA82" i="1"/>
  <c r="Z82" i="1"/>
  <c r="M82" i="1" s="1"/>
  <c r="Y82" i="1"/>
  <c r="X82" i="1"/>
  <c r="L82" i="1"/>
  <c r="I82" i="1"/>
  <c r="J82" i="1" s="1"/>
  <c r="E82" i="1"/>
  <c r="F82" i="1" s="1"/>
  <c r="AJ81" i="1"/>
  <c r="AI81" i="1"/>
  <c r="AH81" i="1"/>
  <c r="AG81" i="1"/>
  <c r="AF81" i="1"/>
  <c r="I81" i="1" s="1"/>
  <c r="J81" i="1" s="1"/>
  <c r="AE81" i="1"/>
  <c r="AC81" i="1"/>
  <c r="AB81" i="1"/>
  <c r="AA81" i="1"/>
  <c r="Z81" i="1"/>
  <c r="Y81" i="1"/>
  <c r="X81" i="1"/>
  <c r="M81" i="1"/>
  <c r="G81" i="1"/>
  <c r="H81" i="1" s="1"/>
  <c r="E81" i="1"/>
  <c r="F81" i="1" s="1"/>
  <c r="AJ80" i="1"/>
  <c r="AI80" i="1"/>
  <c r="AH80" i="1"/>
  <c r="AG80" i="1"/>
  <c r="AF80" i="1"/>
  <c r="AE80" i="1"/>
  <c r="AC80" i="1"/>
  <c r="AB80" i="1"/>
  <c r="AA80" i="1"/>
  <c r="Z80" i="1"/>
  <c r="M80" i="1" s="1"/>
  <c r="Y80" i="1"/>
  <c r="X80" i="1"/>
  <c r="L80" i="1"/>
  <c r="I80" i="1"/>
  <c r="J80" i="1" s="1"/>
  <c r="E80" i="1"/>
  <c r="F80" i="1" s="1"/>
  <c r="AJ79" i="1"/>
  <c r="AI79" i="1"/>
  <c r="AH79" i="1"/>
  <c r="AG79" i="1"/>
  <c r="S79" i="1" s="1"/>
  <c r="AF79" i="1"/>
  <c r="AE79" i="1"/>
  <c r="AC79" i="1"/>
  <c r="AB79" i="1"/>
  <c r="U79" i="1" s="1"/>
  <c r="AA79" i="1"/>
  <c r="T79" i="1" s="1"/>
  <c r="Z79" i="1"/>
  <c r="Y79" i="1"/>
  <c r="X79" i="1"/>
  <c r="V79" i="1"/>
  <c r="Q79" i="1"/>
  <c r="G79" i="1"/>
  <c r="H79" i="1" s="1"/>
  <c r="AJ78" i="1"/>
  <c r="AI78" i="1"/>
  <c r="AH78" i="1"/>
  <c r="AG78" i="1"/>
  <c r="AF78" i="1"/>
  <c r="AE78" i="1"/>
  <c r="I78" i="1" s="1"/>
  <c r="AC78" i="1"/>
  <c r="AB78" i="1"/>
  <c r="AA78" i="1"/>
  <c r="Z78" i="1"/>
  <c r="Y78" i="1"/>
  <c r="X78" i="1"/>
  <c r="J78" i="1"/>
  <c r="E78" i="1"/>
  <c r="F78" i="1" s="1"/>
  <c r="AJ77" i="1"/>
  <c r="AI77" i="1"/>
  <c r="AH77" i="1"/>
  <c r="AG77" i="1"/>
  <c r="I77" i="1" s="1"/>
  <c r="J77" i="1" s="1"/>
  <c r="AF77" i="1"/>
  <c r="AE77" i="1"/>
  <c r="AC77" i="1"/>
  <c r="AB77" i="1"/>
  <c r="AA77" i="1"/>
  <c r="Z77" i="1"/>
  <c r="Y77" i="1"/>
  <c r="X77" i="1"/>
  <c r="G77" i="1" s="1"/>
  <c r="H77" i="1" s="1"/>
  <c r="E77" i="1"/>
  <c r="F77" i="1" s="1"/>
  <c r="AJ76" i="1"/>
  <c r="AI76" i="1"/>
  <c r="AH76" i="1"/>
  <c r="AG76" i="1"/>
  <c r="AF76" i="1"/>
  <c r="AE76" i="1"/>
  <c r="I76" i="1" s="1"/>
  <c r="AC76" i="1"/>
  <c r="AB76" i="1"/>
  <c r="AA76" i="1"/>
  <c r="Z76" i="1"/>
  <c r="Y76" i="1"/>
  <c r="X76" i="1"/>
  <c r="J76" i="1"/>
  <c r="E76" i="1"/>
  <c r="F76" i="1" s="1"/>
  <c r="AJ75" i="1"/>
  <c r="AI75" i="1"/>
  <c r="AH75" i="1"/>
  <c r="AG75" i="1"/>
  <c r="I75" i="1" s="1"/>
  <c r="J75" i="1" s="1"/>
  <c r="AF75" i="1"/>
  <c r="AE75" i="1"/>
  <c r="AC75" i="1"/>
  <c r="AB75" i="1"/>
  <c r="AA75" i="1"/>
  <c r="Z75" i="1"/>
  <c r="Y75" i="1"/>
  <c r="X75" i="1"/>
  <c r="G75" i="1" s="1"/>
  <c r="H75" i="1" s="1"/>
  <c r="E75" i="1"/>
  <c r="F75" i="1" s="1"/>
  <c r="AJ74" i="1"/>
  <c r="AI74" i="1"/>
  <c r="AH74" i="1"/>
  <c r="AG74" i="1"/>
  <c r="AF74" i="1"/>
  <c r="AE74" i="1"/>
  <c r="I74" i="1" s="1"/>
  <c r="AC74" i="1"/>
  <c r="AB74" i="1"/>
  <c r="AA74" i="1"/>
  <c r="Z74" i="1"/>
  <c r="Y74" i="1"/>
  <c r="X74" i="1"/>
  <c r="J74" i="1"/>
  <c r="E74" i="1"/>
  <c r="F74" i="1" s="1"/>
  <c r="AJ73" i="1"/>
  <c r="AI73" i="1"/>
  <c r="AH73" i="1"/>
  <c r="AG73" i="1"/>
  <c r="I73" i="1" s="1"/>
  <c r="J73" i="1" s="1"/>
  <c r="AF73" i="1"/>
  <c r="AE73" i="1"/>
  <c r="AC73" i="1"/>
  <c r="AB73" i="1"/>
  <c r="AA73" i="1"/>
  <c r="Z73" i="1"/>
  <c r="Y73" i="1"/>
  <c r="X73" i="1"/>
  <c r="G73" i="1" s="1"/>
  <c r="H73" i="1" s="1"/>
  <c r="E73" i="1"/>
  <c r="F73" i="1" s="1"/>
  <c r="AJ72" i="1"/>
  <c r="AI72" i="1"/>
  <c r="AH72" i="1"/>
  <c r="AG72" i="1"/>
  <c r="AF72" i="1"/>
  <c r="AE72" i="1"/>
  <c r="I72" i="1" s="1"/>
  <c r="AC72" i="1"/>
  <c r="AB72" i="1"/>
  <c r="AA72" i="1"/>
  <c r="Z72" i="1"/>
  <c r="Y72" i="1"/>
  <c r="X72" i="1"/>
  <c r="J72" i="1"/>
  <c r="E72" i="1"/>
  <c r="F72" i="1" s="1"/>
  <c r="AJ71" i="1"/>
  <c r="AI71" i="1"/>
  <c r="AH71" i="1"/>
  <c r="T71" i="1" s="1"/>
  <c r="AG71" i="1"/>
  <c r="AF71" i="1"/>
  <c r="AE71" i="1"/>
  <c r="AC71" i="1"/>
  <c r="V71" i="1" s="1"/>
  <c r="AB71" i="1"/>
  <c r="U71" i="1" s="1"/>
  <c r="AA71" i="1"/>
  <c r="Z71" i="1"/>
  <c r="Y71" i="1"/>
  <c r="R71" i="1" s="1"/>
  <c r="X71" i="1"/>
  <c r="Q71" i="1" s="1"/>
  <c r="AJ70" i="1"/>
  <c r="AI70" i="1"/>
  <c r="AH70" i="1"/>
  <c r="AG70" i="1"/>
  <c r="AF70" i="1"/>
  <c r="R70" i="1" s="1"/>
  <c r="AE70" i="1"/>
  <c r="AC70" i="1"/>
  <c r="AB70" i="1"/>
  <c r="AA70" i="1"/>
  <c r="T70" i="1" s="1"/>
  <c r="Z70" i="1"/>
  <c r="S70" i="1" s="1"/>
  <c r="Y70" i="1"/>
  <c r="X70" i="1"/>
  <c r="L70" i="1" s="1"/>
  <c r="V70" i="1"/>
  <c r="U70" i="1"/>
  <c r="AJ69" i="1"/>
  <c r="AI69" i="1"/>
  <c r="AH69" i="1"/>
  <c r="AG69" i="1"/>
  <c r="AF69" i="1"/>
  <c r="I69" i="1" s="1"/>
  <c r="J69" i="1" s="1"/>
  <c r="AE69" i="1"/>
  <c r="AC69" i="1"/>
  <c r="AB69" i="1"/>
  <c r="AA69" i="1"/>
  <c r="Z69" i="1"/>
  <c r="Y69" i="1"/>
  <c r="X69" i="1"/>
  <c r="M69" i="1"/>
  <c r="E69" i="1"/>
  <c r="F69" i="1" s="1"/>
  <c r="AJ68" i="1"/>
  <c r="AI68" i="1"/>
  <c r="AH68" i="1"/>
  <c r="AG68" i="1"/>
  <c r="AF68" i="1"/>
  <c r="I68" i="1" s="1"/>
  <c r="J68" i="1" s="1"/>
  <c r="AE68" i="1"/>
  <c r="AC68" i="1"/>
  <c r="AB68" i="1"/>
  <c r="AA68" i="1"/>
  <c r="Z68" i="1"/>
  <c r="Y68" i="1"/>
  <c r="X68" i="1"/>
  <c r="M68" i="1"/>
  <c r="E68" i="1"/>
  <c r="F68" i="1" s="1"/>
  <c r="AJ67" i="1"/>
  <c r="AI67" i="1"/>
  <c r="AH67" i="1"/>
  <c r="AG67" i="1"/>
  <c r="AF67" i="1"/>
  <c r="I67" i="1" s="1"/>
  <c r="J67" i="1" s="1"/>
  <c r="AE67" i="1"/>
  <c r="AC67" i="1"/>
  <c r="AB67" i="1"/>
  <c r="AA67" i="1"/>
  <c r="Z67" i="1"/>
  <c r="Y67" i="1"/>
  <c r="X67" i="1"/>
  <c r="L67" i="1" s="1"/>
  <c r="M67" i="1"/>
  <c r="E67" i="1"/>
  <c r="F67" i="1" s="1"/>
  <c r="AJ66" i="1"/>
  <c r="AI66" i="1"/>
  <c r="AH66" i="1"/>
  <c r="AG66" i="1"/>
  <c r="AF66" i="1"/>
  <c r="I66" i="1" s="1"/>
  <c r="J66" i="1" s="1"/>
  <c r="AE66" i="1"/>
  <c r="AC66" i="1"/>
  <c r="AB66" i="1"/>
  <c r="AA66" i="1"/>
  <c r="Z66" i="1"/>
  <c r="Y66" i="1"/>
  <c r="X66" i="1"/>
  <c r="L66" i="1" s="1"/>
  <c r="M66" i="1"/>
  <c r="E66" i="1"/>
  <c r="F66" i="1" s="1"/>
  <c r="AJ65" i="1"/>
  <c r="AI65" i="1"/>
  <c r="AH65" i="1"/>
  <c r="AG65" i="1"/>
  <c r="AF65" i="1"/>
  <c r="I65" i="1" s="1"/>
  <c r="J65" i="1" s="1"/>
  <c r="AE65" i="1"/>
  <c r="AC65" i="1"/>
  <c r="AB65" i="1"/>
  <c r="AA65" i="1"/>
  <c r="Z65" i="1"/>
  <c r="Y65" i="1"/>
  <c r="X65" i="1"/>
  <c r="M65" i="1"/>
  <c r="E65" i="1"/>
  <c r="F65" i="1" s="1"/>
  <c r="AJ64" i="1"/>
  <c r="AI64" i="1"/>
  <c r="AH64" i="1"/>
  <c r="AG64" i="1"/>
  <c r="AF64" i="1"/>
  <c r="I64" i="1" s="1"/>
  <c r="J64" i="1" s="1"/>
  <c r="AE64" i="1"/>
  <c r="AC64" i="1"/>
  <c r="AB64" i="1"/>
  <c r="AA64" i="1"/>
  <c r="Z64" i="1"/>
  <c r="Y64" i="1"/>
  <c r="X64" i="1"/>
  <c r="M64" i="1"/>
  <c r="E64" i="1"/>
  <c r="F64" i="1" s="1"/>
  <c r="AJ63" i="1"/>
  <c r="AI63" i="1"/>
  <c r="AH63" i="1"/>
  <c r="AG63" i="1"/>
  <c r="AF63" i="1"/>
  <c r="I63" i="1" s="1"/>
  <c r="J63" i="1" s="1"/>
  <c r="AE63" i="1"/>
  <c r="AC63" i="1"/>
  <c r="AB63" i="1"/>
  <c r="AA63" i="1"/>
  <c r="Z63" i="1"/>
  <c r="Y63" i="1"/>
  <c r="X63" i="1"/>
  <c r="L63" i="1" s="1"/>
  <c r="M63" i="1"/>
  <c r="E63" i="1"/>
  <c r="F63" i="1" s="1"/>
  <c r="AJ62" i="1"/>
  <c r="AI62" i="1"/>
  <c r="AH62" i="1"/>
  <c r="AG62" i="1"/>
  <c r="AF62" i="1"/>
  <c r="I62" i="1" s="1"/>
  <c r="J62" i="1" s="1"/>
  <c r="AE62" i="1"/>
  <c r="AC62" i="1"/>
  <c r="AB62" i="1"/>
  <c r="AA62" i="1"/>
  <c r="Z62" i="1"/>
  <c r="Y62" i="1"/>
  <c r="X62" i="1"/>
  <c r="L62" i="1" s="1"/>
  <c r="M62" i="1"/>
  <c r="E62" i="1"/>
  <c r="F62" i="1" s="1"/>
  <c r="AJ61" i="1"/>
  <c r="AI61" i="1"/>
  <c r="AH61" i="1"/>
  <c r="AG61" i="1"/>
  <c r="AF61" i="1"/>
  <c r="I61" i="1" s="1"/>
  <c r="J61" i="1" s="1"/>
  <c r="AE61" i="1"/>
  <c r="AC61" i="1"/>
  <c r="AB61" i="1"/>
  <c r="AA61" i="1"/>
  <c r="Z61" i="1"/>
  <c r="Y61" i="1"/>
  <c r="X61" i="1"/>
  <c r="M61" i="1"/>
  <c r="E61" i="1"/>
  <c r="F61" i="1" s="1"/>
  <c r="AJ60" i="1"/>
  <c r="AI60" i="1"/>
  <c r="AH60" i="1"/>
  <c r="AG60" i="1"/>
  <c r="AF60" i="1"/>
  <c r="I60" i="1" s="1"/>
  <c r="AE60" i="1"/>
  <c r="AC60" i="1"/>
  <c r="AB60" i="1"/>
  <c r="U60" i="1" s="1"/>
  <c r="AA60" i="1"/>
  <c r="T60" i="1" s="1"/>
  <c r="Z60" i="1"/>
  <c r="Y60" i="1"/>
  <c r="X60" i="1"/>
  <c r="Q60" i="1" s="1"/>
  <c r="V60" i="1"/>
  <c r="S60" i="1"/>
  <c r="J60" i="1"/>
  <c r="G60" i="1"/>
  <c r="H60" i="1" s="1"/>
  <c r="AJ59" i="1"/>
  <c r="AI59" i="1"/>
  <c r="AH59" i="1"/>
  <c r="AG59" i="1"/>
  <c r="AF59" i="1"/>
  <c r="AE59" i="1"/>
  <c r="AC59" i="1"/>
  <c r="AB59" i="1"/>
  <c r="AA59" i="1"/>
  <c r="Z59" i="1"/>
  <c r="Y59" i="1"/>
  <c r="M59" i="1" s="1"/>
  <c r="X59" i="1"/>
  <c r="G59" i="1"/>
  <c r="H59" i="1" s="1"/>
  <c r="F59" i="1"/>
  <c r="E59" i="1"/>
  <c r="AJ58" i="1"/>
  <c r="AI58" i="1"/>
  <c r="AH58" i="1"/>
  <c r="AG58" i="1"/>
  <c r="AF58" i="1"/>
  <c r="AE58" i="1"/>
  <c r="I58" i="1" s="1"/>
  <c r="AC58" i="1"/>
  <c r="AB58" i="1"/>
  <c r="AA58" i="1"/>
  <c r="Z58" i="1"/>
  <c r="G58" i="1" s="1"/>
  <c r="H58" i="1" s="1"/>
  <c r="Y58" i="1"/>
  <c r="X58" i="1"/>
  <c r="J58" i="1"/>
  <c r="F58" i="1"/>
  <c r="E58" i="1"/>
  <c r="AJ57" i="1"/>
  <c r="AI57" i="1"/>
  <c r="AH57" i="1"/>
  <c r="AG57" i="1"/>
  <c r="AF57" i="1"/>
  <c r="AE57" i="1"/>
  <c r="I57" i="1" s="1"/>
  <c r="AC57" i="1"/>
  <c r="AB57" i="1"/>
  <c r="AA57" i="1"/>
  <c r="Z57" i="1"/>
  <c r="G57" i="1" s="1"/>
  <c r="H57" i="1" s="1"/>
  <c r="Y57" i="1"/>
  <c r="X57" i="1"/>
  <c r="L57" i="1"/>
  <c r="J57" i="1"/>
  <c r="F57" i="1"/>
  <c r="E57" i="1"/>
  <c r="AJ56" i="1"/>
  <c r="AI56" i="1"/>
  <c r="AH56" i="1"/>
  <c r="AG56" i="1"/>
  <c r="AF56" i="1"/>
  <c r="AE56" i="1"/>
  <c r="AC56" i="1"/>
  <c r="AB56" i="1"/>
  <c r="AA56" i="1"/>
  <c r="Z56" i="1"/>
  <c r="Y56" i="1"/>
  <c r="M56" i="1" s="1"/>
  <c r="X56" i="1"/>
  <c r="G56" i="1"/>
  <c r="H56" i="1" s="1"/>
  <c r="F56" i="1"/>
  <c r="E56" i="1"/>
  <c r="AJ55" i="1"/>
  <c r="AI55" i="1"/>
  <c r="AH55" i="1"/>
  <c r="AG55" i="1"/>
  <c r="AF55" i="1"/>
  <c r="AE55" i="1"/>
  <c r="AC55" i="1"/>
  <c r="AB55" i="1"/>
  <c r="AA55" i="1"/>
  <c r="Z55" i="1"/>
  <c r="Y55" i="1"/>
  <c r="M55" i="1" s="1"/>
  <c r="X55" i="1"/>
  <c r="G55" i="1"/>
  <c r="H55" i="1" s="1"/>
  <c r="F55" i="1"/>
  <c r="E55" i="1"/>
  <c r="AJ54" i="1"/>
  <c r="AI54" i="1"/>
  <c r="AH54" i="1"/>
  <c r="AG54" i="1"/>
  <c r="AF54" i="1"/>
  <c r="AE54" i="1"/>
  <c r="I54" i="1" s="1"/>
  <c r="AC54" i="1"/>
  <c r="AB54" i="1"/>
  <c r="AA54" i="1"/>
  <c r="Z54" i="1"/>
  <c r="G54" i="1" s="1"/>
  <c r="H54" i="1" s="1"/>
  <c r="Y54" i="1"/>
  <c r="X54" i="1"/>
  <c r="J54" i="1"/>
  <c r="F54" i="1"/>
  <c r="E54" i="1"/>
  <c r="AJ53" i="1"/>
  <c r="AI53" i="1"/>
  <c r="AH53" i="1"/>
  <c r="AG53" i="1"/>
  <c r="AF53" i="1"/>
  <c r="AE53" i="1"/>
  <c r="I53" i="1" s="1"/>
  <c r="AC53" i="1"/>
  <c r="AB53" i="1"/>
  <c r="AA53" i="1"/>
  <c r="Z53" i="1"/>
  <c r="G53" i="1" s="1"/>
  <c r="H53" i="1" s="1"/>
  <c r="Y53" i="1"/>
  <c r="X53" i="1"/>
  <c r="M53" i="1" s="1"/>
  <c r="L53" i="1"/>
  <c r="J53" i="1"/>
  <c r="F53" i="1"/>
  <c r="E53" i="1"/>
  <c r="AJ52" i="1"/>
  <c r="AI52" i="1"/>
  <c r="AH52" i="1"/>
  <c r="AG52" i="1"/>
  <c r="AF52" i="1"/>
  <c r="AE52" i="1"/>
  <c r="AC52" i="1"/>
  <c r="AB52" i="1"/>
  <c r="AA52" i="1"/>
  <c r="Z52" i="1"/>
  <c r="Y52" i="1"/>
  <c r="L52" i="1" s="1"/>
  <c r="X52" i="1"/>
  <c r="M52" i="1" s="1"/>
  <c r="G52" i="1"/>
  <c r="H52" i="1" s="1"/>
  <c r="F52" i="1"/>
  <c r="E52" i="1"/>
  <c r="AJ51" i="1"/>
  <c r="AI51" i="1"/>
  <c r="AH51" i="1"/>
  <c r="AG51" i="1"/>
  <c r="AF51" i="1"/>
  <c r="AE51" i="1"/>
  <c r="AC51" i="1"/>
  <c r="AB51" i="1"/>
  <c r="AA51" i="1"/>
  <c r="Z51" i="1"/>
  <c r="Y51" i="1"/>
  <c r="L51" i="1" s="1"/>
  <c r="X51" i="1"/>
  <c r="G51" i="1"/>
  <c r="H51" i="1" s="1"/>
  <c r="F51" i="1"/>
  <c r="E51" i="1"/>
  <c r="AJ50" i="1"/>
  <c r="AI50" i="1"/>
  <c r="AH50" i="1"/>
  <c r="AG50" i="1"/>
  <c r="AF50" i="1"/>
  <c r="AE50" i="1"/>
  <c r="I50" i="1" s="1"/>
  <c r="AC50" i="1"/>
  <c r="AB50" i="1"/>
  <c r="AA50" i="1"/>
  <c r="Z50" i="1"/>
  <c r="G50" i="1" s="1"/>
  <c r="H50" i="1" s="1"/>
  <c r="Y50" i="1"/>
  <c r="X50" i="1"/>
  <c r="J50" i="1"/>
  <c r="F50" i="1"/>
  <c r="E50" i="1"/>
  <c r="AJ49" i="1"/>
  <c r="AI49" i="1"/>
  <c r="AH49" i="1"/>
  <c r="AG49" i="1"/>
  <c r="AF49" i="1"/>
  <c r="AE49" i="1"/>
  <c r="I49" i="1" s="1"/>
  <c r="AC49" i="1"/>
  <c r="AB49" i="1"/>
  <c r="AA49" i="1"/>
  <c r="Z49" i="1"/>
  <c r="G49" i="1" s="1"/>
  <c r="H49" i="1" s="1"/>
  <c r="Y49" i="1"/>
  <c r="X49" i="1"/>
  <c r="M49" i="1" s="1"/>
  <c r="L49" i="1"/>
  <c r="J49" i="1"/>
  <c r="F49" i="1"/>
  <c r="E49" i="1"/>
  <c r="AJ48" i="1"/>
  <c r="AI48" i="1"/>
  <c r="AH48" i="1"/>
  <c r="AG48" i="1"/>
  <c r="AF48" i="1"/>
  <c r="AE48" i="1"/>
  <c r="AC48" i="1"/>
  <c r="AB48" i="1"/>
  <c r="AA48" i="1"/>
  <c r="Z48" i="1"/>
  <c r="Y48" i="1"/>
  <c r="L48" i="1" s="1"/>
  <c r="X48" i="1"/>
  <c r="M48" i="1" s="1"/>
  <c r="G48" i="1"/>
  <c r="H48" i="1" s="1"/>
  <c r="F48" i="1"/>
  <c r="E48" i="1"/>
  <c r="AJ47" i="1"/>
  <c r="AI47" i="1"/>
  <c r="AH47" i="1"/>
  <c r="AG47" i="1"/>
  <c r="AF47" i="1"/>
  <c r="AE47" i="1"/>
  <c r="AC47" i="1"/>
  <c r="AB47" i="1"/>
  <c r="AA47" i="1"/>
  <c r="Z47" i="1"/>
  <c r="Y47" i="1"/>
  <c r="L47" i="1" s="1"/>
  <c r="X47" i="1"/>
  <c r="G47" i="1"/>
  <c r="H47" i="1" s="1"/>
  <c r="F47" i="1"/>
  <c r="E47" i="1"/>
  <c r="AJ46" i="1"/>
  <c r="AI46" i="1"/>
  <c r="AH46" i="1"/>
  <c r="AG46" i="1"/>
  <c r="AF46" i="1"/>
  <c r="AE46" i="1"/>
  <c r="I46" i="1" s="1"/>
  <c r="AC46" i="1"/>
  <c r="AB46" i="1"/>
  <c r="AA46" i="1"/>
  <c r="Z46" i="1"/>
  <c r="G46" i="1" s="1"/>
  <c r="H46" i="1" s="1"/>
  <c r="Y46" i="1"/>
  <c r="X46" i="1"/>
  <c r="J46" i="1"/>
  <c r="F46" i="1"/>
  <c r="E46" i="1"/>
  <c r="AJ45" i="1"/>
  <c r="AI45" i="1"/>
  <c r="AH45" i="1"/>
  <c r="AG45" i="1"/>
  <c r="AF45" i="1"/>
  <c r="AE45" i="1"/>
  <c r="I45" i="1" s="1"/>
  <c r="AC45" i="1"/>
  <c r="AB45" i="1"/>
  <c r="AA45" i="1"/>
  <c r="Z45" i="1"/>
  <c r="G45" i="1" s="1"/>
  <c r="H45" i="1" s="1"/>
  <c r="Y45" i="1"/>
  <c r="X45" i="1"/>
  <c r="M45" i="1" s="1"/>
  <c r="L45" i="1"/>
  <c r="J45" i="1"/>
  <c r="F45" i="1"/>
  <c r="E45" i="1"/>
  <c r="AJ44" i="1"/>
  <c r="AI44" i="1"/>
  <c r="AH44" i="1"/>
  <c r="I44" i="1" s="1"/>
  <c r="J44" i="1" s="1"/>
  <c r="AG44" i="1"/>
  <c r="AF44" i="1"/>
  <c r="AE44" i="1"/>
  <c r="AC44" i="1"/>
  <c r="V44" i="1" s="1"/>
  <c r="AB44" i="1"/>
  <c r="AA44" i="1"/>
  <c r="Z44" i="1"/>
  <c r="S44" i="1" s="1"/>
  <c r="Y44" i="1"/>
  <c r="X44" i="1"/>
  <c r="U44" i="1"/>
  <c r="Q44" i="1"/>
  <c r="M44" i="1"/>
  <c r="AJ43" i="1"/>
  <c r="AI43" i="1"/>
  <c r="AH43" i="1"/>
  <c r="AG43" i="1"/>
  <c r="S43" i="1" s="1"/>
  <c r="AF43" i="1"/>
  <c r="I43" i="1" s="1"/>
  <c r="AE43" i="1"/>
  <c r="AC43" i="1"/>
  <c r="AB43" i="1"/>
  <c r="U43" i="1" s="1"/>
  <c r="AA43" i="1"/>
  <c r="T43" i="1" s="1"/>
  <c r="Z43" i="1"/>
  <c r="Y43" i="1"/>
  <c r="X43" i="1"/>
  <c r="V43" i="1"/>
  <c r="J43" i="1"/>
  <c r="AJ42" i="1"/>
  <c r="AI42" i="1"/>
  <c r="AH42" i="1"/>
  <c r="AG42" i="1"/>
  <c r="AF42" i="1"/>
  <c r="AE42" i="1"/>
  <c r="I42" i="1" s="1"/>
  <c r="AC42" i="1"/>
  <c r="AB42" i="1"/>
  <c r="AA42" i="1"/>
  <c r="Z42" i="1"/>
  <c r="G42" i="1" s="1"/>
  <c r="H42" i="1" s="1"/>
  <c r="Y42" i="1"/>
  <c r="X42" i="1"/>
  <c r="J42" i="1"/>
  <c r="F42" i="1"/>
  <c r="E42" i="1"/>
  <c r="AJ41" i="1"/>
  <c r="AI41" i="1"/>
  <c r="AH41" i="1"/>
  <c r="AG41" i="1"/>
  <c r="AF41" i="1"/>
  <c r="AE41" i="1"/>
  <c r="Q41" i="1" s="1"/>
  <c r="AC41" i="1"/>
  <c r="V41" i="1" s="1"/>
  <c r="AB41" i="1"/>
  <c r="AA41" i="1"/>
  <c r="Z41" i="1"/>
  <c r="S41" i="1" s="1"/>
  <c r="Y41" i="1"/>
  <c r="X41" i="1"/>
  <c r="U41" i="1"/>
  <c r="T41" i="1"/>
  <c r="M41" i="1"/>
  <c r="I41" i="1"/>
  <c r="J41" i="1" s="1"/>
  <c r="AJ40" i="1"/>
  <c r="AI40" i="1"/>
  <c r="AH40" i="1"/>
  <c r="AG40" i="1"/>
  <c r="AF40" i="1"/>
  <c r="I40" i="1" s="1"/>
  <c r="AE40" i="1"/>
  <c r="AC40" i="1"/>
  <c r="AB40" i="1"/>
  <c r="U40" i="1" s="1"/>
  <c r="AA40" i="1"/>
  <c r="T40" i="1" s="1"/>
  <c r="Z40" i="1"/>
  <c r="Y40" i="1"/>
  <c r="X40" i="1"/>
  <c r="V40" i="1"/>
  <c r="S40" i="1"/>
  <c r="J40" i="1"/>
  <c r="G40" i="1"/>
  <c r="H40" i="1" s="1"/>
  <c r="AJ39" i="1"/>
  <c r="AI39" i="1"/>
  <c r="AH39" i="1"/>
  <c r="AG39" i="1"/>
  <c r="AF39" i="1"/>
  <c r="AE39" i="1"/>
  <c r="AC39" i="1"/>
  <c r="AB39" i="1"/>
  <c r="AA39" i="1"/>
  <c r="Z39" i="1"/>
  <c r="Y39" i="1"/>
  <c r="L39" i="1" s="1"/>
  <c r="X39" i="1"/>
  <c r="G39" i="1"/>
  <c r="H39" i="1" s="1"/>
  <c r="F39" i="1"/>
  <c r="E39" i="1"/>
  <c r="AJ38" i="1"/>
  <c r="AI38" i="1"/>
  <c r="AH38" i="1"/>
  <c r="AG38" i="1"/>
  <c r="AF38" i="1"/>
  <c r="AE38" i="1"/>
  <c r="I38" i="1" s="1"/>
  <c r="AC38" i="1"/>
  <c r="AB38" i="1"/>
  <c r="AA38" i="1"/>
  <c r="Z38" i="1"/>
  <c r="G38" i="1" s="1"/>
  <c r="H38" i="1" s="1"/>
  <c r="Y38" i="1"/>
  <c r="X38" i="1"/>
  <c r="J38" i="1"/>
  <c r="F38" i="1"/>
  <c r="E38" i="1"/>
  <c r="AJ37" i="1"/>
  <c r="AI37" i="1"/>
  <c r="AH37" i="1"/>
  <c r="AG37" i="1"/>
  <c r="AF37" i="1"/>
  <c r="AE37" i="1"/>
  <c r="I37" i="1" s="1"/>
  <c r="AC37" i="1"/>
  <c r="AB37" i="1"/>
  <c r="AA37" i="1"/>
  <c r="Z37" i="1"/>
  <c r="G37" i="1" s="1"/>
  <c r="H37" i="1" s="1"/>
  <c r="Y37" i="1"/>
  <c r="X37" i="1"/>
  <c r="M37" i="1" s="1"/>
  <c r="L37" i="1"/>
  <c r="J37" i="1"/>
  <c r="F37" i="1"/>
  <c r="E37" i="1"/>
  <c r="AJ36" i="1"/>
  <c r="AI36" i="1"/>
  <c r="AH36" i="1"/>
  <c r="AG36" i="1"/>
  <c r="AF36" i="1"/>
  <c r="AE36" i="1"/>
  <c r="AC36" i="1"/>
  <c r="AB36" i="1"/>
  <c r="AA36" i="1"/>
  <c r="Z36" i="1"/>
  <c r="Y36" i="1"/>
  <c r="L36" i="1" s="1"/>
  <c r="X36" i="1"/>
  <c r="M36" i="1" s="1"/>
  <c r="G36" i="1"/>
  <c r="H36" i="1" s="1"/>
  <c r="F36" i="1"/>
  <c r="E36" i="1"/>
  <c r="AJ35" i="1"/>
  <c r="AI35" i="1"/>
  <c r="AH35" i="1"/>
  <c r="AG35" i="1"/>
  <c r="AF35" i="1"/>
  <c r="AE35" i="1"/>
  <c r="AC35" i="1"/>
  <c r="AB35" i="1"/>
  <c r="AA35" i="1"/>
  <c r="Z35" i="1"/>
  <c r="Y35" i="1"/>
  <c r="L35" i="1" s="1"/>
  <c r="X35" i="1"/>
  <c r="G35" i="1"/>
  <c r="H35" i="1" s="1"/>
  <c r="F35" i="1"/>
  <c r="E35" i="1"/>
  <c r="AJ34" i="1"/>
  <c r="AI34" i="1"/>
  <c r="AH34" i="1"/>
  <c r="AG34" i="1"/>
  <c r="AF34" i="1"/>
  <c r="AE34" i="1"/>
  <c r="I34" i="1" s="1"/>
  <c r="AC34" i="1"/>
  <c r="AB34" i="1"/>
  <c r="AA34" i="1"/>
  <c r="Z34" i="1"/>
  <c r="G34" i="1" s="1"/>
  <c r="H34" i="1" s="1"/>
  <c r="Y34" i="1"/>
  <c r="X34" i="1"/>
  <c r="J34" i="1"/>
  <c r="F34" i="1"/>
  <c r="E34" i="1"/>
  <c r="AJ33" i="1"/>
  <c r="AI33" i="1"/>
  <c r="AH33" i="1"/>
  <c r="AG33" i="1"/>
  <c r="AF33" i="1"/>
  <c r="AE33" i="1"/>
  <c r="Q33" i="1" s="1"/>
  <c r="AC33" i="1"/>
  <c r="V33" i="1" s="1"/>
  <c r="AB33" i="1"/>
  <c r="AA33" i="1"/>
  <c r="Z33" i="1"/>
  <c r="S33" i="1" s="1"/>
  <c r="Y33" i="1"/>
  <c r="X33" i="1"/>
  <c r="U33" i="1"/>
  <c r="T33" i="1"/>
  <c r="M33" i="1"/>
  <c r="I33" i="1"/>
  <c r="J33" i="1" s="1"/>
  <c r="AJ32" i="1"/>
  <c r="AI32" i="1"/>
  <c r="AH32" i="1"/>
  <c r="AG32" i="1"/>
  <c r="AF32" i="1"/>
  <c r="AE32" i="1"/>
  <c r="AC32" i="1"/>
  <c r="AB32" i="1"/>
  <c r="AA32" i="1"/>
  <c r="Z32" i="1"/>
  <c r="Y32" i="1"/>
  <c r="X32" i="1"/>
  <c r="M32" i="1"/>
  <c r="I32" i="1"/>
  <c r="J32" i="1" s="1"/>
  <c r="E32" i="1"/>
  <c r="F32" i="1" s="1"/>
  <c r="AJ31" i="1"/>
  <c r="AI31" i="1"/>
  <c r="AH31" i="1"/>
  <c r="AG31" i="1"/>
  <c r="AF31" i="1"/>
  <c r="AE31" i="1"/>
  <c r="AC31" i="1"/>
  <c r="AB31" i="1"/>
  <c r="AA31" i="1"/>
  <c r="Z31" i="1"/>
  <c r="Y31" i="1"/>
  <c r="X31" i="1"/>
  <c r="M31" i="1"/>
  <c r="I31" i="1"/>
  <c r="J31" i="1" s="1"/>
  <c r="E31" i="1"/>
  <c r="F31" i="1" s="1"/>
  <c r="AJ30" i="1"/>
  <c r="AI30" i="1"/>
  <c r="AH30" i="1"/>
  <c r="AG30" i="1"/>
  <c r="AF30" i="1"/>
  <c r="AE30" i="1"/>
  <c r="AC30" i="1"/>
  <c r="AB30" i="1"/>
  <c r="AA30" i="1"/>
  <c r="Z30" i="1"/>
  <c r="Y30" i="1"/>
  <c r="X30" i="1"/>
  <c r="M30" i="1"/>
  <c r="I30" i="1"/>
  <c r="J30" i="1" s="1"/>
  <c r="E30" i="1"/>
  <c r="F30" i="1" s="1"/>
  <c r="AJ29" i="1"/>
  <c r="AI29" i="1"/>
  <c r="AH29" i="1"/>
  <c r="AG29" i="1"/>
  <c r="AF29" i="1"/>
  <c r="AE29" i="1"/>
  <c r="AC29" i="1"/>
  <c r="AB29" i="1"/>
  <c r="AA29" i="1"/>
  <c r="Z29" i="1"/>
  <c r="Y29" i="1"/>
  <c r="X29" i="1"/>
  <c r="M29" i="1"/>
  <c r="I29" i="1"/>
  <c r="J29" i="1" s="1"/>
  <c r="E29" i="1"/>
  <c r="F29" i="1" s="1"/>
  <c r="AJ28" i="1"/>
  <c r="AI28" i="1"/>
  <c r="AH28" i="1"/>
  <c r="AG28" i="1"/>
  <c r="AF28" i="1"/>
  <c r="AE28" i="1"/>
  <c r="AC28" i="1"/>
  <c r="AB28" i="1"/>
  <c r="AA28" i="1"/>
  <c r="Z28" i="1"/>
  <c r="Y28" i="1"/>
  <c r="X28" i="1"/>
  <c r="M28" i="1"/>
  <c r="I28" i="1"/>
  <c r="J28" i="1" s="1"/>
  <c r="E28" i="1"/>
  <c r="F28" i="1" s="1"/>
  <c r="AJ27" i="1"/>
  <c r="AI27" i="1"/>
  <c r="AH27" i="1"/>
  <c r="AG27" i="1"/>
  <c r="AF27" i="1"/>
  <c r="AE27" i="1"/>
  <c r="AC27" i="1"/>
  <c r="AB27" i="1"/>
  <c r="AA27" i="1"/>
  <c r="Z27" i="1"/>
  <c r="Y27" i="1"/>
  <c r="X27" i="1"/>
  <c r="M27" i="1"/>
  <c r="I27" i="1"/>
  <c r="J27" i="1" s="1"/>
  <c r="E27" i="1"/>
  <c r="F27" i="1" s="1"/>
  <c r="AJ26" i="1"/>
  <c r="AI26" i="1"/>
  <c r="AH26" i="1"/>
  <c r="AG26" i="1"/>
  <c r="AF26" i="1"/>
  <c r="AE26" i="1"/>
  <c r="I26" i="1" s="1"/>
  <c r="J26" i="1" s="1"/>
  <c r="AC26" i="1"/>
  <c r="AB26" i="1"/>
  <c r="AA26" i="1"/>
  <c r="Z26" i="1"/>
  <c r="M26" i="1" s="1"/>
  <c r="Y26" i="1"/>
  <c r="X26" i="1"/>
  <c r="L26" i="1"/>
  <c r="E26" i="1"/>
  <c r="F26" i="1" s="1"/>
  <c r="AJ25" i="1"/>
  <c r="AI25" i="1"/>
  <c r="AH25" i="1"/>
  <c r="AG25" i="1"/>
  <c r="I25" i="1" s="1"/>
  <c r="J25" i="1" s="1"/>
  <c r="AF25" i="1"/>
  <c r="AE25" i="1"/>
  <c r="AC25" i="1"/>
  <c r="AB25" i="1"/>
  <c r="AA25" i="1"/>
  <c r="Z25" i="1"/>
  <c r="Y25" i="1"/>
  <c r="X25" i="1"/>
  <c r="M25" i="1" s="1"/>
  <c r="E25" i="1"/>
  <c r="F25" i="1" s="1"/>
  <c r="AJ24" i="1"/>
  <c r="AI24" i="1"/>
  <c r="AH24" i="1"/>
  <c r="AG24" i="1"/>
  <c r="AF24" i="1"/>
  <c r="AE24" i="1"/>
  <c r="I24" i="1" s="1"/>
  <c r="J24" i="1" s="1"/>
  <c r="AC24" i="1"/>
  <c r="AB24" i="1"/>
  <c r="AA24" i="1"/>
  <c r="Z24" i="1"/>
  <c r="G24" i="1" s="1"/>
  <c r="H24" i="1" s="1"/>
  <c r="Y24" i="1"/>
  <c r="X24" i="1"/>
  <c r="L24" i="1"/>
  <c r="E24" i="1"/>
  <c r="F24" i="1" s="1"/>
  <c r="AJ23" i="1"/>
  <c r="AI23" i="1"/>
  <c r="AH23" i="1"/>
  <c r="AG23" i="1"/>
  <c r="I23" i="1" s="1"/>
  <c r="J23" i="1" s="1"/>
  <c r="AF23" i="1"/>
  <c r="AE23" i="1"/>
  <c r="AC23" i="1"/>
  <c r="AB23" i="1"/>
  <c r="AA23" i="1"/>
  <c r="Z23" i="1"/>
  <c r="Y23" i="1"/>
  <c r="X23" i="1"/>
  <c r="M23" i="1" s="1"/>
  <c r="E23" i="1"/>
  <c r="F23" i="1" s="1"/>
  <c r="AJ22" i="1"/>
  <c r="AI22" i="1"/>
  <c r="AH22" i="1"/>
  <c r="AG22" i="1"/>
  <c r="AF22" i="1"/>
  <c r="AE22" i="1"/>
  <c r="I22" i="1" s="1"/>
  <c r="J22" i="1" s="1"/>
  <c r="AC22" i="1"/>
  <c r="AB22" i="1"/>
  <c r="AA22" i="1"/>
  <c r="Z22" i="1"/>
  <c r="G22" i="1" s="1"/>
  <c r="H22" i="1" s="1"/>
  <c r="Y22" i="1"/>
  <c r="X22" i="1"/>
  <c r="L22" i="1"/>
  <c r="E22" i="1"/>
  <c r="F22" i="1" s="1"/>
  <c r="AJ21" i="1"/>
  <c r="AI21" i="1"/>
  <c r="AH21" i="1"/>
  <c r="AG21" i="1"/>
  <c r="I21" i="1" s="1"/>
  <c r="J21" i="1" s="1"/>
  <c r="AF21" i="1"/>
  <c r="AE21" i="1"/>
  <c r="AC21" i="1"/>
  <c r="AB21" i="1"/>
  <c r="AA21" i="1"/>
  <c r="Z21" i="1"/>
  <c r="Y21" i="1"/>
  <c r="X21" i="1"/>
  <c r="M21" i="1" s="1"/>
  <c r="E21" i="1"/>
  <c r="F21" i="1" s="1"/>
  <c r="AJ20" i="1"/>
  <c r="AI20" i="1"/>
  <c r="AH20" i="1"/>
  <c r="AG20" i="1"/>
  <c r="AF20" i="1"/>
  <c r="AE20" i="1"/>
  <c r="I20" i="1" s="1"/>
  <c r="J20" i="1" s="1"/>
  <c r="AC20" i="1"/>
  <c r="AB20" i="1"/>
  <c r="AA20" i="1"/>
  <c r="Z20" i="1"/>
  <c r="G20" i="1" s="1"/>
  <c r="H20" i="1" s="1"/>
  <c r="Y20" i="1"/>
  <c r="X20" i="1"/>
  <c r="E20" i="1"/>
  <c r="F20" i="1" s="1"/>
  <c r="AJ19" i="1"/>
  <c r="AI19" i="1"/>
  <c r="AH19" i="1"/>
  <c r="AG19" i="1"/>
  <c r="S19" i="1" s="1"/>
  <c r="AF19" i="1"/>
  <c r="AE19" i="1"/>
  <c r="AC19" i="1"/>
  <c r="AB19" i="1"/>
  <c r="U19" i="1" s="1"/>
  <c r="AA19" i="1"/>
  <c r="T19" i="1" s="1"/>
  <c r="Z19" i="1"/>
  <c r="Y19" i="1"/>
  <c r="X19" i="1"/>
  <c r="M19" i="1" s="1"/>
  <c r="V19" i="1"/>
  <c r="R19" i="1"/>
  <c r="I19" i="1"/>
  <c r="J19" i="1" s="1"/>
  <c r="AJ18" i="1"/>
  <c r="AI18" i="1"/>
  <c r="AH18" i="1"/>
  <c r="AG18" i="1"/>
  <c r="AF18" i="1"/>
  <c r="AE18" i="1"/>
  <c r="I18" i="1" s="1"/>
  <c r="J18" i="1" s="1"/>
  <c r="AC18" i="1"/>
  <c r="AB18" i="1"/>
  <c r="AA18" i="1"/>
  <c r="Z18" i="1"/>
  <c r="Y18" i="1"/>
  <c r="X18" i="1"/>
  <c r="M18" i="1" s="1"/>
  <c r="L18" i="1"/>
  <c r="G18" i="1"/>
  <c r="H18" i="1" s="1"/>
  <c r="F18" i="1"/>
  <c r="E18" i="1"/>
  <c r="AJ17" i="1"/>
  <c r="AI17" i="1"/>
  <c r="AH17" i="1"/>
  <c r="AG17" i="1"/>
  <c r="AF17" i="1"/>
  <c r="AE17" i="1"/>
  <c r="AC17" i="1"/>
  <c r="AB17" i="1"/>
  <c r="AA17" i="1"/>
  <c r="Z17" i="1"/>
  <c r="Y17" i="1"/>
  <c r="G17" i="1" s="1"/>
  <c r="H17" i="1" s="1"/>
  <c r="X17" i="1"/>
  <c r="L17" i="1" s="1"/>
  <c r="I17" i="1"/>
  <c r="J17" i="1" s="1"/>
  <c r="E17" i="1"/>
  <c r="F17" i="1" s="1"/>
  <c r="AJ16" i="1"/>
  <c r="AI16" i="1"/>
  <c r="AH16" i="1"/>
  <c r="AG16" i="1"/>
  <c r="AF16" i="1"/>
  <c r="AE16" i="1"/>
  <c r="I16" i="1" s="1"/>
  <c r="J16" i="1" s="1"/>
  <c r="AC16" i="1"/>
  <c r="V16" i="1" s="1"/>
  <c r="AB16" i="1"/>
  <c r="AA16" i="1"/>
  <c r="Z16" i="1"/>
  <c r="S16" i="1" s="1"/>
  <c r="Y16" i="1"/>
  <c r="R16" i="1" s="1"/>
  <c r="X16" i="1"/>
  <c r="L16" i="1" s="1"/>
  <c r="U16" i="1"/>
  <c r="T16" i="1"/>
  <c r="Q16" i="1"/>
  <c r="E16" i="1" s="1"/>
  <c r="F16" i="1" s="1"/>
  <c r="M16" i="1"/>
  <c r="G16" i="1"/>
  <c r="H16" i="1" s="1"/>
  <c r="AJ15" i="1"/>
  <c r="AI15" i="1"/>
  <c r="AH15" i="1"/>
  <c r="AG15" i="1"/>
  <c r="AF15" i="1"/>
  <c r="AE15" i="1"/>
  <c r="AC15" i="1"/>
  <c r="AB15" i="1"/>
  <c r="AA15" i="1"/>
  <c r="Z15" i="1"/>
  <c r="Y15" i="1"/>
  <c r="X15" i="1"/>
  <c r="M15" i="1" s="1"/>
  <c r="L15" i="1"/>
  <c r="I15" i="1"/>
  <c r="J15" i="1" s="1"/>
  <c r="E15" i="1"/>
  <c r="F15" i="1" s="1"/>
  <c r="AJ14" i="1"/>
  <c r="AI14" i="1"/>
  <c r="AH14" i="1"/>
  <c r="AG14" i="1"/>
  <c r="AF14" i="1"/>
  <c r="AE14" i="1"/>
  <c r="I14" i="1" s="1"/>
  <c r="J14" i="1" s="1"/>
  <c r="AC14" i="1"/>
  <c r="AB14" i="1"/>
  <c r="AA14" i="1"/>
  <c r="Z14" i="1"/>
  <c r="Y14" i="1"/>
  <c r="X14" i="1"/>
  <c r="L14" i="1" s="1"/>
  <c r="M14" i="1"/>
  <c r="G14" i="1"/>
  <c r="H14" i="1" s="1"/>
  <c r="F14" i="1"/>
  <c r="E14" i="1"/>
  <c r="AJ13" i="1"/>
  <c r="AI13" i="1"/>
  <c r="AH13" i="1"/>
  <c r="AG13" i="1"/>
  <c r="AF13" i="1"/>
  <c r="AE13" i="1"/>
  <c r="I13" i="1" s="1"/>
  <c r="J13" i="1" s="1"/>
  <c r="AC13" i="1"/>
  <c r="AB13" i="1"/>
  <c r="AA13" i="1"/>
  <c r="Z13" i="1"/>
  <c r="M13" i="1" s="1"/>
  <c r="Y13" i="1"/>
  <c r="X13" i="1"/>
  <c r="L13" i="1"/>
  <c r="G13" i="1"/>
  <c r="H13" i="1" s="1"/>
  <c r="F13" i="1"/>
  <c r="E13" i="1"/>
  <c r="AJ12" i="1"/>
  <c r="AI12" i="1"/>
  <c r="AH12" i="1"/>
  <c r="AG12" i="1"/>
  <c r="AF12" i="1"/>
  <c r="AE12" i="1"/>
  <c r="I12" i="1" s="1"/>
  <c r="J12" i="1" s="1"/>
  <c r="AC12" i="1"/>
  <c r="AB12" i="1"/>
  <c r="AA12" i="1"/>
  <c r="Z12" i="1"/>
  <c r="M12" i="1" s="1"/>
  <c r="Y12" i="1"/>
  <c r="X12" i="1"/>
  <c r="L12" i="1"/>
  <c r="G12" i="1"/>
  <c r="H12" i="1" s="1"/>
  <c r="F12" i="1"/>
  <c r="E12" i="1"/>
  <c r="AJ11" i="1"/>
  <c r="AI11" i="1"/>
  <c r="AH11" i="1"/>
  <c r="AG11" i="1"/>
  <c r="AF11" i="1"/>
  <c r="AE11" i="1"/>
  <c r="I11" i="1" s="1"/>
  <c r="J11" i="1" s="1"/>
  <c r="AC11" i="1"/>
  <c r="AB11" i="1"/>
  <c r="AA11" i="1"/>
  <c r="Z11" i="1"/>
  <c r="M11" i="1" s="1"/>
  <c r="Y11" i="1"/>
  <c r="X11" i="1"/>
  <c r="L11" i="1"/>
  <c r="G11" i="1"/>
  <c r="H11" i="1" s="1"/>
  <c r="F11" i="1"/>
  <c r="E11" i="1"/>
  <c r="AJ10" i="1"/>
  <c r="AI10" i="1"/>
  <c r="AH10" i="1"/>
  <c r="AG10" i="1"/>
  <c r="AF10" i="1"/>
  <c r="AE10" i="1"/>
  <c r="AC10" i="1"/>
  <c r="AB10" i="1"/>
  <c r="AA10" i="1"/>
  <c r="T10" i="1" s="1"/>
  <c r="Z10" i="1"/>
  <c r="M10" i="1" s="1"/>
  <c r="Y10" i="1"/>
  <c r="L10" i="1" s="1"/>
  <c r="X10" i="1"/>
  <c r="V10" i="1"/>
  <c r="U10" i="1"/>
  <c r="R10" i="1"/>
  <c r="Q10" i="1"/>
  <c r="I10" i="1"/>
  <c r="J10" i="1" s="1"/>
  <c r="AJ9" i="1"/>
  <c r="AI9" i="1"/>
  <c r="AH9" i="1"/>
  <c r="AG9" i="1"/>
  <c r="AF9" i="1"/>
  <c r="AE9" i="1"/>
  <c r="AC9" i="1"/>
  <c r="AB9" i="1"/>
  <c r="AA9" i="1"/>
  <c r="Z9" i="1"/>
  <c r="Y9" i="1"/>
  <c r="X9" i="1"/>
  <c r="M9" i="1" s="1"/>
  <c r="I9" i="1"/>
  <c r="J9" i="1" s="1"/>
  <c r="E9" i="1"/>
  <c r="F9" i="1" s="1"/>
  <c r="AJ8" i="1"/>
  <c r="AI8" i="1"/>
  <c r="AH8" i="1"/>
  <c r="AG8" i="1"/>
  <c r="AF8" i="1"/>
  <c r="AE8" i="1"/>
  <c r="AC8" i="1"/>
  <c r="AB8" i="1"/>
  <c r="AA8" i="1"/>
  <c r="Z8" i="1"/>
  <c r="Y8" i="1"/>
  <c r="X8" i="1"/>
  <c r="M8" i="1" s="1"/>
  <c r="I8" i="1"/>
  <c r="J8" i="1" s="1"/>
  <c r="E8" i="1"/>
  <c r="F8" i="1" s="1"/>
  <c r="AJ7" i="1"/>
  <c r="AI7" i="1"/>
  <c r="AH7" i="1"/>
  <c r="AG7" i="1"/>
  <c r="AF7" i="1"/>
  <c r="AE7" i="1"/>
  <c r="AC7" i="1"/>
  <c r="AB7" i="1"/>
  <c r="AA7" i="1"/>
  <c r="Z7" i="1"/>
  <c r="Y7" i="1"/>
  <c r="X7" i="1"/>
  <c r="M7" i="1" s="1"/>
  <c r="I7" i="1"/>
  <c r="J7" i="1" s="1"/>
  <c r="E7" i="1"/>
  <c r="F7" i="1" s="1"/>
  <c r="AJ6" i="1"/>
  <c r="AI6" i="1"/>
  <c r="AH6" i="1"/>
  <c r="AG6" i="1"/>
  <c r="AF6" i="1"/>
  <c r="I6" i="1" s="1"/>
  <c r="J6" i="1" s="1"/>
  <c r="AE6" i="1"/>
  <c r="AC6" i="1"/>
  <c r="V6" i="1" s="1"/>
  <c r="AB6" i="1"/>
  <c r="U6" i="1" s="1"/>
  <c r="AA6" i="1"/>
  <c r="Z6" i="1"/>
  <c r="Y6" i="1"/>
  <c r="R6" i="1" s="1"/>
  <c r="X6" i="1"/>
  <c r="Q6" i="1" s="1"/>
  <c r="E6" i="1" s="1"/>
  <c r="F6" i="1" s="1"/>
  <c r="T6" i="1"/>
  <c r="S6" i="1"/>
  <c r="L6" i="1"/>
  <c r="G6" i="1"/>
  <c r="H6" i="1" s="1"/>
  <c r="G192" i="7"/>
  <c r="F192" i="7"/>
  <c r="E192" i="7"/>
  <c r="G191" i="7"/>
  <c r="F191" i="7"/>
  <c r="E191" i="7"/>
  <c r="G190" i="7"/>
  <c r="E190" i="7" s="1"/>
  <c r="F190" i="7"/>
  <c r="G189" i="7"/>
  <c r="F189" i="7"/>
  <c r="E189" i="7" s="1"/>
  <c r="G188" i="7"/>
  <c r="F188" i="7"/>
  <c r="E188" i="7"/>
  <c r="G187" i="7"/>
  <c r="F187" i="7"/>
  <c r="E187" i="7" s="1"/>
  <c r="G186" i="7"/>
  <c r="F186" i="7"/>
  <c r="E186" i="7" s="1"/>
  <c r="G185" i="7"/>
  <c r="F185" i="7"/>
  <c r="E185" i="7" s="1"/>
  <c r="G184" i="7"/>
  <c r="F184" i="7"/>
  <c r="E184" i="7" s="1"/>
  <c r="G183" i="7"/>
  <c r="F183" i="7"/>
  <c r="E183" i="7"/>
  <c r="G182" i="7"/>
  <c r="F182" i="7"/>
  <c r="E182" i="7" s="1"/>
  <c r="G181" i="7"/>
  <c r="F181" i="7"/>
  <c r="E181" i="7" s="1"/>
  <c r="G180" i="7"/>
  <c r="F180" i="7"/>
  <c r="E180" i="7" s="1"/>
  <c r="G179" i="7"/>
  <c r="F179" i="7"/>
  <c r="E179" i="7"/>
  <c r="G178" i="7"/>
  <c r="F178" i="7"/>
  <c r="E178" i="7" s="1"/>
  <c r="G177" i="7"/>
  <c r="F177" i="7"/>
  <c r="E177" i="7" s="1"/>
  <c r="G176" i="7"/>
  <c r="F176" i="7"/>
  <c r="E176" i="7" s="1"/>
  <c r="G175" i="7"/>
  <c r="F175" i="7"/>
  <c r="E175" i="7"/>
  <c r="G174" i="7"/>
  <c r="F174" i="7"/>
  <c r="E174" i="7" s="1"/>
  <c r="G173" i="7"/>
  <c r="F173" i="7"/>
  <c r="E173" i="7" s="1"/>
  <c r="G172" i="7"/>
  <c r="F172" i="7"/>
  <c r="E172" i="7" s="1"/>
  <c r="G171" i="7"/>
  <c r="F171" i="7"/>
  <c r="E171" i="7"/>
  <c r="G170" i="7"/>
  <c r="F170" i="7"/>
  <c r="E170" i="7" s="1"/>
  <c r="G169" i="7"/>
  <c r="F169" i="7"/>
  <c r="E169" i="7" s="1"/>
  <c r="G168" i="7"/>
  <c r="F168" i="7"/>
  <c r="E168" i="7" s="1"/>
  <c r="G167" i="7"/>
  <c r="F167" i="7"/>
  <c r="E167" i="7"/>
  <c r="G166" i="7"/>
  <c r="F166" i="7"/>
  <c r="E166" i="7" s="1"/>
  <c r="G165" i="7"/>
  <c r="F165" i="7"/>
  <c r="E165" i="7" s="1"/>
  <c r="G164" i="7"/>
  <c r="F164" i="7"/>
  <c r="E164" i="7" s="1"/>
  <c r="G163" i="7"/>
  <c r="F163" i="7"/>
  <c r="E163" i="7"/>
  <c r="G162" i="7"/>
  <c r="F162" i="7"/>
  <c r="E162" i="7" s="1"/>
  <c r="G161" i="7"/>
  <c r="F161" i="7"/>
  <c r="E161" i="7" s="1"/>
  <c r="G160" i="7"/>
  <c r="F160" i="7"/>
  <c r="E160" i="7" s="1"/>
  <c r="G159" i="7"/>
  <c r="F159" i="7"/>
  <c r="E159" i="7"/>
  <c r="G158" i="7"/>
  <c r="F158" i="7"/>
  <c r="E158" i="7" s="1"/>
  <c r="G157" i="7"/>
  <c r="F157" i="7"/>
  <c r="E157" i="7" s="1"/>
  <c r="G156" i="7"/>
  <c r="F156" i="7"/>
  <c r="E156" i="7" s="1"/>
  <c r="G155" i="7"/>
  <c r="F155" i="7"/>
  <c r="E155" i="7"/>
  <c r="G154" i="7"/>
  <c r="F154" i="7"/>
  <c r="E154" i="7" s="1"/>
  <c r="G153" i="7"/>
  <c r="F153" i="7"/>
  <c r="E153" i="7" s="1"/>
  <c r="G152" i="7"/>
  <c r="F152" i="7"/>
  <c r="E152" i="7" s="1"/>
  <c r="G151" i="7"/>
  <c r="F151" i="7"/>
  <c r="E151" i="7"/>
  <c r="G150" i="7"/>
  <c r="F150" i="7"/>
  <c r="E150" i="7" s="1"/>
  <c r="G149" i="7"/>
  <c r="F149" i="7"/>
  <c r="E149" i="7" s="1"/>
  <c r="G148" i="7"/>
  <c r="F148" i="7"/>
  <c r="E148" i="7" s="1"/>
  <c r="G147" i="7"/>
  <c r="F147" i="7"/>
  <c r="E147" i="7"/>
  <c r="G146" i="7"/>
  <c r="F146" i="7"/>
  <c r="E146" i="7" s="1"/>
  <c r="G145" i="7"/>
  <c r="F145" i="7"/>
  <c r="E145" i="7" s="1"/>
  <c r="G144" i="7"/>
  <c r="F144" i="7"/>
  <c r="E144" i="7" s="1"/>
  <c r="G143" i="7"/>
  <c r="F143" i="7"/>
  <c r="E143" i="7"/>
  <c r="G142" i="7"/>
  <c r="F142" i="7"/>
  <c r="E142" i="7" s="1"/>
  <c r="G141" i="7"/>
  <c r="F141" i="7"/>
  <c r="E141" i="7" s="1"/>
  <c r="G140" i="7"/>
  <c r="F140" i="7"/>
  <c r="E140" i="7" s="1"/>
  <c r="G139" i="7"/>
  <c r="F139" i="7"/>
  <c r="E139" i="7"/>
  <c r="G138" i="7"/>
  <c r="F138" i="7"/>
  <c r="E138" i="7" s="1"/>
  <c r="G137" i="7"/>
  <c r="F137" i="7"/>
  <c r="E137" i="7" s="1"/>
  <c r="G136" i="7"/>
  <c r="F136" i="7"/>
  <c r="E136" i="7" s="1"/>
  <c r="G135" i="7"/>
  <c r="F135" i="7"/>
  <c r="E135" i="7"/>
  <c r="G134" i="7"/>
  <c r="F134" i="7"/>
  <c r="E134" i="7" s="1"/>
  <c r="G133" i="7"/>
  <c r="F133" i="7"/>
  <c r="E133" i="7" s="1"/>
  <c r="G132" i="7"/>
  <c r="F132" i="7"/>
  <c r="E132" i="7" s="1"/>
  <c r="G131" i="7"/>
  <c r="F131" i="7"/>
  <c r="E131" i="7"/>
  <c r="G130" i="7"/>
  <c r="F130" i="7"/>
  <c r="E130" i="7" s="1"/>
  <c r="G129" i="7"/>
  <c r="F129" i="7"/>
  <c r="E129" i="7" s="1"/>
  <c r="G128" i="7"/>
  <c r="F128" i="7"/>
  <c r="E128" i="7" s="1"/>
  <c r="G127" i="7"/>
  <c r="F127" i="7"/>
  <c r="E127" i="7"/>
  <c r="G126" i="7"/>
  <c r="F126" i="7"/>
  <c r="E126" i="7" s="1"/>
  <c r="G125" i="7"/>
  <c r="F125" i="7"/>
  <c r="E125" i="7" s="1"/>
  <c r="G124" i="7"/>
  <c r="F124" i="7"/>
  <c r="E124" i="7" s="1"/>
  <c r="G123" i="7"/>
  <c r="F123" i="7"/>
  <c r="E123" i="7"/>
  <c r="G122" i="7"/>
  <c r="F122" i="7"/>
  <c r="E122" i="7" s="1"/>
  <c r="G121" i="7"/>
  <c r="F121" i="7"/>
  <c r="E121" i="7" s="1"/>
  <c r="G120" i="7"/>
  <c r="F120" i="7"/>
  <c r="E120" i="7" s="1"/>
  <c r="G119" i="7"/>
  <c r="F119" i="7"/>
  <c r="E119" i="7"/>
  <c r="G118" i="7"/>
  <c r="F118" i="7"/>
  <c r="E118" i="7" s="1"/>
  <c r="G117" i="7"/>
  <c r="F117" i="7"/>
  <c r="E117" i="7" s="1"/>
  <c r="G116" i="7"/>
  <c r="F116" i="7"/>
  <c r="E116" i="7" s="1"/>
  <c r="G115" i="7"/>
  <c r="F115" i="7"/>
  <c r="E115" i="7"/>
  <c r="G114" i="7"/>
  <c r="F114" i="7"/>
  <c r="E114" i="7" s="1"/>
  <c r="G113" i="7"/>
  <c r="F113" i="7"/>
  <c r="E113" i="7" s="1"/>
  <c r="G112" i="7"/>
  <c r="F112" i="7"/>
  <c r="E112" i="7" s="1"/>
  <c r="G111" i="7"/>
  <c r="F111" i="7"/>
  <c r="E111" i="7"/>
  <c r="G110" i="7"/>
  <c r="F110" i="7"/>
  <c r="E110" i="7" s="1"/>
  <c r="G109" i="7"/>
  <c r="F109" i="7"/>
  <c r="E109" i="7" s="1"/>
  <c r="G108" i="7"/>
  <c r="F108" i="7"/>
  <c r="E108" i="7" s="1"/>
  <c r="G107" i="7"/>
  <c r="F107" i="7"/>
  <c r="E107" i="7"/>
  <c r="G106" i="7"/>
  <c r="F106" i="7"/>
  <c r="E106" i="7" s="1"/>
  <c r="G105" i="7"/>
  <c r="F105" i="7"/>
  <c r="E105" i="7" s="1"/>
  <c r="G104" i="7"/>
  <c r="F104" i="7"/>
  <c r="E104" i="7" s="1"/>
  <c r="G103" i="7"/>
  <c r="F103" i="7"/>
  <c r="E103" i="7"/>
  <c r="G102" i="7"/>
  <c r="F102" i="7"/>
  <c r="E102" i="7" s="1"/>
  <c r="G101" i="7"/>
  <c r="F101" i="7"/>
  <c r="E101" i="7" s="1"/>
  <c r="G100" i="7"/>
  <c r="F100" i="7"/>
  <c r="E100" i="7" s="1"/>
  <c r="G99" i="7"/>
  <c r="F99" i="7"/>
  <c r="E99" i="7"/>
  <c r="G98" i="7"/>
  <c r="F98" i="7"/>
  <c r="E98" i="7" s="1"/>
  <c r="G97" i="7"/>
  <c r="F97" i="7"/>
  <c r="E97" i="7" s="1"/>
  <c r="G96" i="7"/>
  <c r="F96" i="7"/>
  <c r="E96" i="7" s="1"/>
  <c r="G95" i="7"/>
  <c r="F95" i="7"/>
  <c r="E95" i="7"/>
  <c r="G94" i="7"/>
  <c r="F94" i="7"/>
  <c r="E94" i="7" s="1"/>
  <c r="G93" i="7"/>
  <c r="F93" i="7"/>
  <c r="E93" i="7" s="1"/>
  <c r="G92" i="7"/>
  <c r="F92" i="7"/>
  <c r="E92" i="7" s="1"/>
  <c r="G91" i="7"/>
  <c r="F91" i="7"/>
  <c r="E91" i="7"/>
  <c r="G90" i="7"/>
  <c r="F90" i="7"/>
  <c r="E90" i="7" s="1"/>
  <c r="G89" i="7"/>
  <c r="F89" i="7"/>
  <c r="E89" i="7" s="1"/>
  <c r="G88" i="7"/>
  <c r="F88" i="7"/>
  <c r="E88" i="7" s="1"/>
  <c r="G87" i="7"/>
  <c r="F87" i="7"/>
  <c r="E87" i="7"/>
  <c r="G86" i="7"/>
  <c r="E86" i="7" s="1"/>
  <c r="F86" i="7"/>
  <c r="G85" i="7"/>
  <c r="F85" i="7"/>
  <c r="E85" i="7" s="1"/>
  <c r="G84" i="7"/>
  <c r="F84" i="7"/>
  <c r="E84" i="7" s="1"/>
  <c r="G83" i="7"/>
  <c r="F83" i="7"/>
  <c r="E83" i="7"/>
  <c r="G82" i="7"/>
  <c r="E82" i="7" s="1"/>
  <c r="F82" i="7"/>
  <c r="G81" i="7"/>
  <c r="F81" i="7"/>
  <c r="E81" i="7" s="1"/>
  <c r="G80" i="7"/>
  <c r="F80" i="7"/>
  <c r="E80" i="7" s="1"/>
  <c r="G79" i="7"/>
  <c r="F79" i="7"/>
  <c r="E79" i="7"/>
  <c r="G78" i="7"/>
  <c r="E78" i="7" s="1"/>
  <c r="F78" i="7"/>
  <c r="G77" i="7"/>
  <c r="F77" i="7"/>
  <c r="E77" i="7" s="1"/>
  <c r="G76" i="7"/>
  <c r="F76" i="7"/>
  <c r="E76" i="7" s="1"/>
  <c r="G75" i="7"/>
  <c r="F75" i="7"/>
  <c r="E75" i="7"/>
  <c r="G74" i="7"/>
  <c r="E74" i="7" s="1"/>
  <c r="F74" i="7"/>
  <c r="G73" i="7"/>
  <c r="F73" i="7"/>
  <c r="E73" i="7" s="1"/>
  <c r="G72" i="7"/>
  <c r="F72" i="7"/>
  <c r="E72" i="7" s="1"/>
  <c r="G71" i="7"/>
  <c r="F71" i="7"/>
  <c r="E71" i="7"/>
  <c r="G70" i="7"/>
  <c r="E70" i="7" s="1"/>
  <c r="F70" i="7"/>
  <c r="G69" i="7"/>
  <c r="F69" i="7"/>
  <c r="E69" i="7" s="1"/>
  <c r="G68" i="7"/>
  <c r="F68" i="7"/>
  <c r="E68" i="7" s="1"/>
  <c r="G67" i="7"/>
  <c r="F67" i="7"/>
  <c r="E67" i="7"/>
  <c r="G66" i="7"/>
  <c r="E66" i="7" s="1"/>
  <c r="F66" i="7"/>
  <c r="G65" i="7"/>
  <c r="F65" i="7"/>
  <c r="E65" i="7" s="1"/>
  <c r="G64" i="7"/>
  <c r="F64" i="7"/>
  <c r="E64" i="7" s="1"/>
  <c r="G63" i="7"/>
  <c r="F63" i="7"/>
  <c r="E63" i="7"/>
  <c r="G62" i="7"/>
  <c r="E62" i="7" s="1"/>
  <c r="F62" i="7"/>
  <c r="G61" i="7"/>
  <c r="F61" i="7"/>
  <c r="E61" i="7" s="1"/>
  <c r="G60" i="7"/>
  <c r="F60" i="7"/>
  <c r="E60" i="7" s="1"/>
  <c r="G59" i="7"/>
  <c r="F59" i="7"/>
  <c r="E59" i="7"/>
  <c r="G58" i="7"/>
  <c r="E58" i="7" s="1"/>
  <c r="F58" i="7"/>
  <c r="G57" i="7"/>
  <c r="F57" i="7"/>
  <c r="E57" i="7" s="1"/>
  <c r="G56" i="7"/>
  <c r="F56" i="7"/>
  <c r="E56" i="7" s="1"/>
  <c r="G55" i="7"/>
  <c r="F55" i="7"/>
  <c r="E55" i="7"/>
  <c r="G54" i="7"/>
  <c r="E54" i="7" s="1"/>
  <c r="F54" i="7"/>
  <c r="G53" i="7"/>
  <c r="F53" i="7"/>
  <c r="E53" i="7" s="1"/>
  <c r="G52" i="7"/>
  <c r="F52" i="7"/>
  <c r="E52" i="7" s="1"/>
  <c r="G51" i="7"/>
  <c r="F51" i="7"/>
  <c r="E51" i="7"/>
  <c r="G50" i="7"/>
  <c r="E50" i="7" s="1"/>
  <c r="F50" i="7"/>
  <c r="G49" i="7"/>
  <c r="F49" i="7"/>
  <c r="E49" i="7" s="1"/>
  <c r="G48" i="7"/>
  <c r="F48" i="7"/>
  <c r="E48" i="7" s="1"/>
  <c r="G47" i="7"/>
  <c r="F47" i="7"/>
  <c r="E47" i="7"/>
  <c r="G46" i="7"/>
  <c r="E46" i="7" s="1"/>
  <c r="F46" i="7"/>
  <c r="G45" i="7"/>
  <c r="F45" i="7"/>
  <c r="E45" i="7" s="1"/>
  <c r="G44" i="7"/>
  <c r="F44" i="7"/>
  <c r="E44" i="7" s="1"/>
  <c r="G43" i="7"/>
  <c r="F43" i="7"/>
  <c r="E43" i="7"/>
  <c r="G42" i="7"/>
  <c r="E42" i="7" s="1"/>
  <c r="F42" i="7"/>
  <c r="G41" i="7"/>
  <c r="F41" i="7"/>
  <c r="E41" i="7" s="1"/>
  <c r="G40" i="7"/>
  <c r="F40" i="7"/>
  <c r="E40" i="7" s="1"/>
  <c r="G39" i="7"/>
  <c r="F39" i="7"/>
  <c r="E39" i="7"/>
  <c r="G38" i="7"/>
  <c r="E38" i="7" s="1"/>
  <c r="F38" i="7"/>
  <c r="G37" i="7"/>
  <c r="F37" i="7"/>
  <c r="E37" i="7" s="1"/>
  <c r="G36" i="7"/>
  <c r="F36" i="7"/>
  <c r="E36" i="7" s="1"/>
  <c r="G35" i="7"/>
  <c r="F35" i="7"/>
  <c r="E35" i="7"/>
  <c r="G34" i="7"/>
  <c r="E34" i="7" s="1"/>
  <c r="F34" i="7"/>
  <c r="G33" i="7"/>
  <c r="F33" i="7"/>
  <c r="E33" i="7" s="1"/>
  <c r="G32" i="7"/>
  <c r="F32" i="7"/>
  <c r="E32" i="7" s="1"/>
  <c r="G31" i="7"/>
  <c r="F31" i="7"/>
  <c r="E31" i="7"/>
  <c r="G30" i="7"/>
  <c r="E30" i="7" s="1"/>
  <c r="F30" i="7"/>
  <c r="G29" i="7"/>
  <c r="F29" i="7"/>
  <c r="E29" i="7" s="1"/>
  <c r="G28" i="7"/>
  <c r="F28" i="7"/>
  <c r="E28" i="7" s="1"/>
  <c r="G27" i="7"/>
  <c r="F27" i="7"/>
  <c r="E27" i="7"/>
  <c r="G26" i="7"/>
  <c r="E26" i="7" s="1"/>
  <c r="F26" i="7"/>
  <c r="G25" i="7"/>
  <c r="F25" i="7"/>
  <c r="E25" i="7" s="1"/>
  <c r="G24" i="7"/>
  <c r="F24" i="7"/>
  <c r="E24" i="7" s="1"/>
  <c r="G23" i="7"/>
  <c r="F23" i="7"/>
  <c r="E23" i="7"/>
  <c r="G22" i="7"/>
  <c r="F22" i="7"/>
  <c r="E22" i="7" s="1"/>
  <c r="G21" i="7"/>
  <c r="F21" i="7"/>
  <c r="E21" i="7" s="1"/>
  <c r="G20" i="7"/>
  <c r="F20" i="7"/>
  <c r="E20" i="7" s="1"/>
  <c r="G19" i="7"/>
  <c r="F19" i="7"/>
  <c r="E19" i="7"/>
  <c r="G18" i="7"/>
  <c r="F18" i="7"/>
  <c r="E18" i="7" s="1"/>
  <c r="G17" i="7"/>
  <c r="F17" i="7"/>
  <c r="E17" i="7" s="1"/>
  <c r="G16" i="7"/>
  <c r="F16" i="7"/>
  <c r="E16" i="7" s="1"/>
  <c r="G15" i="7"/>
  <c r="F15" i="7"/>
  <c r="E15" i="7"/>
  <c r="G14" i="7"/>
  <c r="F14" i="7"/>
  <c r="E14" i="7" s="1"/>
  <c r="G13" i="7"/>
  <c r="F13" i="7"/>
  <c r="E13" i="7" s="1"/>
  <c r="G12" i="7"/>
  <c r="F12" i="7"/>
  <c r="E12" i="7" s="1"/>
  <c r="G11" i="7"/>
  <c r="F11" i="7"/>
  <c r="E11" i="7"/>
  <c r="G10" i="7"/>
  <c r="F10" i="7"/>
  <c r="E10" i="7" s="1"/>
  <c r="G9" i="7"/>
  <c r="F9" i="7"/>
  <c r="E9" i="7" s="1"/>
  <c r="G8" i="7"/>
  <c r="F8" i="7"/>
  <c r="E8" i="7" s="1"/>
  <c r="G7" i="7"/>
  <c r="F7" i="7"/>
  <c r="E7" i="7"/>
  <c r="G6" i="7"/>
  <c r="F6" i="7"/>
  <c r="E6" i="7" s="1"/>
  <c r="G5" i="7"/>
  <c r="F5" i="7"/>
  <c r="E5" i="7" s="1"/>
  <c r="G4" i="7"/>
  <c r="F4" i="7"/>
  <c r="E4" i="7" s="1"/>
  <c r="G3" i="7"/>
  <c r="F3" i="7"/>
  <c r="E3" i="7"/>
  <c r="G192" i="6"/>
  <c r="F192" i="6"/>
  <c r="E192" i="6" s="1"/>
  <c r="G191" i="6"/>
  <c r="F191" i="6"/>
  <c r="E191" i="6" s="1"/>
  <c r="G190" i="6"/>
  <c r="F190" i="6"/>
  <c r="E190" i="6" s="1"/>
  <c r="G189" i="6"/>
  <c r="F189" i="6"/>
  <c r="E189" i="6"/>
  <c r="G188" i="6"/>
  <c r="F188" i="6"/>
  <c r="E188" i="6" s="1"/>
  <c r="G187" i="6"/>
  <c r="F187" i="6"/>
  <c r="E187" i="6" s="1"/>
  <c r="G186" i="6"/>
  <c r="F186" i="6"/>
  <c r="E186" i="6" s="1"/>
  <c r="G185" i="6"/>
  <c r="F185" i="6"/>
  <c r="E185" i="6"/>
  <c r="G184" i="6"/>
  <c r="F184" i="6"/>
  <c r="E184" i="6" s="1"/>
  <c r="G183" i="6"/>
  <c r="F183" i="6"/>
  <c r="E183" i="6" s="1"/>
  <c r="G182" i="6"/>
  <c r="F182" i="6"/>
  <c r="E182" i="6" s="1"/>
  <c r="G181" i="6"/>
  <c r="F181" i="6"/>
  <c r="E181" i="6"/>
  <c r="G180" i="6"/>
  <c r="F180" i="6"/>
  <c r="E180" i="6" s="1"/>
  <c r="G179" i="6"/>
  <c r="F179" i="6"/>
  <c r="E179" i="6" s="1"/>
  <c r="G178" i="6"/>
  <c r="F178" i="6"/>
  <c r="E178" i="6" s="1"/>
  <c r="G177" i="6"/>
  <c r="F177" i="6"/>
  <c r="E177" i="6"/>
  <c r="G176" i="6"/>
  <c r="F176" i="6"/>
  <c r="E176" i="6" s="1"/>
  <c r="G175" i="6"/>
  <c r="F175" i="6"/>
  <c r="E175" i="6" s="1"/>
  <c r="G174" i="6"/>
  <c r="F174" i="6"/>
  <c r="E174" i="6" s="1"/>
  <c r="G173" i="6"/>
  <c r="F173" i="6"/>
  <c r="E173" i="6"/>
  <c r="G172" i="6"/>
  <c r="F172" i="6"/>
  <c r="E172" i="6" s="1"/>
  <c r="G171" i="6"/>
  <c r="F171" i="6"/>
  <c r="E171" i="6" s="1"/>
  <c r="G170" i="6"/>
  <c r="F170" i="6"/>
  <c r="E170" i="6" s="1"/>
  <c r="G169" i="6"/>
  <c r="F169" i="6"/>
  <c r="E169" i="6"/>
  <c r="G168" i="6"/>
  <c r="F168" i="6"/>
  <c r="E168" i="6" s="1"/>
  <c r="G167" i="6"/>
  <c r="F167" i="6"/>
  <c r="E167" i="6" s="1"/>
  <c r="G166" i="6"/>
  <c r="F166" i="6"/>
  <c r="E166" i="6" s="1"/>
  <c r="G165" i="6"/>
  <c r="F165" i="6"/>
  <c r="E165" i="6"/>
  <c r="G164" i="6"/>
  <c r="F164" i="6"/>
  <c r="E164" i="6" s="1"/>
  <c r="G163" i="6"/>
  <c r="F163" i="6"/>
  <c r="E163" i="6" s="1"/>
  <c r="G162" i="6"/>
  <c r="F162" i="6"/>
  <c r="E162" i="6" s="1"/>
  <c r="G161" i="6"/>
  <c r="F161" i="6"/>
  <c r="E161" i="6"/>
  <c r="G160" i="6"/>
  <c r="F160" i="6"/>
  <c r="E160" i="6" s="1"/>
  <c r="G159" i="6"/>
  <c r="F159" i="6"/>
  <c r="E159" i="6" s="1"/>
  <c r="G158" i="6"/>
  <c r="F158" i="6"/>
  <c r="E158" i="6" s="1"/>
  <c r="G157" i="6"/>
  <c r="F157" i="6"/>
  <c r="E157" i="6"/>
  <c r="G156" i="6"/>
  <c r="E156" i="6" s="1"/>
  <c r="F156" i="6"/>
  <c r="G155" i="6"/>
  <c r="F155" i="6"/>
  <c r="E155" i="6" s="1"/>
  <c r="G154" i="6"/>
  <c r="F154" i="6"/>
  <c r="E154" i="6" s="1"/>
  <c r="G153" i="6"/>
  <c r="F153" i="6"/>
  <c r="E153" i="6"/>
  <c r="G152" i="6"/>
  <c r="F152" i="6"/>
  <c r="E152" i="6" s="1"/>
  <c r="G151" i="6"/>
  <c r="F151" i="6"/>
  <c r="E151" i="6" s="1"/>
  <c r="G150" i="6"/>
  <c r="F150" i="6"/>
  <c r="E150" i="6" s="1"/>
  <c r="G149" i="6"/>
  <c r="F149" i="6"/>
  <c r="E149" i="6"/>
  <c r="G148" i="6"/>
  <c r="F148" i="6"/>
  <c r="E148" i="6" s="1"/>
  <c r="G147" i="6"/>
  <c r="F147" i="6"/>
  <c r="E147" i="6" s="1"/>
  <c r="G146" i="6"/>
  <c r="F146" i="6"/>
  <c r="E146" i="6" s="1"/>
  <c r="G145" i="6"/>
  <c r="F145" i="6"/>
  <c r="E145" i="6"/>
  <c r="G144" i="6"/>
  <c r="F144" i="6"/>
  <c r="E144" i="6" s="1"/>
  <c r="G143" i="6"/>
  <c r="F143" i="6"/>
  <c r="E143" i="6" s="1"/>
  <c r="G142" i="6"/>
  <c r="F142" i="6"/>
  <c r="E142" i="6" s="1"/>
  <c r="G141" i="6"/>
  <c r="F141" i="6"/>
  <c r="E141" i="6"/>
  <c r="G140" i="6"/>
  <c r="F140" i="6"/>
  <c r="E140" i="6" s="1"/>
  <c r="G139" i="6"/>
  <c r="F139" i="6"/>
  <c r="E139" i="6" s="1"/>
  <c r="G138" i="6"/>
  <c r="F138" i="6"/>
  <c r="E138" i="6" s="1"/>
  <c r="G137" i="6"/>
  <c r="F137" i="6"/>
  <c r="E137" i="6"/>
  <c r="G136" i="6"/>
  <c r="F136" i="6"/>
  <c r="E136" i="6" s="1"/>
  <c r="G135" i="6"/>
  <c r="F135" i="6"/>
  <c r="E135" i="6" s="1"/>
  <c r="G134" i="6"/>
  <c r="F134" i="6"/>
  <c r="E134" i="6" s="1"/>
  <c r="G133" i="6"/>
  <c r="F133" i="6"/>
  <c r="E133" i="6"/>
  <c r="G132" i="6"/>
  <c r="F132" i="6"/>
  <c r="E132" i="6" s="1"/>
  <c r="G131" i="6"/>
  <c r="F131" i="6"/>
  <c r="E131" i="6" s="1"/>
  <c r="G130" i="6"/>
  <c r="F130" i="6"/>
  <c r="E130" i="6" s="1"/>
  <c r="G129" i="6"/>
  <c r="F129" i="6"/>
  <c r="E129" i="6"/>
  <c r="G128" i="6"/>
  <c r="F128" i="6"/>
  <c r="E128" i="6" s="1"/>
  <c r="G127" i="6"/>
  <c r="F127" i="6"/>
  <c r="E127" i="6" s="1"/>
  <c r="G126" i="6"/>
  <c r="F126" i="6"/>
  <c r="E126" i="6" s="1"/>
  <c r="G125" i="6"/>
  <c r="F125" i="6"/>
  <c r="E125" i="6"/>
  <c r="G124" i="6"/>
  <c r="F124" i="6"/>
  <c r="E124" i="6" s="1"/>
  <c r="G123" i="6"/>
  <c r="F123" i="6"/>
  <c r="E123" i="6" s="1"/>
  <c r="G122" i="6"/>
  <c r="F122" i="6"/>
  <c r="E122" i="6" s="1"/>
  <c r="G121" i="6"/>
  <c r="F121" i="6"/>
  <c r="E121" i="6"/>
  <c r="G120" i="6"/>
  <c r="F120" i="6"/>
  <c r="E120" i="6" s="1"/>
  <c r="G119" i="6"/>
  <c r="F119" i="6"/>
  <c r="E119" i="6" s="1"/>
  <c r="G118" i="6"/>
  <c r="F118" i="6"/>
  <c r="E118" i="6" s="1"/>
  <c r="G117" i="6"/>
  <c r="F117" i="6"/>
  <c r="E117" i="6"/>
  <c r="G116" i="6"/>
  <c r="F116" i="6"/>
  <c r="E116" i="6" s="1"/>
  <c r="G115" i="6"/>
  <c r="F115" i="6"/>
  <c r="E115" i="6" s="1"/>
  <c r="G114" i="6"/>
  <c r="F114" i="6"/>
  <c r="E114" i="6" s="1"/>
  <c r="G113" i="6"/>
  <c r="F113" i="6"/>
  <c r="E113" i="6"/>
  <c r="G112" i="6"/>
  <c r="F112" i="6"/>
  <c r="E112" i="6" s="1"/>
  <c r="G111" i="6"/>
  <c r="F111" i="6"/>
  <c r="E111" i="6" s="1"/>
  <c r="G110" i="6"/>
  <c r="F110" i="6"/>
  <c r="E110" i="6" s="1"/>
  <c r="G109" i="6"/>
  <c r="F109" i="6"/>
  <c r="E109" i="6"/>
  <c r="G108" i="6"/>
  <c r="E108" i="6" s="1"/>
  <c r="F108" i="6"/>
  <c r="G107" i="6"/>
  <c r="F107" i="6"/>
  <c r="E107" i="6" s="1"/>
  <c r="G106" i="6"/>
  <c r="F106" i="6"/>
  <c r="E106" i="6" s="1"/>
  <c r="G105" i="6"/>
  <c r="F105" i="6"/>
  <c r="E105" i="6"/>
  <c r="G104" i="6"/>
  <c r="E104" i="6" s="1"/>
  <c r="F104" i="6"/>
  <c r="G103" i="6"/>
  <c r="F103" i="6"/>
  <c r="E103" i="6" s="1"/>
  <c r="G102" i="6"/>
  <c r="F102" i="6"/>
  <c r="E102" i="6" s="1"/>
  <c r="G101" i="6"/>
  <c r="F101" i="6"/>
  <c r="E101" i="6"/>
  <c r="G100" i="6"/>
  <c r="F100" i="6"/>
  <c r="E100" i="6" s="1"/>
  <c r="G99" i="6"/>
  <c r="F99" i="6"/>
  <c r="E99" i="6" s="1"/>
  <c r="G98" i="6"/>
  <c r="F98" i="6"/>
  <c r="E98" i="6" s="1"/>
  <c r="G97" i="6"/>
  <c r="F97" i="6"/>
  <c r="E97" i="6"/>
  <c r="G96" i="6"/>
  <c r="F96" i="6"/>
  <c r="E96" i="6" s="1"/>
  <c r="G95" i="6"/>
  <c r="F95" i="6"/>
  <c r="E95" i="6" s="1"/>
  <c r="G94" i="6"/>
  <c r="F94" i="6"/>
  <c r="E94" i="6" s="1"/>
  <c r="G93" i="6"/>
  <c r="F93" i="6"/>
  <c r="E93" i="6"/>
  <c r="G92" i="6"/>
  <c r="F92" i="6"/>
  <c r="E92" i="6" s="1"/>
  <c r="G91" i="6"/>
  <c r="F91" i="6"/>
  <c r="E91" i="6" s="1"/>
  <c r="G90" i="6"/>
  <c r="F90" i="6"/>
  <c r="E90" i="6" s="1"/>
  <c r="G89" i="6"/>
  <c r="F89" i="6"/>
  <c r="E89" i="6"/>
  <c r="G88" i="6"/>
  <c r="F88" i="6"/>
  <c r="E88" i="6"/>
  <c r="G87" i="6"/>
  <c r="F87" i="6"/>
  <c r="E87" i="6" s="1"/>
  <c r="G86" i="6"/>
  <c r="F86" i="6"/>
  <c r="E86" i="6" s="1"/>
  <c r="G85" i="6"/>
  <c r="F85" i="6"/>
  <c r="E85" i="6"/>
  <c r="G84" i="6"/>
  <c r="F84" i="6"/>
  <c r="E84" i="6"/>
  <c r="G83" i="6"/>
  <c r="F83" i="6"/>
  <c r="E83" i="6" s="1"/>
  <c r="G82" i="6"/>
  <c r="F82" i="6"/>
  <c r="E82" i="6" s="1"/>
  <c r="G81" i="6"/>
  <c r="F81" i="6"/>
  <c r="E81" i="6"/>
  <c r="G80" i="6"/>
  <c r="F80" i="6"/>
  <c r="E80" i="6"/>
  <c r="G79" i="6"/>
  <c r="F79" i="6"/>
  <c r="E79" i="6" s="1"/>
  <c r="G78" i="6"/>
  <c r="F78" i="6"/>
  <c r="E78" i="6" s="1"/>
  <c r="G77" i="6"/>
  <c r="F77" i="6"/>
  <c r="E77" i="6"/>
  <c r="G76" i="6"/>
  <c r="F76" i="6"/>
  <c r="E76" i="6"/>
  <c r="G75" i="6"/>
  <c r="F75" i="6"/>
  <c r="E75" i="6" s="1"/>
  <c r="G74" i="6"/>
  <c r="F74" i="6"/>
  <c r="E74" i="6" s="1"/>
  <c r="G73" i="6"/>
  <c r="F73" i="6"/>
  <c r="E73" i="6"/>
  <c r="G72" i="6"/>
  <c r="F72" i="6"/>
  <c r="E72" i="6"/>
  <c r="G71" i="6"/>
  <c r="F71" i="6"/>
  <c r="E71" i="6" s="1"/>
  <c r="G70" i="6"/>
  <c r="F70" i="6"/>
  <c r="E70" i="6" s="1"/>
  <c r="G69" i="6"/>
  <c r="F69" i="6"/>
  <c r="E69" i="6"/>
  <c r="G68" i="6"/>
  <c r="F68" i="6"/>
  <c r="E68" i="6"/>
  <c r="G67" i="6"/>
  <c r="F67" i="6"/>
  <c r="E67" i="6" s="1"/>
  <c r="G66" i="6"/>
  <c r="F66" i="6"/>
  <c r="E66" i="6" s="1"/>
  <c r="G65" i="6"/>
  <c r="F65" i="6"/>
  <c r="E65" i="6"/>
  <c r="G64" i="6"/>
  <c r="F64" i="6"/>
  <c r="E64" i="6"/>
  <c r="G63" i="6"/>
  <c r="F63" i="6"/>
  <c r="E63" i="6" s="1"/>
  <c r="G62" i="6"/>
  <c r="F62" i="6"/>
  <c r="E62" i="6" s="1"/>
  <c r="G61" i="6"/>
  <c r="F61" i="6"/>
  <c r="E61" i="6"/>
  <c r="G60" i="6"/>
  <c r="F60" i="6"/>
  <c r="E60" i="6"/>
  <c r="G59" i="6"/>
  <c r="F59" i="6"/>
  <c r="E59" i="6" s="1"/>
  <c r="G58" i="6"/>
  <c r="F58" i="6"/>
  <c r="E58" i="6" s="1"/>
  <c r="G57" i="6"/>
  <c r="F57" i="6"/>
  <c r="E57" i="6"/>
  <c r="G56" i="6"/>
  <c r="F56" i="6"/>
  <c r="E56" i="6"/>
  <c r="G55" i="6"/>
  <c r="F55" i="6"/>
  <c r="E55" i="6" s="1"/>
  <c r="G54" i="6"/>
  <c r="F54" i="6"/>
  <c r="E54" i="6" s="1"/>
  <c r="G53" i="6"/>
  <c r="F53" i="6"/>
  <c r="E53" i="6"/>
  <c r="G52" i="6"/>
  <c r="F52" i="6"/>
  <c r="E52" i="6"/>
  <c r="G51" i="6"/>
  <c r="F51" i="6"/>
  <c r="E51" i="6" s="1"/>
  <c r="G50" i="6"/>
  <c r="F50" i="6"/>
  <c r="E50" i="6" s="1"/>
  <c r="G49" i="6"/>
  <c r="F49" i="6"/>
  <c r="E49" i="6" s="1"/>
  <c r="G48" i="6"/>
  <c r="F48" i="6"/>
  <c r="E48" i="6"/>
  <c r="G47" i="6"/>
  <c r="F47" i="6"/>
  <c r="E47" i="6" s="1"/>
  <c r="G46" i="6"/>
  <c r="F46" i="6"/>
  <c r="E46" i="6" s="1"/>
  <c r="G45" i="6"/>
  <c r="F45" i="6"/>
  <c r="E45" i="6" s="1"/>
  <c r="G44" i="6"/>
  <c r="F44" i="6"/>
  <c r="E44" i="6"/>
  <c r="G43" i="6"/>
  <c r="F43" i="6"/>
  <c r="E43" i="6" s="1"/>
  <c r="G42" i="6"/>
  <c r="F42" i="6"/>
  <c r="E42" i="6" s="1"/>
  <c r="G41" i="6"/>
  <c r="F41" i="6"/>
  <c r="E41" i="6" s="1"/>
  <c r="G40" i="6"/>
  <c r="E40" i="6" s="1"/>
  <c r="F40" i="6"/>
  <c r="G39" i="6"/>
  <c r="F39" i="6"/>
  <c r="E39" i="6" s="1"/>
  <c r="G38" i="6"/>
  <c r="F38" i="6"/>
  <c r="E38" i="6"/>
  <c r="G37" i="6"/>
  <c r="F37" i="6"/>
  <c r="E37" i="6" s="1"/>
  <c r="G36" i="6"/>
  <c r="E36" i="6" s="1"/>
  <c r="F36" i="6"/>
  <c r="G35" i="6"/>
  <c r="F35" i="6"/>
  <c r="E35" i="6" s="1"/>
  <c r="G34" i="6"/>
  <c r="F34" i="6"/>
  <c r="E34" i="6"/>
  <c r="G33" i="6"/>
  <c r="F33" i="6"/>
  <c r="E33" i="6" s="1"/>
  <c r="G32" i="6"/>
  <c r="E32" i="6" s="1"/>
  <c r="F32" i="6"/>
  <c r="G31" i="6"/>
  <c r="F31" i="6"/>
  <c r="E31" i="6" s="1"/>
  <c r="G30" i="6"/>
  <c r="F30" i="6"/>
  <c r="E30" i="6"/>
  <c r="G29" i="6"/>
  <c r="F29" i="6"/>
  <c r="E29" i="6" s="1"/>
  <c r="G28" i="6"/>
  <c r="E28" i="6" s="1"/>
  <c r="F28" i="6"/>
  <c r="G27" i="6"/>
  <c r="F27" i="6"/>
  <c r="E27" i="6" s="1"/>
  <c r="G26" i="6"/>
  <c r="F26" i="6"/>
  <c r="E26" i="6"/>
  <c r="G25" i="6"/>
  <c r="F25" i="6"/>
  <c r="E25" i="6" s="1"/>
  <c r="G24" i="6"/>
  <c r="E24" i="6" s="1"/>
  <c r="F24" i="6"/>
  <c r="G23" i="6"/>
  <c r="F23" i="6"/>
  <c r="E23" i="6" s="1"/>
  <c r="G22" i="6"/>
  <c r="F22" i="6"/>
  <c r="E22" i="6"/>
  <c r="G21" i="6"/>
  <c r="F21" i="6"/>
  <c r="E21" i="6" s="1"/>
  <c r="G20" i="6"/>
  <c r="E20" i="6" s="1"/>
  <c r="F20" i="6"/>
  <c r="G19" i="6"/>
  <c r="F19" i="6"/>
  <c r="E19" i="6" s="1"/>
  <c r="G18" i="6"/>
  <c r="F18" i="6"/>
  <c r="E18" i="6"/>
  <c r="G17" i="6"/>
  <c r="F17" i="6"/>
  <c r="E17" i="6" s="1"/>
  <c r="G16" i="6"/>
  <c r="E16" i="6" s="1"/>
  <c r="F16" i="6"/>
  <c r="G15" i="6"/>
  <c r="F15" i="6"/>
  <c r="E15" i="6" s="1"/>
  <c r="G14" i="6"/>
  <c r="F14" i="6"/>
  <c r="E14" i="6"/>
  <c r="G13" i="6"/>
  <c r="F13" i="6"/>
  <c r="E13" i="6" s="1"/>
  <c r="G12" i="6"/>
  <c r="E12" i="6" s="1"/>
  <c r="F12" i="6"/>
  <c r="G11" i="6"/>
  <c r="F11" i="6"/>
  <c r="E11" i="6" s="1"/>
  <c r="G10" i="6"/>
  <c r="F10" i="6"/>
  <c r="E10" i="6"/>
  <c r="G9" i="6"/>
  <c r="F9" i="6"/>
  <c r="E9" i="6" s="1"/>
  <c r="G8" i="6"/>
  <c r="E8" i="6" s="1"/>
  <c r="F8" i="6"/>
  <c r="G7" i="6"/>
  <c r="F7" i="6"/>
  <c r="E7" i="6" s="1"/>
  <c r="G6" i="6"/>
  <c r="F6" i="6"/>
  <c r="E6" i="6"/>
  <c r="G5" i="6"/>
  <c r="F5" i="6"/>
  <c r="E5" i="6" s="1"/>
  <c r="G4" i="6"/>
  <c r="E4" i="6" s="1"/>
  <c r="F4" i="6"/>
  <c r="G3" i="6"/>
  <c r="F3" i="6"/>
  <c r="E3" i="6" s="1"/>
  <c r="G192" i="5"/>
  <c r="F192" i="5"/>
  <c r="E192" i="5"/>
  <c r="G191" i="5"/>
  <c r="F191" i="5"/>
  <c r="E191" i="5" s="1"/>
  <c r="G190" i="5"/>
  <c r="E190" i="5" s="1"/>
  <c r="F190" i="5"/>
  <c r="G189" i="5"/>
  <c r="F189" i="5"/>
  <c r="E189" i="5" s="1"/>
  <c r="G188" i="5"/>
  <c r="F188" i="5"/>
  <c r="E188" i="5"/>
  <c r="G187" i="5"/>
  <c r="F187" i="5"/>
  <c r="E187" i="5" s="1"/>
  <c r="G186" i="5"/>
  <c r="E186" i="5" s="1"/>
  <c r="F186" i="5"/>
  <c r="G185" i="5"/>
  <c r="F185" i="5"/>
  <c r="E185" i="5" s="1"/>
  <c r="G184" i="5"/>
  <c r="F184" i="5"/>
  <c r="E184" i="5"/>
  <c r="G183" i="5"/>
  <c r="F183" i="5"/>
  <c r="E183" i="5" s="1"/>
  <c r="G182" i="5"/>
  <c r="E182" i="5" s="1"/>
  <c r="F182" i="5"/>
  <c r="G181" i="5"/>
  <c r="F181" i="5"/>
  <c r="E181" i="5" s="1"/>
  <c r="G180" i="5"/>
  <c r="F180" i="5"/>
  <c r="E180" i="5"/>
  <c r="G179" i="5"/>
  <c r="F179" i="5"/>
  <c r="E179" i="5" s="1"/>
  <c r="G178" i="5"/>
  <c r="E178" i="5" s="1"/>
  <c r="F178" i="5"/>
  <c r="G177" i="5"/>
  <c r="F177" i="5"/>
  <c r="E177" i="5" s="1"/>
  <c r="G176" i="5"/>
  <c r="F176" i="5"/>
  <c r="E176" i="5"/>
  <c r="G175" i="5"/>
  <c r="F175" i="5"/>
  <c r="E175" i="5" s="1"/>
  <c r="G174" i="5"/>
  <c r="E174" i="5" s="1"/>
  <c r="F174" i="5"/>
  <c r="G173" i="5"/>
  <c r="F173" i="5"/>
  <c r="E173" i="5" s="1"/>
  <c r="G172" i="5"/>
  <c r="F172" i="5"/>
  <c r="E172" i="5"/>
  <c r="G171" i="5"/>
  <c r="F171" i="5"/>
  <c r="E171" i="5" s="1"/>
  <c r="G170" i="5"/>
  <c r="E170" i="5" s="1"/>
  <c r="F170" i="5"/>
  <c r="G169" i="5"/>
  <c r="F169" i="5"/>
  <c r="E169" i="5" s="1"/>
  <c r="G168" i="5"/>
  <c r="F168" i="5"/>
  <c r="E168" i="5"/>
  <c r="G167" i="5"/>
  <c r="F167" i="5"/>
  <c r="E167" i="5" s="1"/>
  <c r="G166" i="5"/>
  <c r="E166" i="5" s="1"/>
  <c r="F166" i="5"/>
  <c r="G165" i="5"/>
  <c r="F165" i="5"/>
  <c r="E165" i="5" s="1"/>
  <c r="G164" i="5"/>
  <c r="F164" i="5"/>
  <c r="E164" i="5"/>
  <c r="G163" i="5"/>
  <c r="F163" i="5"/>
  <c r="E163" i="5" s="1"/>
  <c r="G162" i="5"/>
  <c r="E162" i="5" s="1"/>
  <c r="F162" i="5"/>
  <c r="G161" i="5"/>
  <c r="F161" i="5"/>
  <c r="E161" i="5" s="1"/>
  <c r="G160" i="5"/>
  <c r="F160" i="5"/>
  <c r="E160" i="5"/>
  <c r="G159" i="5"/>
  <c r="F159" i="5"/>
  <c r="E159" i="5" s="1"/>
  <c r="G158" i="5"/>
  <c r="E158" i="5" s="1"/>
  <c r="F158" i="5"/>
  <c r="G157" i="5"/>
  <c r="F157" i="5"/>
  <c r="E157" i="5" s="1"/>
  <c r="G156" i="5"/>
  <c r="F156" i="5"/>
  <c r="E156" i="5"/>
  <c r="G155" i="5"/>
  <c r="F155" i="5"/>
  <c r="E155" i="5" s="1"/>
  <c r="G154" i="5"/>
  <c r="E154" i="5" s="1"/>
  <c r="F154" i="5"/>
  <c r="G153" i="5"/>
  <c r="F153" i="5"/>
  <c r="E153" i="5" s="1"/>
  <c r="G152" i="5"/>
  <c r="F152" i="5"/>
  <c r="E152" i="5"/>
  <c r="G151" i="5"/>
  <c r="F151" i="5"/>
  <c r="E151" i="5" s="1"/>
  <c r="G150" i="5"/>
  <c r="E150" i="5" s="1"/>
  <c r="F150" i="5"/>
  <c r="G149" i="5"/>
  <c r="F149" i="5"/>
  <c r="E149" i="5" s="1"/>
  <c r="G148" i="5"/>
  <c r="F148" i="5"/>
  <c r="E148" i="5"/>
  <c r="G147" i="5"/>
  <c r="F147" i="5"/>
  <c r="E147" i="5" s="1"/>
  <c r="G146" i="5"/>
  <c r="E146" i="5" s="1"/>
  <c r="F146" i="5"/>
  <c r="G145" i="5"/>
  <c r="F145" i="5"/>
  <c r="E145" i="5" s="1"/>
  <c r="G144" i="5"/>
  <c r="F144" i="5"/>
  <c r="E144" i="5"/>
  <c r="G143" i="5"/>
  <c r="F143" i="5"/>
  <c r="E143" i="5" s="1"/>
  <c r="G142" i="5"/>
  <c r="E142" i="5" s="1"/>
  <c r="F142" i="5"/>
  <c r="G141" i="5"/>
  <c r="F141" i="5"/>
  <c r="E141" i="5" s="1"/>
  <c r="G140" i="5"/>
  <c r="F140" i="5"/>
  <c r="E140" i="5"/>
  <c r="G139" i="5"/>
  <c r="F139" i="5"/>
  <c r="E139" i="5" s="1"/>
  <c r="G138" i="5"/>
  <c r="E138" i="5" s="1"/>
  <c r="F138" i="5"/>
  <c r="G137" i="5"/>
  <c r="F137" i="5"/>
  <c r="E137" i="5" s="1"/>
  <c r="G136" i="5"/>
  <c r="F136" i="5"/>
  <c r="E136" i="5"/>
  <c r="G135" i="5"/>
  <c r="F135" i="5"/>
  <c r="E135" i="5" s="1"/>
  <c r="G134" i="5"/>
  <c r="E134" i="5" s="1"/>
  <c r="F134" i="5"/>
  <c r="G133" i="5"/>
  <c r="F133" i="5"/>
  <c r="E133" i="5" s="1"/>
  <c r="G132" i="5"/>
  <c r="F132" i="5"/>
  <c r="E132" i="5"/>
  <c r="G131" i="5"/>
  <c r="F131" i="5"/>
  <c r="E131" i="5" s="1"/>
  <c r="G130" i="5"/>
  <c r="E130" i="5" s="1"/>
  <c r="F130" i="5"/>
  <c r="G129" i="5"/>
  <c r="F129" i="5"/>
  <c r="E129" i="5" s="1"/>
  <c r="G128" i="5"/>
  <c r="F128" i="5"/>
  <c r="E128" i="5"/>
  <c r="G127" i="5"/>
  <c r="F127" i="5"/>
  <c r="E127" i="5" s="1"/>
  <c r="G126" i="5"/>
  <c r="E126" i="5" s="1"/>
  <c r="F126" i="5"/>
  <c r="G125" i="5"/>
  <c r="F125" i="5"/>
  <c r="E125" i="5" s="1"/>
  <c r="G124" i="5"/>
  <c r="F124" i="5"/>
  <c r="E124" i="5"/>
  <c r="G123" i="5"/>
  <c r="F123" i="5"/>
  <c r="E123" i="5" s="1"/>
  <c r="G122" i="5"/>
  <c r="E122" i="5" s="1"/>
  <c r="F122" i="5"/>
  <c r="G121" i="5"/>
  <c r="F121" i="5"/>
  <c r="E121" i="5" s="1"/>
  <c r="G120" i="5"/>
  <c r="F120" i="5"/>
  <c r="E120" i="5"/>
  <c r="G119" i="5"/>
  <c r="F119" i="5"/>
  <c r="E119" i="5" s="1"/>
  <c r="G118" i="5"/>
  <c r="E118" i="5" s="1"/>
  <c r="F118" i="5"/>
  <c r="G117" i="5"/>
  <c r="F117" i="5"/>
  <c r="E117" i="5" s="1"/>
  <c r="G116" i="5"/>
  <c r="F116" i="5"/>
  <c r="E116" i="5"/>
  <c r="G115" i="5"/>
  <c r="F115" i="5"/>
  <c r="E115" i="5" s="1"/>
  <c r="G114" i="5"/>
  <c r="E114" i="5" s="1"/>
  <c r="F114" i="5"/>
  <c r="G113" i="5"/>
  <c r="F113" i="5"/>
  <c r="E113" i="5" s="1"/>
  <c r="G112" i="5"/>
  <c r="F112" i="5"/>
  <c r="E112" i="5"/>
  <c r="G111" i="5"/>
  <c r="F111" i="5"/>
  <c r="E111" i="5" s="1"/>
  <c r="G110" i="5"/>
  <c r="E110" i="5" s="1"/>
  <c r="F110" i="5"/>
  <c r="G109" i="5"/>
  <c r="F109" i="5"/>
  <c r="E109" i="5" s="1"/>
  <c r="G108" i="5"/>
  <c r="F108" i="5"/>
  <c r="E108" i="5"/>
  <c r="G107" i="5"/>
  <c r="F107" i="5"/>
  <c r="E107" i="5" s="1"/>
  <c r="G106" i="5"/>
  <c r="E106" i="5" s="1"/>
  <c r="F106" i="5"/>
  <c r="G105" i="5"/>
  <c r="F105" i="5"/>
  <c r="E105" i="5" s="1"/>
  <c r="G104" i="5"/>
  <c r="F104" i="5"/>
  <c r="E104" i="5"/>
  <c r="G103" i="5"/>
  <c r="F103" i="5"/>
  <c r="E103" i="5" s="1"/>
  <c r="G102" i="5"/>
  <c r="E102" i="5" s="1"/>
  <c r="F102" i="5"/>
  <c r="G101" i="5"/>
  <c r="F101" i="5"/>
  <c r="E101" i="5" s="1"/>
  <c r="G100" i="5"/>
  <c r="F100" i="5"/>
  <c r="E100" i="5"/>
  <c r="G99" i="5"/>
  <c r="F99" i="5"/>
  <c r="E99" i="5" s="1"/>
  <c r="G98" i="5"/>
  <c r="E98" i="5" s="1"/>
  <c r="F98" i="5"/>
  <c r="G97" i="5"/>
  <c r="F97" i="5"/>
  <c r="E97" i="5" s="1"/>
  <c r="G96" i="5"/>
  <c r="F96" i="5"/>
  <c r="E96" i="5"/>
  <c r="G95" i="5"/>
  <c r="F95" i="5"/>
  <c r="E95" i="5" s="1"/>
  <c r="G94" i="5"/>
  <c r="E94" i="5" s="1"/>
  <c r="F94" i="5"/>
  <c r="G93" i="5"/>
  <c r="F93" i="5"/>
  <c r="E93" i="5" s="1"/>
  <c r="G92" i="5"/>
  <c r="F92" i="5"/>
  <c r="E92" i="5"/>
  <c r="G91" i="5"/>
  <c r="F91" i="5"/>
  <c r="E91" i="5" s="1"/>
  <c r="G90" i="5"/>
  <c r="E90" i="5" s="1"/>
  <c r="F90" i="5"/>
  <c r="G89" i="5"/>
  <c r="F89" i="5"/>
  <c r="E89" i="5" s="1"/>
  <c r="G88" i="5"/>
  <c r="F88" i="5"/>
  <c r="E88" i="5"/>
  <c r="G87" i="5"/>
  <c r="F87" i="5"/>
  <c r="E87" i="5" s="1"/>
  <c r="G86" i="5"/>
  <c r="E86" i="5" s="1"/>
  <c r="F86" i="5"/>
  <c r="G85" i="5"/>
  <c r="F85" i="5"/>
  <c r="E85" i="5" s="1"/>
  <c r="G84" i="5"/>
  <c r="F84" i="5"/>
  <c r="E84" i="5"/>
  <c r="G83" i="5"/>
  <c r="F83" i="5"/>
  <c r="E83" i="5" s="1"/>
  <c r="G82" i="5"/>
  <c r="E82" i="5" s="1"/>
  <c r="F82" i="5"/>
  <c r="G81" i="5"/>
  <c r="F81" i="5"/>
  <c r="E81" i="5" s="1"/>
  <c r="G80" i="5"/>
  <c r="F80" i="5"/>
  <c r="E80" i="5"/>
  <c r="G79" i="5"/>
  <c r="F79" i="5"/>
  <c r="E79" i="5" s="1"/>
  <c r="G78" i="5"/>
  <c r="E78" i="5" s="1"/>
  <c r="F78" i="5"/>
  <c r="G77" i="5"/>
  <c r="F77" i="5"/>
  <c r="E77" i="5" s="1"/>
  <c r="G76" i="5"/>
  <c r="F76" i="5"/>
  <c r="E76" i="5"/>
  <c r="G75" i="5"/>
  <c r="F75" i="5"/>
  <c r="E75" i="5" s="1"/>
  <c r="G74" i="5"/>
  <c r="E74" i="5" s="1"/>
  <c r="F74" i="5"/>
  <c r="G73" i="5"/>
  <c r="F73" i="5"/>
  <c r="E73" i="5" s="1"/>
  <c r="G72" i="5"/>
  <c r="F72" i="5"/>
  <c r="E72" i="5"/>
  <c r="G71" i="5"/>
  <c r="F71" i="5"/>
  <c r="E71" i="5" s="1"/>
  <c r="G70" i="5"/>
  <c r="E70" i="5" s="1"/>
  <c r="F70" i="5"/>
  <c r="G69" i="5"/>
  <c r="F69" i="5"/>
  <c r="E69" i="5" s="1"/>
  <c r="G68" i="5"/>
  <c r="F68" i="5"/>
  <c r="E68" i="5"/>
  <c r="G67" i="5"/>
  <c r="F67" i="5"/>
  <c r="E67" i="5" s="1"/>
  <c r="G66" i="5"/>
  <c r="E66" i="5" s="1"/>
  <c r="F66" i="5"/>
  <c r="G65" i="5"/>
  <c r="F65" i="5"/>
  <c r="E65" i="5" s="1"/>
  <c r="G64" i="5"/>
  <c r="F64" i="5"/>
  <c r="E64" i="5"/>
  <c r="G63" i="5"/>
  <c r="F63" i="5"/>
  <c r="E63" i="5" s="1"/>
  <c r="G62" i="5"/>
  <c r="E62" i="5" s="1"/>
  <c r="F62" i="5"/>
  <c r="G61" i="5"/>
  <c r="F61" i="5"/>
  <c r="E61" i="5" s="1"/>
  <c r="G60" i="5"/>
  <c r="F60" i="5"/>
  <c r="E60" i="5"/>
  <c r="G59" i="5"/>
  <c r="F59" i="5"/>
  <c r="E59" i="5" s="1"/>
  <c r="G58" i="5"/>
  <c r="E58" i="5" s="1"/>
  <c r="F58" i="5"/>
  <c r="G57" i="5"/>
  <c r="F57" i="5"/>
  <c r="E57" i="5" s="1"/>
  <c r="G56" i="5"/>
  <c r="F56" i="5"/>
  <c r="E56" i="5"/>
  <c r="G55" i="5"/>
  <c r="F55" i="5"/>
  <c r="E55" i="5" s="1"/>
  <c r="G54" i="5"/>
  <c r="E54" i="5" s="1"/>
  <c r="F54" i="5"/>
  <c r="G53" i="5"/>
  <c r="F53" i="5"/>
  <c r="E53" i="5" s="1"/>
  <c r="G52" i="5"/>
  <c r="F52" i="5"/>
  <c r="E52" i="5"/>
  <c r="G51" i="5"/>
  <c r="F51" i="5"/>
  <c r="E51" i="5" s="1"/>
  <c r="G50" i="5"/>
  <c r="E50" i="5" s="1"/>
  <c r="F50" i="5"/>
  <c r="G49" i="5"/>
  <c r="F49" i="5"/>
  <c r="E49" i="5" s="1"/>
  <c r="G48" i="5"/>
  <c r="F48" i="5"/>
  <c r="E48" i="5"/>
  <c r="G47" i="5"/>
  <c r="F47" i="5"/>
  <c r="E47" i="5" s="1"/>
  <c r="G46" i="5"/>
  <c r="E46" i="5" s="1"/>
  <c r="F46" i="5"/>
  <c r="G45" i="5"/>
  <c r="F45" i="5"/>
  <c r="E45" i="5" s="1"/>
  <c r="G44" i="5"/>
  <c r="F44" i="5"/>
  <c r="E44" i="5"/>
  <c r="G43" i="5"/>
  <c r="F43" i="5"/>
  <c r="E43" i="5" s="1"/>
  <c r="G42" i="5"/>
  <c r="E42" i="5" s="1"/>
  <c r="F42" i="5"/>
  <c r="G41" i="5"/>
  <c r="F41" i="5"/>
  <c r="E41" i="5" s="1"/>
  <c r="G40" i="5"/>
  <c r="F40" i="5"/>
  <c r="E40" i="5"/>
  <c r="G39" i="5"/>
  <c r="F39" i="5"/>
  <c r="E39" i="5" s="1"/>
  <c r="G38" i="5"/>
  <c r="E38" i="5" s="1"/>
  <c r="F38" i="5"/>
  <c r="G37" i="5"/>
  <c r="F37" i="5"/>
  <c r="E37" i="5" s="1"/>
  <c r="G36" i="5"/>
  <c r="F36" i="5"/>
  <c r="E36" i="5"/>
  <c r="G35" i="5"/>
  <c r="F35" i="5"/>
  <c r="E35" i="5" s="1"/>
  <c r="G34" i="5"/>
  <c r="E34" i="5" s="1"/>
  <c r="F34" i="5"/>
  <c r="G33" i="5"/>
  <c r="F33" i="5"/>
  <c r="E33" i="5" s="1"/>
  <c r="G32" i="5"/>
  <c r="F32" i="5"/>
  <c r="E32" i="5"/>
  <c r="G31" i="5"/>
  <c r="F31" i="5"/>
  <c r="E31" i="5" s="1"/>
  <c r="G30" i="5"/>
  <c r="E30" i="5" s="1"/>
  <c r="F30" i="5"/>
  <c r="G29" i="5"/>
  <c r="F29" i="5"/>
  <c r="E29" i="5" s="1"/>
  <c r="G28" i="5"/>
  <c r="F28" i="5"/>
  <c r="E28" i="5"/>
  <c r="G27" i="5"/>
  <c r="F27" i="5"/>
  <c r="E27" i="5" s="1"/>
  <c r="G26" i="5"/>
  <c r="E26" i="5" s="1"/>
  <c r="F26" i="5"/>
  <c r="G25" i="5"/>
  <c r="F25" i="5"/>
  <c r="E25" i="5" s="1"/>
  <c r="G24" i="5"/>
  <c r="F24" i="5"/>
  <c r="E24" i="5"/>
  <c r="G23" i="5"/>
  <c r="F23" i="5"/>
  <c r="E23" i="5" s="1"/>
  <c r="G22" i="5"/>
  <c r="E22" i="5" s="1"/>
  <c r="F22" i="5"/>
  <c r="G21" i="5"/>
  <c r="F21" i="5"/>
  <c r="E21" i="5" s="1"/>
  <c r="G20" i="5"/>
  <c r="F20" i="5"/>
  <c r="E20" i="5"/>
  <c r="G19" i="5"/>
  <c r="F19" i="5"/>
  <c r="E19" i="5" s="1"/>
  <c r="G18" i="5"/>
  <c r="E18" i="5" s="1"/>
  <c r="F18" i="5"/>
  <c r="G17" i="5"/>
  <c r="F17" i="5"/>
  <c r="E17" i="5" s="1"/>
  <c r="G16" i="5"/>
  <c r="F16" i="5"/>
  <c r="E16" i="5"/>
  <c r="G15" i="5"/>
  <c r="F15" i="5"/>
  <c r="E15" i="5" s="1"/>
  <c r="G14" i="5"/>
  <c r="E14" i="5" s="1"/>
  <c r="F14" i="5"/>
  <c r="G13" i="5"/>
  <c r="F13" i="5"/>
  <c r="E13" i="5" s="1"/>
  <c r="G12" i="5"/>
  <c r="F12" i="5"/>
  <c r="E12" i="5"/>
  <c r="G11" i="5"/>
  <c r="F11" i="5"/>
  <c r="E11" i="5" s="1"/>
  <c r="G10" i="5"/>
  <c r="E10" i="5" s="1"/>
  <c r="F10" i="5"/>
  <c r="G9" i="5"/>
  <c r="F9" i="5"/>
  <c r="E9" i="5" s="1"/>
  <c r="G8" i="5"/>
  <c r="F8" i="5"/>
  <c r="E8" i="5"/>
  <c r="G7" i="5"/>
  <c r="F7" i="5"/>
  <c r="E7" i="5" s="1"/>
  <c r="G6" i="5"/>
  <c r="E6" i="5" s="1"/>
  <c r="F6" i="5"/>
  <c r="G5" i="5"/>
  <c r="F5" i="5"/>
  <c r="E5" i="5" s="1"/>
  <c r="G4" i="5"/>
  <c r="F4" i="5"/>
  <c r="E4" i="5"/>
  <c r="G3" i="5"/>
  <c r="F3" i="5"/>
  <c r="E3" i="5" s="1"/>
  <c r="G192" i="4"/>
  <c r="E192" i="4" s="1"/>
  <c r="F192" i="4"/>
  <c r="G191" i="4"/>
  <c r="F191" i="4"/>
  <c r="E191" i="4" s="1"/>
  <c r="G190" i="4"/>
  <c r="F190" i="4"/>
  <c r="E190" i="4"/>
  <c r="G189" i="4"/>
  <c r="F189" i="4"/>
  <c r="E189" i="4" s="1"/>
  <c r="G188" i="4"/>
  <c r="E188" i="4" s="1"/>
  <c r="F188" i="4"/>
  <c r="G187" i="4"/>
  <c r="F187" i="4"/>
  <c r="E187" i="4" s="1"/>
  <c r="G186" i="4"/>
  <c r="F186" i="4"/>
  <c r="E186" i="4"/>
  <c r="G185" i="4"/>
  <c r="F185" i="4"/>
  <c r="E185" i="4" s="1"/>
  <c r="G184" i="4"/>
  <c r="E184" i="4" s="1"/>
  <c r="F184" i="4"/>
  <c r="G183" i="4"/>
  <c r="F183" i="4"/>
  <c r="E183" i="4" s="1"/>
  <c r="G182" i="4"/>
  <c r="F182" i="4"/>
  <c r="E182" i="4"/>
  <c r="G181" i="4"/>
  <c r="F181" i="4"/>
  <c r="E181" i="4" s="1"/>
  <c r="G180" i="4"/>
  <c r="E180" i="4" s="1"/>
  <c r="F180" i="4"/>
  <c r="G179" i="4"/>
  <c r="F179" i="4"/>
  <c r="E179" i="4" s="1"/>
  <c r="G178" i="4"/>
  <c r="F178" i="4"/>
  <c r="E178" i="4"/>
  <c r="G177" i="4"/>
  <c r="F177" i="4"/>
  <c r="E177" i="4" s="1"/>
  <c r="G176" i="4"/>
  <c r="E176" i="4" s="1"/>
  <c r="F176" i="4"/>
  <c r="G175" i="4"/>
  <c r="F175" i="4"/>
  <c r="E175" i="4" s="1"/>
  <c r="G174" i="4"/>
  <c r="F174" i="4"/>
  <c r="E174" i="4"/>
  <c r="G173" i="4"/>
  <c r="F173" i="4"/>
  <c r="E173" i="4" s="1"/>
  <c r="G172" i="4"/>
  <c r="E172" i="4" s="1"/>
  <c r="F172" i="4"/>
  <c r="G171" i="4"/>
  <c r="F171" i="4"/>
  <c r="E171" i="4" s="1"/>
  <c r="G170" i="4"/>
  <c r="F170" i="4"/>
  <c r="E170" i="4"/>
  <c r="G169" i="4"/>
  <c r="F169" i="4"/>
  <c r="E169" i="4" s="1"/>
  <c r="G168" i="4"/>
  <c r="E168" i="4" s="1"/>
  <c r="F168" i="4"/>
  <c r="G167" i="4"/>
  <c r="F167" i="4"/>
  <c r="E167" i="4" s="1"/>
  <c r="G166" i="4"/>
  <c r="F166" i="4"/>
  <c r="E166" i="4"/>
  <c r="G165" i="4"/>
  <c r="F165" i="4"/>
  <c r="E165" i="4" s="1"/>
  <c r="G164" i="4"/>
  <c r="E164" i="4" s="1"/>
  <c r="F164" i="4"/>
  <c r="G163" i="4"/>
  <c r="F163" i="4"/>
  <c r="E163" i="4" s="1"/>
  <c r="G162" i="4"/>
  <c r="F162" i="4"/>
  <c r="E162" i="4"/>
  <c r="G161" i="4"/>
  <c r="F161" i="4"/>
  <c r="E161" i="4" s="1"/>
  <c r="G160" i="4"/>
  <c r="E160" i="4" s="1"/>
  <c r="F160" i="4"/>
  <c r="G159" i="4"/>
  <c r="F159" i="4"/>
  <c r="E159" i="4" s="1"/>
  <c r="G158" i="4"/>
  <c r="F158" i="4"/>
  <c r="E158" i="4"/>
  <c r="G157" i="4"/>
  <c r="F157" i="4"/>
  <c r="E157" i="4" s="1"/>
  <c r="G156" i="4"/>
  <c r="E156" i="4" s="1"/>
  <c r="F156" i="4"/>
  <c r="G155" i="4"/>
  <c r="F155" i="4"/>
  <c r="E155" i="4" s="1"/>
  <c r="G154" i="4"/>
  <c r="F154" i="4"/>
  <c r="E154" i="4"/>
  <c r="G153" i="4"/>
  <c r="F153" i="4"/>
  <c r="E153" i="4" s="1"/>
  <c r="G152" i="4"/>
  <c r="E152" i="4" s="1"/>
  <c r="F152" i="4"/>
  <c r="G151" i="4"/>
  <c r="F151" i="4"/>
  <c r="E151" i="4" s="1"/>
  <c r="G150" i="4"/>
  <c r="F150" i="4"/>
  <c r="E150" i="4"/>
  <c r="G149" i="4"/>
  <c r="F149" i="4"/>
  <c r="E149" i="4" s="1"/>
  <c r="G148" i="4"/>
  <c r="E148" i="4" s="1"/>
  <c r="F148" i="4"/>
  <c r="G147" i="4"/>
  <c r="F147" i="4"/>
  <c r="E147" i="4" s="1"/>
  <c r="G146" i="4"/>
  <c r="F146" i="4"/>
  <c r="E146" i="4"/>
  <c r="G145" i="4"/>
  <c r="F145" i="4"/>
  <c r="E145" i="4" s="1"/>
  <c r="G144" i="4"/>
  <c r="E144" i="4" s="1"/>
  <c r="F144" i="4"/>
  <c r="G143" i="4"/>
  <c r="F143" i="4"/>
  <c r="E143" i="4" s="1"/>
  <c r="G142" i="4"/>
  <c r="F142" i="4"/>
  <c r="E142" i="4"/>
  <c r="G141" i="4"/>
  <c r="F141" i="4"/>
  <c r="E141" i="4" s="1"/>
  <c r="G140" i="4"/>
  <c r="E140" i="4" s="1"/>
  <c r="F140" i="4"/>
  <c r="G139" i="4"/>
  <c r="F139" i="4"/>
  <c r="E139" i="4" s="1"/>
  <c r="G138" i="4"/>
  <c r="F138" i="4"/>
  <c r="E138" i="4"/>
  <c r="G137" i="4"/>
  <c r="F137" i="4"/>
  <c r="E137" i="4" s="1"/>
  <c r="G136" i="4"/>
  <c r="E136" i="4" s="1"/>
  <c r="F136" i="4"/>
  <c r="G135" i="4"/>
  <c r="F135" i="4"/>
  <c r="E135" i="4" s="1"/>
  <c r="G134" i="4"/>
  <c r="F134" i="4"/>
  <c r="E134" i="4"/>
  <c r="G133" i="4"/>
  <c r="F133" i="4"/>
  <c r="E133" i="4" s="1"/>
  <c r="G132" i="4"/>
  <c r="E132" i="4" s="1"/>
  <c r="F132" i="4"/>
  <c r="G131" i="4"/>
  <c r="F131" i="4"/>
  <c r="E131" i="4" s="1"/>
  <c r="G130" i="4"/>
  <c r="F130" i="4"/>
  <c r="E130" i="4"/>
  <c r="G129" i="4"/>
  <c r="F129" i="4"/>
  <c r="E129" i="4" s="1"/>
  <c r="G128" i="4"/>
  <c r="E128" i="4" s="1"/>
  <c r="F128" i="4"/>
  <c r="G127" i="4"/>
  <c r="F127" i="4"/>
  <c r="E127" i="4" s="1"/>
  <c r="G126" i="4"/>
  <c r="F126" i="4"/>
  <c r="E126" i="4"/>
  <c r="G125" i="4"/>
  <c r="F125" i="4"/>
  <c r="E125" i="4" s="1"/>
  <c r="G124" i="4"/>
  <c r="E124" i="4" s="1"/>
  <c r="F124" i="4"/>
  <c r="G123" i="4"/>
  <c r="F123" i="4"/>
  <c r="E123" i="4" s="1"/>
  <c r="G122" i="4"/>
  <c r="F122" i="4"/>
  <c r="E122" i="4"/>
  <c r="G121" i="4"/>
  <c r="F121" i="4"/>
  <c r="E121" i="4" s="1"/>
  <c r="G120" i="4"/>
  <c r="E120" i="4" s="1"/>
  <c r="F120" i="4"/>
  <c r="G119" i="4"/>
  <c r="F119" i="4"/>
  <c r="E119" i="4" s="1"/>
  <c r="G118" i="4"/>
  <c r="F118" i="4"/>
  <c r="E118" i="4"/>
  <c r="G117" i="4"/>
  <c r="F117" i="4"/>
  <c r="E117" i="4" s="1"/>
  <c r="G116" i="4"/>
  <c r="E116" i="4" s="1"/>
  <c r="F116" i="4"/>
  <c r="G115" i="4"/>
  <c r="F115" i="4"/>
  <c r="E115" i="4" s="1"/>
  <c r="G114" i="4"/>
  <c r="F114" i="4"/>
  <c r="E114" i="4"/>
  <c r="G113" i="4"/>
  <c r="F113" i="4"/>
  <c r="E113" i="4" s="1"/>
  <c r="G112" i="4"/>
  <c r="E112" i="4" s="1"/>
  <c r="F112" i="4"/>
  <c r="G111" i="4"/>
  <c r="F111" i="4"/>
  <c r="E111" i="4" s="1"/>
  <c r="G110" i="4"/>
  <c r="F110" i="4"/>
  <c r="E110" i="4"/>
  <c r="G109" i="4"/>
  <c r="F109" i="4"/>
  <c r="E109" i="4" s="1"/>
  <c r="G108" i="4"/>
  <c r="E108" i="4" s="1"/>
  <c r="F108" i="4"/>
  <c r="G107" i="4"/>
  <c r="F107" i="4"/>
  <c r="E107" i="4" s="1"/>
  <c r="G106" i="4"/>
  <c r="F106" i="4"/>
  <c r="E106" i="4"/>
  <c r="G105" i="4"/>
  <c r="F105" i="4"/>
  <c r="E105" i="4" s="1"/>
  <c r="G104" i="4"/>
  <c r="E104" i="4" s="1"/>
  <c r="F104" i="4"/>
  <c r="G103" i="4"/>
  <c r="F103" i="4"/>
  <c r="E103" i="4" s="1"/>
  <c r="G102" i="4"/>
  <c r="F102" i="4"/>
  <c r="E102" i="4"/>
  <c r="G101" i="4"/>
  <c r="F101" i="4"/>
  <c r="E101" i="4" s="1"/>
  <c r="G100" i="4"/>
  <c r="E100" i="4" s="1"/>
  <c r="F100" i="4"/>
  <c r="G99" i="4"/>
  <c r="F99" i="4"/>
  <c r="E99" i="4" s="1"/>
  <c r="G98" i="4"/>
  <c r="F98" i="4"/>
  <c r="E98" i="4"/>
  <c r="G97" i="4"/>
  <c r="F97" i="4"/>
  <c r="E97" i="4" s="1"/>
  <c r="G96" i="4"/>
  <c r="E96" i="4" s="1"/>
  <c r="F96" i="4"/>
  <c r="G95" i="4"/>
  <c r="F95" i="4"/>
  <c r="E95" i="4" s="1"/>
  <c r="G94" i="4"/>
  <c r="E94" i="4" s="1"/>
  <c r="F94" i="4"/>
  <c r="G93" i="4"/>
  <c r="F93" i="4"/>
  <c r="E93" i="4" s="1"/>
  <c r="G92" i="4"/>
  <c r="E92" i="4" s="1"/>
  <c r="F92" i="4"/>
  <c r="G91" i="4"/>
  <c r="F91" i="4"/>
  <c r="E91" i="4" s="1"/>
  <c r="G90" i="4"/>
  <c r="F90" i="4"/>
  <c r="E90" i="4"/>
  <c r="G89" i="4"/>
  <c r="F89" i="4"/>
  <c r="E89" i="4" s="1"/>
  <c r="G88" i="4"/>
  <c r="F88" i="4"/>
  <c r="E88" i="4"/>
  <c r="G87" i="4"/>
  <c r="F87" i="4"/>
  <c r="E87" i="4"/>
  <c r="G86" i="4"/>
  <c r="F86" i="4"/>
  <c r="G85" i="4"/>
  <c r="F85" i="4"/>
  <c r="E85" i="4" s="1"/>
  <c r="G84" i="4"/>
  <c r="F84" i="4"/>
  <c r="E84" i="4"/>
  <c r="G83" i="4"/>
  <c r="F83" i="4"/>
  <c r="E83" i="4"/>
  <c r="G82" i="4"/>
  <c r="F82" i="4"/>
  <c r="G81" i="4"/>
  <c r="F81" i="4"/>
  <c r="E81" i="4" s="1"/>
  <c r="G80" i="4"/>
  <c r="F80" i="4"/>
  <c r="E80" i="4"/>
  <c r="G79" i="4"/>
  <c r="F79" i="4"/>
  <c r="E79" i="4"/>
  <c r="G78" i="4"/>
  <c r="F78" i="4"/>
  <c r="E78" i="4" s="1"/>
  <c r="G77" i="4"/>
  <c r="F77" i="4"/>
  <c r="E77" i="4" s="1"/>
  <c r="G76" i="4"/>
  <c r="F76" i="4"/>
  <c r="E76" i="4"/>
  <c r="G75" i="4"/>
  <c r="F75" i="4"/>
  <c r="E75" i="4"/>
  <c r="G74" i="4"/>
  <c r="F74" i="4"/>
  <c r="G73" i="4"/>
  <c r="F73" i="4"/>
  <c r="E73" i="4" s="1"/>
  <c r="G72" i="4"/>
  <c r="F72" i="4"/>
  <c r="E72" i="4"/>
  <c r="G71" i="4"/>
  <c r="F71" i="4"/>
  <c r="E71" i="4"/>
  <c r="G70" i="4"/>
  <c r="F70" i="4"/>
  <c r="E70" i="4" s="1"/>
  <c r="G69" i="4"/>
  <c r="F69" i="4"/>
  <c r="E69" i="4" s="1"/>
  <c r="G68" i="4"/>
  <c r="F68" i="4"/>
  <c r="E68" i="4"/>
  <c r="G67" i="4"/>
  <c r="F67" i="4"/>
  <c r="E67" i="4"/>
  <c r="G66" i="4"/>
  <c r="F66" i="4"/>
  <c r="G65" i="4"/>
  <c r="F65" i="4"/>
  <c r="E65" i="4" s="1"/>
  <c r="G64" i="4"/>
  <c r="F64" i="4"/>
  <c r="E64" i="4"/>
  <c r="G63" i="4"/>
  <c r="F63" i="4"/>
  <c r="E63" i="4"/>
  <c r="G62" i="4"/>
  <c r="F62" i="4"/>
  <c r="E62" i="4" s="1"/>
  <c r="G61" i="4"/>
  <c r="F61" i="4"/>
  <c r="E61" i="4" s="1"/>
  <c r="G60" i="4"/>
  <c r="F60" i="4"/>
  <c r="E60" i="4"/>
  <c r="G59" i="4"/>
  <c r="F59" i="4"/>
  <c r="E59" i="4"/>
  <c r="G58" i="4"/>
  <c r="F58" i="4"/>
  <c r="G57" i="4"/>
  <c r="F57" i="4"/>
  <c r="E57" i="4" s="1"/>
  <c r="G56" i="4"/>
  <c r="F56" i="4"/>
  <c r="E56" i="4"/>
  <c r="G55" i="4"/>
  <c r="F55" i="4"/>
  <c r="E55" i="4"/>
  <c r="G54" i="4"/>
  <c r="F54" i="4"/>
  <c r="E54" i="4" s="1"/>
  <c r="G53" i="4"/>
  <c r="F53" i="4"/>
  <c r="E53" i="4" s="1"/>
  <c r="G52" i="4"/>
  <c r="F52" i="4"/>
  <c r="E52" i="4"/>
  <c r="G51" i="4"/>
  <c r="F51" i="4"/>
  <c r="E51" i="4"/>
  <c r="G50" i="4"/>
  <c r="F50" i="4"/>
  <c r="G49" i="4"/>
  <c r="F49" i="4"/>
  <c r="E49" i="4" s="1"/>
  <c r="G48" i="4"/>
  <c r="F48" i="4"/>
  <c r="E48" i="4"/>
  <c r="G47" i="4"/>
  <c r="F47" i="4"/>
  <c r="E47" i="4"/>
  <c r="G46" i="4"/>
  <c r="F46" i="4"/>
  <c r="E46" i="4" s="1"/>
  <c r="G45" i="4"/>
  <c r="F45" i="4"/>
  <c r="E45" i="4" s="1"/>
  <c r="G44" i="4"/>
  <c r="F44" i="4"/>
  <c r="E44" i="4"/>
  <c r="G43" i="4"/>
  <c r="F43" i="4"/>
  <c r="E43" i="4"/>
  <c r="G42" i="4"/>
  <c r="F42" i="4"/>
  <c r="G41" i="4"/>
  <c r="F41" i="4"/>
  <c r="E41" i="4" s="1"/>
  <c r="G40" i="4"/>
  <c r="F40" i="4"/>
  <c r="E40" i="4"/>
  <c r="G39" i="4"/>
  <c r="F39" i="4"/>
  <c r="E39" i="4"/>
  <c r="G38" i="4"/>
  <c r="E38" i="4" s="1"/>
  <c r="F38" i="4"/>
  <c r="G37" i="4"/>
  <c r="F37" i="4"/>
  <c r="E37" i="4" s="1"/>
  <c r="G36" i="4"/>
  <c r="F36" i="4"/>
  <c r="E36" i="4"/>
  <c r="G35" i="4"/>
  <c r="F35" i="4"/>
  <c r="E35" i="4"/>
  <c r="G34" i="4"/>
  <c r="E34" i="4" s="1"/>
  <c r="F34" i="4"/>
  <c r="G33" i="4"/>
  <c r="F33" i="4"/>
  <c r="E33" i="4" s="1"/>
  <c r="G32" i="4"/>
  <c r="F32" i="4"/>
  <c r="E32" i="4"/>
  <c r="G31" i="4"/>
  <c r="F31" i="4"/>
  <c r="E31" i="4"/>
  <c r="G30" i="4"/>
  <c r="E30" i="4" s="1"/>
  <c r="F30" i="4"/>
  <c r="G29" i="4"/>
  <c r="F29" i="4"/>
  <c r="E29" i="4" s="1"/>
  <c r="G28" i="4"/>
  <c r="F28" i="4"/>
  <c r="E28" i="4"/>
  <c r="G27" i="4"/>
  <c r="F27" i="4"/>
  <c r="E27" i="4"/>
  <c r="G26" i="4"/>
  <c r="E26" i="4" s="1"/>
  <c r="F26" i="4"/>
  <c r="G25" i="4"/>
  <c r="F25" i="4"/>
  <c r="E25" i="4" s="1"/>
  <c r="G24" i="4"/>
  <c r="F24" i="4"/>
  <c r="E24" i="4"/>
  <c r="G23" i="4"/>
  <c r="F23" i="4"/>
  <c r="E23" i="4"/>
  <c r="G22" i="4"/>
  <c r="E22" i="4" s="1"/>
  <c r="F22" i="4"/>
  <c r="G21" i="4"/>
  <c r="F21" i="4"/>
  <c r="E21" i="4" s="1"/>
  <c r="G20" i="4"/>
  <c r="F20" i="4"/>
  <c r="E20" i="4"/>
  <c r="G19" i="4"/>
  <c r="F19" i="4"/>
  <c r="E19" i="4"/>
  <c r="G18" i="4"/>
  <c r="E18" i="4" s="1"/>
  <c r="F18" i="4"/>
  <c r="G17" i="4"/>
  <c r="F17" i="4"/>
  <c r="E17" i="4" s="1"/>
  <c r="G16" i="4"/>
  <c r="F16" i="4"/>
  <c r="E16" i="4"/>
  <c r="G15" i="4"/>
  <c r="F15" i="4"/>
  <c r="E15" i="4"/>
  <c r="G14" i="4"/>
  <c r="E14" i="4" s="1"/>
  <c r="F14" i="4"/>
  <c r="G13" i="4"/>
  <c r="F13" i="4"/>
  <c r="E13" i="4" s="1"/>
  <c r="G12" i="4"/>
  <c r="F12" i="4"/>
  <c r="E12" i="4"/>
  <c r="G11" i="4"/>
  <c r="F11" i="4"/>
  <c r="E11" i="4"/>
  <c r="G10" i="4"/>
  <c r="E10" i="4" s="1"/>
  <c r="F10" i="4"/>
  <c r="G9" i="4"/>
  <c r="F9" i="4"/>
  <c r="E9" i="4" s="1"/>
  <c r="G8" i="4"/>
  <c r="F8" i="4"/>
  <c r="E8" i="4"/>
  <c r="G7" i="4"/>
  <c r="F7" i="4"/>
  <c r="E7" i="4"/>
  <c r="G6" i="4"/>
  <c r="E6" i="4" s="1"/>
  <c r="F6" i="4"/>
  <c r="G5" i="4"/>
  <c r="F5" i="4"/>
  <c r="E5" i="4" s="1"/>
  <c r="G4" i="4"/>
  <c r="F4" i="4"/>
  <c r="E4" i="4"/>
  <c r="G3" i="4"/>
  <c r="F3" i="4"/>
  <c r="E3" i="4"/>
  <c r="G192" i="3"/>
  <c r="F192" i="3"/>
  <c r="G191" i="3"/>
  <c r="F191" i="3"/>
  <c r="E191" i="3" s="1"/>
  <c r="G190" i="3"/>
  <c r="F190" i="3"/>
  <c r="E190" i="3"/>
  <c r="G189" i="3"/>
  <c r="F189" i="3"/>
  <c r="E189" i="3"/>
  <c r="G188" i="3"/>
  <c r="F188" i="3"/>
  <c r="G187" i="3"/>
  <c r="F187" i="3"/>
  <c r="E187" i="3" s="1"/>
  <c r="G186" i="3"/>
  <c r="F186" i="3"/>
  <c r="E186" i="3"/>
  <c r="G185" i="3"/>
  <c r="F185" i="3"/>
  <c r="E185" i="3"/>
  <c r="G184" i="3"/>
  <c r="F184" i="3"/>
  <c r="G183" i="3"/>
  <c r="F183" i="3"/>
  <c r="E183" i="3" s="1"/>
  <c r="G182" i="3"/>
  <c r="F182" i="3"/>
  <c r="E182" i="3"/>
  <c r="G181" i="3"/>
  <c r="F181" i="3"/>
  <c r="E181" i="3"/>
  <c r="G180" i="3"/>
  <c r="F180" i="3"/>
  <c r="G179" i="3"/>
  <c r="F179" i="3"/>
  <c r="E179" i="3" s="1"/>
  <c r="G178" i="3"/>
  <c r="F178" i="3"/>
  <c r="E178" i="3"/>
  <c r="G177" i="3"/>
  <c r="F177" i="3"/>
  <c r="E177" i="3"/>
  <c r="G176" i="3"/>
  <c r="F176" i="3"/>
  <c r="G175" i="3"/>
  <c r="F175" i="3"/>
  <c r="E175" i="3" s="1"/>
  <c r="G174" i="3"/>
  <c r="F174" i="3"/>
  <c r="E174" i="3"/>
  <c r="G173" i="3"/>
  <c r="F173" i="3"/>
  <c r="E173" i="3"/>
  <c r="G172" i="3"/>
  <c r="F172" i="3"/>
  <c r="G171" i="3"/>
  <c r="F171" i="3"/>
  <c r="E171" i="3" s="1"/>
  <c r="G170" i="3"/>
  <c r="F170" i="3"/>
  <c r="E170" i="3"/>
  <c r="G169" i="3"/>
  <c r="F169" i="3"/>
  <c r="E169" i="3"/>
  <c r="G168" i="3"/>
  <c r="F168" i="3"/>
  <c r="G167" i="3"/>
  <c r="F167" i="3"/>
  <c r="E167" i="3" s="1"/>
  <c r="G166" i="3"/>
  <c r="F166" i="3"/>
  <c r="E166" i="3"/>
  <c r="G165" i="3"/>
  <c r="F165" i="3"/>
  <c r="E165" i="3"/>
  <c r="G164" i="3"/>
  <c r="F164" i="3"/>
  <c r="G163" i="3"/>
  <c r="F163" i="3"/>
  <c r="E163" i="3" s="1"/>
  <c r="G162" i="3"/>
  <c r="F162" i="3"/>
  <c r="E162" i="3"/>
  <c r="G161" i="3"/>
  <c r="F161" i="3"/>
  <c r="E161" i="3"/>
  <c r="G160" i="3"/>
  <c r="E160" i="3" s="1"/>
  <c r="F160" i="3"/>
  <c r="G159" i="3"/>
  <c r="F159" i="3"/>
  <c r="E159" i="3" s="1"/>
  <c r="G158" i="3"/>
  <c r="F158" i="3"/>
  <c r="E158" i="3"/>
  <c r="G157" i="3"/>
  <c r="F157" i="3"/>
  <c r="E157" i="3"/>
  <c r="G156" i="3"/>
  <c r="F156" i="3"/>
  <c r="G155" i="3"/>
  <c r="F155" i="3"/>
  <c r="E155" i="3" s="1"/>
  <c r="G154" i="3"/>
  <c r="F154" i="3"/>
  <c r="E154" i="3"/>
  <c r="G153" i="3"/>
  <c r="F153" i="3"/>
  <c r="E153" i="3"/>
  <c r="G152" i="3"/>
  <c r="F152" i="3"/>
  <c r="G151" i="3"/>
  <c r="F151" i="3"/>
  <c r="E151" i="3" s="1"/>
  <c r="G150" i="3"/>
  <c r="F150" i="3"/>
  <c r="E150" i="3"/>
  <c r="G149" i="3"/>
  <c r="F149" i="3"/>
  <c r="E149" i="3"/>
  <c r="G148" i="3"/>
  <c r="E148" i="3" s="1"/>
  <c r="F148" i="3"/>
  <c r="G147" i="3"/>
  <c r="F147" i="3"/>
  <c r="E147" i="3" s="1"/>
  <c r="G146" i="3"/>
  <c r="F146" i="3"/>
  <c r="E146" i="3"/>
  <c r="G145" i="3"/>
  <c r="F145" i="3"/>
  <c r="E145" i="3"/>
  <c r="G144" i="3"/>
  <c r="F144" i="3"/>
  <c r="G143" i="3"/>
  <c r="F143" i="3"/>
  <c r="E143" i="3" s="1"/>
  <c r="G142" i="3"/>
  <c r="F142" i="3"/>
  <c r="E142" i="3"/>
  <c r="G141" i="3"/>
  <c r="F141" i="3"/>
  <c r="E141" i="3"/>
  <c r="G140" i="3"/>
  <c r="F140" i="3"/>
  <c r="G139" i="3"/>
  <c r="F139" i="3"/>
  <c r="E139" i="3" s="1"/>
  <c r="G138" i="3"/>
  <c r="F138" i="3"/>
  <c r="E138" i="3"/>
  <c r="G137" i="3"/>
  <c r="F137" i="3"/>
  <c r="E137" i="3"/>
  <c r="G136" i="3"/>
  <c r="F136" i="3"/>
  <c r="G135" i="3"/>
  <c r="F135" i="3"/>
  <c r="E135" i="3" s="1"/>
  <c r="G134" i="3"/>
  <c r="F134" i="3"/>
  <c r="E134" i="3"/>
  <c r="G133" i="3"/>
  <c r="F133" i="3"/>
  <c r="E133" i="3"/>
  <c r="G132" i="3"/>
  <c r="F132" i="3"/>
  <c r="G131" i="3"/>
  <c r="F131" i="3"/>
  <c r="E131" i="3" s="1"/>
  <c r="G130" i="3"/>
  <c r="F130" i="3"/>
  <c r="E130" i="3"/>
  <c r="G129" i="3"/>
  <c r="F129" i="3"/>
  <c r="E129" i="3"/>
  <c r="G128" i="3"/>
  <c r="F128" i="3"/>
  <c r="G127" i="3"/>
  <c r="F127" i="3"/>
  <c r="E127" i="3" s="1"/>
  <c r="G126" i="3"/>
  <c r="F126" i="3"/>
  <c r="E126" i="3"/>
  <c r="G125" i="3"/>
  <c r="F125" i="3"/>
  <c r="E125" i="3"/>
  <c r="G124" i="3"/>
  <c r="F124" i="3"/>
  <c r="G123" i="3"/>
  <c r="F123" i="3"/>
  <c r="E123" i="3" s="1"/>
  <c r="G122" i="3"/>
  <c r="F122" i="3"/>
  <c r="E122" i="3"/>
  <c r="G121" i="3"/>
  <c r="F121" i="3"/>
  <c r="E121" i="3"/>
  <c r="G120" i="3"/>
  <c r="F120" i="3"/>
  <c r="G119" i="3"/>
  <c r="F119" i="3"/>
  <c r="E119" i="3" s="1"/>
  <c r="G118" i="3"/>
  <c r="F118" i="3"/>
  <c r="E118" i="3"/>
  <c r="G117" i="3"/>
  <c r="F117" i="3"/>
  <c r="E117" i="3"/>
  <c r="G116" i="3"/>
  <c r="F116" i="3"/>
  <c r="G115" i="3"/>
  <c r="F115" i="3"/>
  <c r="E115" i="3" s="1"/>
  <c r="G114" i="3"/>
  <c r="F114" i="3"/>
  <c r="E114" i="3"/>
  <c r="G113" i="3"/>
  <c r="F113" i="3"/>
  <c r="E113" i="3"/>
  <c r="G112" i="3"/>
  <c r="F112" i="3"/>
  <c r="G111" i="3"/>
  <c r="F111" i="3"/>
  <c r="E111" i="3" s="1"/>
  <c r="G110" i="3"/>
  <c r="F110" i="3"/>
  <c r="E110" i="3"/>
  <c r="G109" i="3"/>
  <c r="F109" i="3"/>
  <c r="E109" i="3"/>
  <c r="G108" i="3"/>
  <c r="F108" i="3"/>
  <c r="E108" i="3" s="1"/>
  <c r="G107" i="3"/>
  <c r="F107" i="3"/>
  <c r="E107" i="3" s="1"/>
  <c r="G106" i="3"/>
  <c r="F106" i="3"/>
  <c r="E106" i="3"/>
  <c r="G105" i="3"/>
  <c r="F105" i="3"/>
  <c r="E105" i="3"/>
  <c r="G104" i="3"/>
  <c r="F104" i="3"/>
  <c r="G103" i="3"/>
  <c r="F103" i="3"/>
  <c r="E103" i="3" s="1"/>
  <c r="G102" i="3"/>
  <c r="F102" i="3"/>
  <c r="E102" i="3"/>
  <c r="G101" i="3"/>
  <c r="F101" i="3"/>
  <c r="E101" i="3"/>
  <c r="G100" i="3"/>
  <c r="E100" i="3" s="1"/>
  <c r="F100" i="3"/>
  <c r="G99" i="3"/>
  <c r="F99" i="3"/>
  <c r="E99" i="3" s="1"/>
  <c r="G98" i="3"/>
  <c r="F98" i="3"/>
  <c r="E98" i="3"/>
  <c r="G97" i="3"/>
  <c r="F97" i="3"/>
  <c r="E97" i="3"/>
  <c r="G96" i="3"/>
  <c r="F96" i="3"/>
  <c r="G95" i="3"/>
  <c r="F95" i="3"/>
  <c r="E95" i="3" s="1"/>
  <c r="G94" i="3"/>
  <c r="F94" i="3"/>
  <c r="E94" i="3"/>
  <c r="G93" i="3"/>
  <c r="F93" i="3"/>
  <c r="E93" i="3"/>
  <c r="G92" i="3"/>
  <c r="F92" i="3"/>
  <c r="G91" i="3"/>
  <c r="F91" i="3"/>
  <c r="E91" i="3" s="1"/>
  <c r="G90" i="3"/>
  <c r="F90" i="3"/>
  <c r="E90" i="3"/>
  <c r="G89" i="3"/>
  <c r="F89" i="3"/>
  <c r="E89" i="3"/>
  <c r="G88" i="3"/>
  <c r="F88" i="3"/>
  <c r="G87" i="3"/>
  <c r="F87" i="3"/>
  <c r="E87" i="3" s="1"/>
  <c r="G86" i="3"/>
  <c r="F86" i="3"/>
  <c r="E86" i="3"/>
  <c r="G85" i="3"/>
  <c r="F85" i="3"/>
  <c r="E85" i="3"/>
  <c r="G84" i="3"/>
  <c r="F84" i="3"/>
  <c r="G83" i="3"/>
  <c r="F83" i="3"/>
  <c r="E83" i="3" s="1"/>
  <c r="G82" i="3"/>
  <c r="F82" i="3"/>
  <c r="E82" i="3"/>
  <c r="G81" i="3"/>
  <c r="F81" i="3"/>
  <c r="E81" i="3"/>
  <c r="G80" i="3"/>
  <c r="F80" i="3"/>
  <c r="G79" i="3"/>
  <c r="F79" i="3"/>
  <c r="E79" i="3" s="1"/>
  <c r="G78" i="3"/>
  <c r="F78" i="3"/>
  <c r="E78" i="3"/>
  <c r="G77" i="3"/>
  <c r="F77" i="3"/>
  <c r="E77" i="3"/>
  <c r="G76" i="3"/>
  <c r="F76" i="3"/>
  <c r="G75" i="3"/>
  <c r="F75" i="3"/>
  <c r="E75" i="3" s="1"/>
  <c r="G74" i="3"/>
  <c r="F74" i="3"/>
  <c r="E74" i="3"/>
  <c r="G73" i="3"/>
  <c r="F73" i="3"/>
  <c r="E73" i="3"/>
  <c r="G72" i="3"/>
  <c r="F72" i="3"/>
  <c r="G71" i="3"/>
  <c r="F71" i="3"/>
  <c r="E71" i="3" s="1"/>
  <c r="G70" i="3"/>
  <c r="F70" i="3"/>
  <c r="E70" i="3"/>
  <c r="G69" i="3"/>
  <c r="F69" i="3"/>
  <c r="E69" i="3"/>
  <c r="G68" i="3"/>
  <c r="F68" i="3"/>
  <c r="G67" i="3"/>
  <c r="F67" i="3"/>
  <c r="E67" i="3" s="1"/>
  <c r="G66" i="3"/>
  <c r="F66" i="3"/>
  <c r="E66" i="3"/>
  <c r="G65" i="3"/>
  <c r="F65" i="3"/>
  <c r="E65" i="3"/>
  <c r="G64" i="3"/>
  <c r="F64" i="3"/>
  <c r="G63" i="3"/>
  <c r="F63" i="3"/>
  <c r="E63" i="3" s="1"/>
  <c r="G62" i="3"/>
  <c r="F62" i="3"/>
  <c r="E62" i="3"/>
  <c r="G61" i="3"/>
  <c r="F61" i="3"/>
  <c r="E61" i="3"/>
  <c r="G60" i="3"/>
  <c r="F60" i="3"/>
  <c r="E60" i="3" s="1"/>
  <c r="G59" i="3"/>
  <c r="F59" i="3"/>
  <c r="E59" i="3" s="1"/>
  <c r="G58" i="3"/>
  <c r="F58" i="3"/>
  <c r="E58" i="3"/>
  <c r="G57" i="3"/>
  <c r="F57" i="3"/>
  <c r="E57" i="3"/>
  <c r="G56" i="3"/>
  <c r="F56" i="3"/>
  <c r="G55" i="3"/>
  <c r="F55" i="3"/>
  <c r="E55" i="3" s="1"/>
  <c r="G54" i="3"/>
  <c r="F54" i="3"/>
  <c r="E54" i="3"/>
  <c r="G53" i="3"/>
  <c r="F53" i="3"/>
  <c r="E53" i="3"/>
  <c r="G52" i="3"/>
  <c r="F52" i="3"/>
  <c r="E52" i="3" s="1"/>
  <c r="G51" i="3"/>
  <c r="F51" i="3"/>
  <c r="E51" i="3" s="1"/>
  <c r="G50" i="3"/>
  <c r="F50" i="3"/>
  <c r="E50" i="3"/>
  <c r="G49" i="3"/>
  <c r="F49" i="3"/>
  <c r="E49" i="3"/>
  <c r="G48" i="3"/>
  <c r="F48" i="3"/>
  <c r="G47" i="3"/>
  <c r="F47" i="3"/>
  <c r="E47" i="3" s="1"/>
  <c r="G46" i="3"/>
  <c r="F46" i="3"/>
  <c r="E46" i="3"/>
  <c r="G45" i="3"/>
  <c r="F45" i="3"/>
  <c r="E45" i="3"/>
  <c r="G44" i="3"/>
  <c r="F44" i="3"/>
  <c r="E44" i="3" s="1"/>
  <c r="G43" i="3"/>
  <c r="F43" i="3"/>
  <c r="E43" i="3" s="1"/>
  <c r="G42" i="3"/>
  <c r="F42" i="3"/>
  <c r="E42" i="3"/>
  <c r="G41" i="3"/>
  <c r="F41" i="3"/>
  <c r="E41" i="3"/>
  <c r="G40" i="3"/>
  <c r="F40" i="3"/>
  <c r="G39" i="3"/>
  <c r="F39" i="3"/>
  <c r="E39" i="3" s="1"/>
  <c r="G38" i="3"/>
  <c r="F38" i="3"/>
  <c r="E38" i="3"/>
  <c r="G37" i="3"/>
  <c r="F37" i="3"/>
  <c r="E37" i="3"/>
  <c r="G36" i="3"/>
  <c r="F36" i="3"/>
  <c r="E36" i="3" s="1"/>
  <c r="G35" i="3"/>
  <c r="F35" i="3"/>
  <c r="E35" i="3" s="1"/>
  <c r="G34" i="3"/>
  <c r="F34" i="3"/>
  <c r="E34" i="3"/>
  <c r="G33" i="3"/>
  <c r="F33" i="3"/>
  <c r="E33" i="3"/>
  <c r="G32" i="3"/>
  <c r="F32" i="3"/>
  <c r="G31" i="3"/>
  <c r="F31" i="3"/>
  <c r="E31" i="3" s="1"/>
  <c r="G30" i="3"/>
  <c r="F30" i="3"/>
  <c r="E30" i="3"/>
  <c r="G29" i="3"/>
  <c r="F29" i="3"/>
  <c r="E29" i="3"/>
  <c r="G28" i="3"/>
  <c r="F28" i="3"/>
  <c r="E28" i="3" s="1"/>
  <c r="G27" i="3"/>
  <c r="F27" i="3"/>
  <c r="E27" i="3" s="1"/>
  <c r="G26" i="3"/>
  <c r="F26" i="3"/>
  <c r="E26" i="3"/>
  <c r="G25" i="3"/>
  <c r="F25" i="3"/>
  <c r="E25" i="3"/>
  <c r="G24" i="3"/>
  <c r="F24" i="3"/>
  <c r="G23" i="3"/>
  <c r="F23" i="3"/>
  <c r="E23" i="3" s="1"/>
  <c r="G22" i="3"/>
  <c r="F22" i="3"/>
  <c r="E22" i="3"/>
  <c r="G21" i="3"/>
  <c r="F21" i="3"/>
  <c r="E21" i="3"/>
  <c r="G20" i="3"/>
  <c r="F20" i="3"/>
  <c r="E20" i="3" s="1"/>
  <c r="G19" i="3"/>
  <c r="F19" i="3"/>
  <c r="E19" i="3" s="1"/>
  <c r="G18" i="3"/>
  <c r="F18" i="3"/>
  <c r="E18" i="3"/>
  <c r="G17" i="3"/>
  <c r="F17" i="3"/>
  <c r="E17" i="3"/>
  <c r="G16" i="3"/>
  <c r="F16" i="3"/>
  <c r="G15" i="3"/>
  <c r="F15" i="3"/>
  <c r="E15" i="3" s="1"/>
  <c r="G14" i="3"/>
  <c r="F14" i="3"/>
  <c r="E14" i="3"/>
  <c r="G13" i="3"/>
  <c r="F13" i="3"/>
  <c r="E13" i="3"/>
  <c r="G12" i="3"/>
  <c r="F12" i="3"/>
  <c r="E12" i="3" s="1"/>
  <c r="G11" i="3"/>
  <c r="F11" i="3"/>
  <c r="E11" i="3" s="1"/>
  <c r="G10" i="3"/>
  <c r="F10" i="3"/>
  <c r="E10" i="3"/>
  <c r="G9" i="3"/>
  <c r="F9" i="3"/>
  <c r="E9" i="3"/>
  <c r="G8" i="3"/>
  <c r="F8" i="3"/>
  <c r="G7" i="3"/>
  <c r="F7" i="3"/>
  <c r="E7" i="3" s="1"/>
  <c r="G6" i="3"/>
  <c r="F6" i="3"/>
  <c r="E6" i="3"/>
  <c r="G5" i="3"/>
  <c r="F5" i="3"/>
  <c r="E5" i="3"/>
  <c r="G4" i="3"/>
  <c r="F4" i="3"/>
  <c r="E4" i="3" s="1"/>
  <c r="G3" i="3"/>
  <c r="F3" i="3"/>
  <c r="E3" i="3" s="1"/>
  <c r="G192" i="2"/>
  <c r="F192" i="2"/>
  <c r="E192" i="2"/>
  <c r="G191" i="2"/>
  <c r="F191" i="2"/>
  <c r="E191" i="2"/>
  <c r="G190" i="2"/>
  <c r="E190" i="2" s="1"/>
  <c r="F190" i="2"/>
  <c r="G189" i="2"/>
  <c r="F189" i="2"/>
  <c r="E189" i="2" s="1"/>
  <c r="G188" i="2"/>
  <c r="F188" i="2"/>
  <c r="E188" i="2" s="1"/>
  <c r="G187" i="2"/>
  <c r="F187" i="2"/>
  <c r="E187" i="2"/>
  <c r="G186" i="2"/>
  <c r="E186" i="2" s="1"/>
  <c r="F186" i="2"/>
  <c r="G185" i="2"/>
  <c r="F185" i="2"/>
  <c r="G184" i="2"/>
  <c r="F184" i="2"/>
  <c r="E184" i="2"/>
  <c r="G183" i="2"/>
  <c r="F183" i="2"/>
  <c r="E183" i="2"/>
  <c r="G182" i="2"/>
  <c r="E182" i="2" s="1"/>
  <c r="F182" i="2"/>
  <c r="G181" i="2"/>
  <c r="F181" i="2"/>
  <c r="E181" i="2" s="1"/>
  <c r="G180" i="2"/>
  <c r="F180" i="2"/>
  <c r="E180" i="2" s="1"/>
  <c r="G179" i="2"/>
  <c r="F179" i="2"/>
  <c r="E179" i="2"/>
  <c r="G178" i="2"/>
  <c r="E178" i="2" s="1"/>
  <c r="F178" i="2"/>
  <c r="G177" i="2"/>
  <c r="F177" i="2"/>
  <c r="G176" i="2"/>
  <c r="F176" i="2"/>
  <c r="E176" i="2"/>
  <c r="G175" i="2"/>
  <c r="F175" i="2"/>
  <c r="E175" i="2"/>
  <c r="G174" i="2"/>
  <c r="E174" i="2" s="1"/>
  <c r="F174" i="2"/>
  <c r="G173" i="2"/>
  <c r="F173" i="2"/>
  <c r="E173" i="2" s="1"/>
  <c r="G172" i="2"/>
  <c r="F172" i="2"/>
  <c r="E172" i="2" s="1"/>
  <c r="G171" i="2"/>
  <c r="F171" i="2"/>
  <c r="E171" i="2"/>
  <c r="G170" i="2"/>
  <c r="E170" i="2" s="1"/>
  <c r="F170" i="2"/>
  <c r="G169" i="2"/>
  <c r="F169" i="2"/>
  <c r="G168" i="2"/>
  <c r="F168" i="2"/>
  <c r="E168" i="2"/>
  <c r="G167" i="2"/>
  <c r="F167" i="2"/>
  <c r="E167" i="2"/>
  <c r="G166" i="2"/>
  <c r="F166" i="2"/>
  <c r="G165" i="2"/>
  <c r="F165" i="2"/>
  <c r="E165" i="2" s="1"/>
  <c r="G164" i="2"/>
  <c r="F164" i="2"/>
  <c r="E164" i="2" s="1"/>
  <c r="G163" i="2"/>
  <c r="F163" i="2"/>
  <c r="E163" i="2"/>
  <c r="G162" i="2"/>
  <c r="F162" i="2"/>
  <c r="E162" i="2" s="1"/>
  <c r="G161" i="2"/>
  <c r="F161" i="2"/>
  <c r="G160" i="2"/>
  <c r="F160" i="2"/>
  <c r="E160" i="2"/>
  <c r="G159" i="2"/>
  <c r="F159" i="2"/>
  <c r="E159" i="2"/>
  <c r="G158" i="2"/>
  <c r="F158" i="2"/>
  <c r="G157" i="2"/>
  <c r="F157" i="2"/>
  <c r="E157" i="2" s="1"/>
  <c r="G156" i="2"/>
  <c r="F156" i="2"/>
  <c r="E156" i="2" s="1"/>
  <c r="G155" i="2"/>
  <c r="F155" i="2"/>
  <c r="E155" i="2"/>
  <c r="G154" i="2"/>
  <c r="F154" i="2"/>
  <c r="E154" i="2" s="1"/>
  <c r="G153" i="2"/>
  <c r="F153" i="2"/>
  <c r="G152" i="2"/>
  <c r="F152" i="2"/>
  <c r="E152" i="2"/>
  <c r="G151" i="2"/>
  <c r="F151" i="2"/>
  <c r="E151" i="2"/>
  <c r="G150" i="2"/>
  <c r="F150" i="2"/>
  <c r="G149" i="2"/>
  <c r="F149" i="2"/>
  <c r="E149" i="2" s="1"/>
  <c r="G148" i="2"/>
  <c r="F148" i="2"/>
  <c r="E148" i="2" s="1"/>
  <c r="G147" i="2"/>
  <c r="F147" i="2"/>
  <c r="E147" i="2"/>
  <c r="G146" i="2"/>
  <c r="F146" i="2"/>
  <c r="E146" i="2" s="1"/>
  <c r="G145" i="2"/>
  <c r="F145" i="2"/>
  <c r="G144" i="2"/>
  <c r="F144" i="2"/>
  <c r="E144" i="2"/>
  <c r="G143" i="2"/>
  <c r="F143" i="2"/>
  <c r="E143" i="2"/>
  <c r="G142" i="2"/>
  <c r="F142" i="2"/>
  <c r="G141" i="2"/>
  <c r="F141" i="2"/>
  <c r="E141" i="2" s="1"/>
  <c r="G140" i="2"/>
  <c r="F140" i="2"/>
  <c r="E140" i="2" s="1"/>
  <c r="G139" i="2"/>
  <c r="F139" i="2"/>
  <c r="E139" i="2"/>
  <c r="G138" i="2"/>
  <c r="F138" i="2"/>
  <c r="E138" i="2" s="1"/>
  <c r="G137" i="2"/>
  <c r="F137" i="2"/>
  <c r="G136" i="2"/>
  <c r="F136" i="2"/>
  <c r="E136" i="2"/>
  <c r="G135" i="2"/>
  <c r="F135" i="2"/>
  <c r="E135" i="2"/>
  <c r="G134" i="2"/>
  <c r="F134" i="2"/>
  <c r="G133" i="2"/>
  <c r="F133" i="2"/>
  <c r="E133" i="2" s="1"/>
  <c r="G132" i="2"/>
  <c r="F132" i="2"/>
  <c r="E132" i="2" s="1"/>
  <c r="G131" i="2"/>
  <c r="F131" i="2"/>
  <c r="E131" i="2" s="1"/>
  <c r="G130" i="2"/>
  <c r="F130" i="2"/>
  <c r="E130" i="2"/>
  <c r="G129" i="2"/>
  <c r="F129" i="2"/>
  <c r="E129" i="2"/>
  <c r="G128" i="2"/>
  <c r="F128" i="2"/>
  <c r="E128" i="2" s="1"/>
  <c r="G127" i="2"/>
  <c r="F127" i="2"/>
  <c r="E127" i="2" s="1"/>
  <c r="G126" i="2"/>
  <c r="F126" i="2"/>
  <c r="E126" i="2"/>
  <c r="G125" i="2"/>
  <c r="F125" i="2"/>
  <c r="E125" i="2"/>
  <c r="G124" i="2"/>
  <c r="F124" i="2"/>
  <c r="E124" i="2" s="1"/>
  <c r="G123" i="2"/>
  <c r="F123" i="2"/>
  <c r="E123" i="2" s="1"/>
  <c r="G122" i="2"/>
  <c r="F122" i="2"/>
  <c r="E122" i="2"/>
  <c r="G121" i="2"/>
  <c r="F121" i="2"/>
  <c r="E121" i="2"/>
  <c r="G120" i="2"/>
  <c r="F120" i="2"/>
  <c r="E120" i="2" s="1"/>
  <c r="G119" i="2"/>
  <c r="F119" i="2"/>
  <c r="E119" i="2" s="1"/>
  <c r="G118" i="2"/>
  <c r="F118" i="2"/>
  <c r="E118" i="2"/>
  <c r="G117" i="2"/>
  <c r="F117" i="2"/>
  <c r="E117" i="2"/>
  <c r="G116" i="2"/>
  <c r="F116" i="2"/>
  <c r="E116" i="2" s="1"/>
  <c r="G115" i="2"/>
  <c r="F115" i="2"/>
  <c r="E115" i="2" s="1"/>
  <c r="G114" i="2"/>
  <c r="F114" i="2"/>
  <c r="E114" i="2"/>
  <c r="G113" i="2"/>
  <c r="F113" i="2"/>
  <c r="E113" i="2"/>
  <c r="G112" i="2"/>
  <c r="F112" i="2"/>
  <c r="E112" i="2" s="1"/>
  <c r="G111" i="2"/>
  <c r="F111" i="2"/>
  <c r="E111" i="2" s="1"/>
  <c r="G110" i="2"/>
  <c r="F110" i="2"/>
  <c r="E110" i="2"/>
  <c r="G109" i="2"/>
  <c r="F109" i="2"/>
  <c r="E109" i="2"/>
  <c r="G108" i="2"/>
  <c r="F108" i="2"/>
  <c r="E108" i="2" s="1"/>
  <c r="G107" i="2"/>
  <c r="F107" i="2"/>
  <c r="E107" i="2" s="1"/>
  <c r="G106" i="2"/>
  <c r="F106" i="2"/>
  <c r="E106" i="2"/>
  <c r="G105" i="2"/>
  <c r="F105" i="2"/>
  <c r="E105" i="2"/>
  <c r="G104" i="2"/>
  <c r="F104" i="2"/>
  <c r="E104" i="2" s="1"/>
  <c r="G103" i="2"/>
  <c r="F103" i="2"/>
  <c r="E103" i="2" s="1"/>
  <c r="G102" i="2"/>
  <c r="F102" i="2"/>
  <c r="E102" i="2"/>
  <c r="G101" i="2"/>
  <c r="F101" i="2"/>
  <c r="E101" i="2"/>
  <c r="G100" i="2"/>
  <c r="F100" i="2"/>
  <c r="E100" i="2" s="1"/>
  <c r="G99" i="2"/>
  <c r="F99" i="2"/>
  <c r="E99" i="2" s="1"/>
  <c r="G98" i="2"/>
  <c r="F98" i="2"/>
  <c r="E98" i="2"/>
  <c r="G97" i="2"/>
  <c r="F97" i="2"/>
  <c r="E97" i="2"/>
  <c r="G96" i="2"/>
  <c r="F96" i="2"/>
  <c r="E96" i="2" s="1"/>
  <c r="G95" i="2"/>
  <c r="F95" i="2"/>
  <c r="E95" i="2" s="1"/>
  <c r="G94" i="2"/>
  <c r="F94" i="2"/>
  <c r="E94" i="2"/>
  <c r="G93" i="2"/>
  <c r="F93" i="2"/>
  <c r="E93" i="2"/>
  <c r="G92" i="2"/>
  <c r="F92" i="2"/>
  <c r="E92" i="2" s="1"/>
  <c r="G91" i="2"/>
  <c r="F91" i="2"/>
  <c r="E91" i="2" s="1"/>
  <c r="G90" i="2"/>
  <c r="F90" i="2"/>
  <c r="E90" i="2"/>
  <c r="G89" i="2"/>
  <c r="F89" i="2"/>
  <c r="E89" i="2"/>
  <c r="G88" i="2"/>
  <c r="F88" i="2"/>
  <c r="E88" i="2" s="1"/>
  <c r="G87" i="2"/>
  <c r="F87" i="2"/>
  <c r="E87" i="2" s="1"/>
  <c r="G86" i="2"/>
  <c r="F86" i="2"/>
  <c r="E86" i="2"/>
  <c r="G85" i="2"/>
  <c r="F85" i="2"/>
  <c r="E85" i="2"/>
  <c r="G84" i="2"/>
  <c r="F84" i="2"/>
  <c r="E84" i="2" s="1"/>
  <c r="G83" i="2"/>
  <c r="F83" i="2"/>
  <c r="E83" i="2" s="1"/>
  <c r="G82" i="2"/>
  <c r="F82" i="2"/>
  <c r="E82" i="2"/>
  <c r="G81" i="2"/>
  <c r="F81" i="2"/>
  <c r="E81" i="2"/>
  <c r="G80" i="2"/>
  <c r="F80" i="2"/>
  <c r="E80" i="2" s="1"/>
  <c r="G79" i="2"/>
  <c r="F79" i="2"/>
  <c r="E79" i="2" s="1"/>
  <c r="G78" i="2"/>
  <c r="F78" i="2"/>
  <c r="E78" i="2"/>
  <c r="G77" i="2"/>
  <c r="F77" i="2"/>
  <c r="E77" i="2"/>
  <c r="G76" i="2"/>
  <c r="F76" i="2"/>
  <c r="E76" i="2" s="1"/>
  <c r="G75" i="2"/>
  <c r="F75" i="2"/>
  <c r="E75" i="2" s="1"/>
  <c r="G74" i="2"/>
  <c r="F74" i="2"/>
  <c r="E74" i="2"/>
  <c r="G73" i="2"/>
  <c r="F73" i="2"/>
  <c r="E73" i="2"/>
  <c r="G72" i="2"/>
  <c r="F72" i="2"/>
  <c r="E72" i="2" s="1"/>
  <c r="G71" i="2"/>
  <c r="F71" i="2"/>
  <c r="E71" i="2" s="1"/>
  <c r="G70" i="2"/>
  <c r="F70" i="2"/>
  <c r="E70" i="2"/>
  <c r="G69" i="2"/>
  <c r="F69" i="2"/>
  <c r="E69" i="2"/>
  <c r="G68" i="2"/>
  <c r="F68" i="2"/>
  <c r="E68" i="2" s="1"/>
  <c r="G67" i="2"/>
  <c r="F67" i="2"/>
  <c r="E67" i="2" s="1"/>
  <c r="G66" i="2"/>
  <c r="F66" i="2"/>
  <c r="E66" i="2"/>
  <c r="G65" i="2"/>
  <c r="F65" i="2"/>
  <c r="E65" i="2"/>
  <c r="G64" i="2"/>
  <c r="F64" i="2"/>
  <c r="E64" i="2" s="1"/>
  <c r="G63" i="2"/>
  <c r="F63" i="2"/>
  <c r="E63" i="2" s="1"/>
  <c r="G62" i="2"/>
  <c r="F62" i="2"/>
  <c r="E62" i="2"/>
  <c r="G61" i="2"/>
  <c r="F61" i="2"/>
  <c r="E61" i="2"/>
  <c r="G60" i="2"/>
  <c r="F60" i="2"/>
  <c r="E60" i="2" s="1"/>
  <c r="G59" i="2"/>
  <c r="F59" i="2"/>
  <c r="E59" i="2" s="1"/>
  <c r="G58" i="2"/>
  <c r="F58" i="2"/>
  <c r="E58" i="2"/>
  <c r="G57" i="2"/>
  <c r="F57" i="2"/>
  <c r="E57" i="2"/>
  <c r="G56" i="2"/>
  <c r="F56" i="2"/>
  <c r="E56" i="2" s="1"/>
  <c r="G55" i="2"/>
  <c r="F55" i="2"/>
  <c r="E55" i="2" s="1"/>
  <c r="G54" i="2"/>
  <c r="F54" i="2"/>
  <c r="E54" i="2"/>
  <c r="G53" i="2"/>
  <c r="F53" i="2"/>
  <c r="E53" i="2"/>
  <c r="G52" i="2"/>
  <c r="F52" i="2"/>
  <c r="E52" i="2" s="1"/>
  <c r="G51" i="2"/>
  <c r="F51" i="2"/>
  <c r="E51" i="2" s="1"/>
  <c r="G50" i="2"/>
  <c r="F50" i="2"/>
  <c r="E50" i="2"/>
  <c r="G49" i="2"/>
  <c r="F49" i="2"/>
  <c r="E49" i="2"/>
  <c r="G48" i="2"/>
  <c r="F48" i="2"/>
  <c r="E48" i="2" s="1"/>
  <c r="G47" i="2"/>
  <c r="F47" i="2"/>
  <c r="E47" i="2" s="1"/>
  <c r="G46" i="2"/>
  <c r="F46" i="2"/>
  <c r="E46" i="2"/>
  <c r="G45" i="2"/>
  <c r="F45" i="2"/>
  <c r="E45" i="2"/>
  <c r="G44" i="2"/>
  <c r="F44" i="2"/>
  <c r="E44" i="2" s="1"/>
  <c r="G43" i="2"/>
  <c r="F43" i="2"/>
  <c r="E43" i="2" s="1"/>
  <c r="G42" i="2"/>
  <c r="F42" i="2"/>
  <c r="E42" i="2"/>
  <c r="G41" i="2"/>
  <c r="F41" i="2"/>
  <c r="E41" i="2"/>
  <c r="G40" i="2"/>
  <c r="F40" i="2"/>
  <c r="E40" i="2" s="1"/>
  <c r="G39" i="2"/>
  <c r="F39" i="2"/>
  <c r="E39" i="2" s="1"/>
  <c r="G38" i="2"/>
  <c r="F38" i="2"/>
  <c r="E38" i="2"/>
  <c r="G37" i="2"/>
  <c r="F37" i="2"/>
  <c r="E37" i="2"/>
  <c r="G36" i="2"/>
  <c r="F36" i="2"/>
  <c r="E36" i="2" s="1"/>
  <c r="G35" i="2"/>
  <c r="F35" i="2"/>
  <c r="E35" i="2" s="1"/>
  <c r="G34" i="2"/>
  <c r="F34" i="2"/>
  <c r="E34" i="2"/>
  <c r="G33" i="2"/>
  <c r="F33" i="2"/>
  <c r="E33" i="2"/>
  <c r="G32" i="2"/>
  <c r="F32" i="2"/>
  <c r="E32" i="2" s="1"/>
  <c r="G31" i="2"/>
  <c r="F31" i="2"/>
  <c r="E31" i="2" s="1"/>
  <c r="G30" i="2"/>
  <c r="F30" i="2"/>
  <c r="E30" i="2"/>
  <c r="G29" i="2"/>
  <c r="F29" i="2"/>
  <c r="E29" i="2"/>
  <c r="G28" i="2"/>
  <c r="F28" i="2"/>
  <c r="E28" i="2" s="1"/>
  <c r="G27" i="2"/>
  <c r="F27" i="2"/>
  <c r="E27" i="2" s="1"/>
  <c r="G26" i="2"/>
  <c r="F26" i="2"/>
  <c r="E26" i="2"/>
  <c r="G25" i="2"/>
  <c r="F25" i="2"/>
  <c r="E25" i="2"/>
  <c r="G24" i="2"/>
  <c r="F24" i="2"/>
  <c r="E24" i="2" s="1"/>
  <c r="G23" i="2"/>
  <c r="F23" i="2"/>
  <c r="E23" i="2" s="1"/>
  <c r="G22" i="2"/>
  <c r="F22" i="2"/>
  <c r="E22" i="2"/>
  <c r="G21" i="2"/>
  <c r="E21" i="2" s="1"/>
  <c r="F21" i="2"/>
  <c r="G20" i="2"/>
  <c r="F20" i="2"/>
  <c r="E20" i="2" s="1"/>
  <c r="G19" i="2"/>
  <c r="F19" i="2"/>
  <c r="E19" i="2" s="1"/>
  <c r="G18" i="2"/>
  <c r="F18" i="2"/>
  <c r="E18" i="2"/>
  <c r="G17" i="2"/>
  <c r="E17" i="2" s="1"/>
  <c r="F17" i="2"/>
  <c r="G16" i="2"/>
  <c r="F16" i="2"/>
  <c r="E16" i="2" s="1"/>
  <c r="G15" i="2"/>
  <c r="F15" i="2"/>
  <c r="E15" i="2" s="1"/>
  <c r="G14" i="2"/>
  <c r="F14" i="2"/>
  <c r="E14" i="2"/>
  <c r="G13" i="2"/>
  <c r="E13" i="2" s="1"/>
  <c r="F13" i="2"/>
  <c r="G12" i="2"/>
  <c r="F12" i="2"/>
  <c r="E12" i="2" s="1"/>
  <c r="G11" i="2"/>
  <c r="F11" i="2"/>
  <c r="E11" i="2" s="1"/>
  <c r="G10" i="2"/>
  <c r="F10" i="2"/>
  <c r="E10" i="2"/>
  <c r="G9" i="2"/>
  <c r="E9" i="2" s="1"/>
  <c r="F9" i="2"/>
  <c r="G8" i="2"/>
  <c r="F8" i="2"/>
  <c r="E8" i="2" s="1"/>
  <c r="G7" i="2"/>
  <c r="F7" i="2"/>
  <c r="E7" i="2" s="1"/>
  <c r="G6" i="2"/>
  <c r="F6" i="2"/>
  <c r="E6" i="2"/>
  <c r="G5" i="2"/>
  <c r="E5" i="2" s="1"/>
  <c r="F5" i="2"/>
  <c r="G4" i="2"/>
  <c r="F4" i="2"/>
  <c r="E4" i="2" s="1"/>
  <c r="G3" i="2"/>
  <c r="F3" i="2"/>
  <c r="E3" i="2" s="1"/>
  <c r="L20" i="1" l="1"/>
  <c r="L84" i="1"/>
  <c r="G84" i="1"/>
  <c r="H84" i="1" s="1"/>
  <c r="M84" i="1"/>
  <c r="L88" i="1"/>
  <c r="G88" i="1"/>
  <c r="H88" i="1" s="1"/>
  <c r="M88" i="1"/>
  <c r="L92" i="1"/>
  <c r="G92" i="1"/>
  <c r="H92" i="1" s="1"/>
  <c r="M92" i="1"/>
  <c r="M20" i="1"/>
  <c r="I39" i="1"/>
  <c r="J39" i="1" s="1"/>
  <c r="L43" i="1"/>
  <c r="L44" i="1"/>
  <c r="G44" i="1"/>
  <c r="H44" i="1" s="1"/>
  <c r="R44" i="1"/>
  <c r="E44" i="1" s="1"/>
  <c r="F44" i="1" s="1"/>
  <c r="L54" i="1"/>
  <c r="I55" i="1"/>
  <c r="J55" i="1" s="1"/>
  <c r="L58" i="1"/>
  <c r="L65" i="1"/>
  <c r="L69" i="1"/>
  <c r="M6" i="1"/>
  <c r="M22" i="1"/>
  <c r="M24" i="1"/>
  <c r="G26" i="1"/>
  <c r="H26" i="1" s="1"/>
  <c r="L34" i="1"/>
  <c r="I47" i="1"/>
  <c r="J47" i="1" s="1"/>
  <c r="L89" i="1"/>
  <c r="G89" i="1"/>
  <c r="H89" i="1" s="1"/>
  <c r="M89" i="1"/>
  <c r="G7" i="1"/>
  <c r="H7" i="1" s="1"/>
  <c r="L7" i="1"/>
  <c r="G8" i="1"/>
  <c r="H8" i="1" s="1"/>
  <c r="L8" i="1"/>
  <c r="G9" i="1"/>
  <c r="H9" i="1" s="1"/>
  <c r="L9" i="1"/>
  <c r="G10" i="1"/>
  <c r="H10" i="1" s="1"/>
  <c r="S10" i="1"/>
  <c r="E10" i="1" s="1"/>
  <c r="F10" i="1" s="1"/>
  <c r="G15" i="1"/>
  <c r="H15" i="1" s="1"/>
  <c r="L19" i="1"/>
  <c r="L21" i="1"/>
  <c r="L23" i="1"/>
  <c r="L25" i="1"/>
  <c r="L27" i="1"/>
  <c r="G27" i="1"/>
  <c r="H27" i="1" s="1"/>
  <c r="L28" i="1"/>
  <c r="G28" i="1"/>
  <c r="H28" i="1" s="1"/>
  <c r="L29" i="1"/>
  <c r="G29" i="1"/>
  <c r="H29" i="1" s="1"/>
  <c r="L30" i="1"/>
  <c r="G30" i="1"/>
  <c r="H30" i="1" s="1"/>
  <c r="L31" i="1"/>
  <c r="G31" i="1"/>
  <c r="H31" i="1" s="1"/>
  <c r="L32" i="1"/>
  <c r="G32" i="1"/>
  <c r="H32" i="1" s="1"/>
  <c r="L33" i="1"/>
  <c r="G33" i="1"/>
  <c r="H33" i="1" s="1"/>
  <c r="R33" i="1"/>
  <c r="E33" i="1" s="1"/>
  <c r="F33" i="1" s="1"/>
  <c r="M34" i="1"/>
  <c r="I36" i="1"/>
  <c r="J36" i="1" s="1"/>
  <c r="M38" i="1"/>
  <c r="L40" i="1"/>
  <c r="Q40" i="1"/>
  <c r="M40" i="1"/>
  <c r="L41" i="1"/>
  <c r="G41" i="1"/>
  <c r="H41" i="1" s="1"/>
  <c r="R41" i="1"/>
  <c r="E41" i="1" s="1"/>
  <c r="F41" i="1" s="1"/>
  <c r="M42" i="1"/>
  <c r="R43" i="1"/>
  <c r="T44" i="1"/>
  <c r="M46" i="1"/>
  <c r="I48" i="1"/>
  <c r="J48" i="1" s="1"/>
  <c r="M50" i="1"/>
  <c r="I52" i="1"/>
  <c r="J52" i="1" s="1"/>
  <c r="M54" i="1"/>
  <c r="L55" i="1"/>
  <c r="I56" i="1"/>
  <c r="J56" i="1" s="1"/>
  <c r="M57" i="1"/>
  <c r="L59" i="1"/>
  <c r="L60" i="1"/>
  <c r="L64" i="1"/>
  <c r="L68" i="1"/>
  <c r="M70" i="1"/>
  <c r="L81" i="1"/>
  <c r="L86" i="1"/>
  <c r="G86" i="1"/>
  <c r="H86" i="1" s="1"/>
  <c r="M86" i="1"/>
  <c r="L90" i="1"/>
  <c r="G90" i="1"/>
  <c r="H90" i="1" s="1"/>
  <c r="M90" i="1"/>
  <c r="I35" i="1"/>
  <c r="J35" i="1" s="1"/>
  <c r="L38" i="1"/>
  <c r="L42" i="1"/>
  <c r="Q43" i="1"/>
  <c r="E43" i="1" s="1"/>
  <c r="F43" i="1" s="1"/>
  <c r="M43" i="1"/>
  <c r="L46" i="1"/>
  <c r="L50" i="1"/>
  <c r="I51" i="1"/>
  <c r="J51" i="1" s="1"/>
  <c r="I59" i="1"/>
  <c r="J59" i="1" s="1"/>
  <c r="L61" i="1"/>
  <c r="L85" i="1"/>
  <c r="G85" i="1"/>
  <c r="H85" i="1" s="1"/>
  <c r="M85" i="1"/>
  <c r="M17" i="1"/>
  <c r="G19" i="1"/>
  <c r="H19" i="1" s="1"/>
  <c r="Q19" i="1"/>
  <c r="E19" i="1" s="1"/>
  <c r="F19" i="1" s="1"/>
  <c r="G21" i="1"/>
  <c r="H21" i="1" s="1"/>
  <c r="G23" i="1"/>
  <c r="H23" i="1" s="1"/>
  <c r="G25" i="1"/>
  <c r="H25" i="1" s="1"/>
  <c r="M35" i="1"/>
  <c r="M39" i="1"/>
  <c r="R40" i="1"/>
  <c r="G43" i="1"/>
  <c r="H43" i="1" s="1"/>
  <c r="M47" i="1"/>
  <c r="M51" i="1"/>
  <c r="L56" i="1"/>
  <c r="M58" i="1"/>
  <c r="R60" i="1"/>
  <c r="E60" i="1" s="1"/>
  <c r="F60" i="1" s="1"/>
  <c r="Q70" i="1"/>
  <c r="E70" i="1" s="1"/>
  <c r="F70" i="1" s="1"/>
  <c r="I70" i="1"/>
  <c r="J70" i="1" s="1"/>
  <c r="M71" i="1"/>
  <c r="G71" i="1"/>
  <c r="H71" i="1" s="1"/>
  <c r="L71" i="1"/>
  <c r="S71" i="1"/>
  <c r="E71" i="1" s="1"/>
  <c r="F71" i="1" s="1"/>
  <c r="I71" i="1"/>
  <c r="J71" i="1" s="1"/>
  <c r="G72" i="1"/>
  <c r="H72" i="1" s="1"/>
  <c r="L72" i="1"/>
  <c r="M73" i="1"/>
  <c r="L73" i="1"/>
  <c r="G74" i="1"/>
  <c r="H74" i="1" s="1"/>
  <c r="L74" i="1"/>
  <c r="M75" i="1"/>
  <c r="L75" i="1"/>
  <c r="G76" i="1"/>
  <c r="H76" i="1" s="1"/>
  <c r="L76" i="1"/>
  <c r="M77" i="1"/>
  <c r="L77" i="1"/>
  <c r="G78" i="1"/>
  <c r="H78" i="1" s="1"/>
  <c r="L78" i="1"/>
  <c r="R79" i="1"/>
  <c r="E79" i="1" s="1"/>
  <c r="F79" i="1" s="1"/>
  <c r="I79" i="1"/>
  <c r="J79" i="1" s="1"/>
  <c r="L83" i="1"/>
  <c r="M83" i="1"/>
  <c r="L87" i="1"/>
  <c r="G87" i="1"/>
  <c r="H87" i="1" s="1"/>
  <c r="M87" i="1"/>
  <c r="L91" i="1"/>
  <c r="G91" i="1"/>
  <c r="H91" i="1" s="1"/>
  <c r="M91" i="1"/>
  <c r="M79" i="1"/>
  <c r="L95" i="1"/>
  <c r="G95" i="1"/>
  <c r="H95" i="1" s="1"/>
  <c r="L99" i="1"/>
  <c r="G99" i="1"/>
  <c r="H99" i="1" s="1"/>
  <c r="L103" i="1"/>
  <c r="G103" i="1"/>
  <c r="H103" i="1" s="1"/>
  <c r="L107" i="1"/>
  <c r="G107" i="1"/>
  <c r="H107" i="1" s="1"/>
  <c r="L111" i="1"/>
  <c r="G111" i="1"/>
  <c r="H111" i="1" s="1"/>
  <c r="M60" i="1"/>
  <c r="M72" i="1"/>
  <c r="M74" i="1"/>
  <c r="M76" i="1"/>
  <c r="M78" i="1"/>
  <c r="G80" i="1"/>
  <c r="H80" i="1" s="1"/>
  <c r="G82" i="1"/>
  <c r="H82" i="1" s="1"/>
  <c r="L94" i="1"/>
  <c r="G94" i="1"/>
  <c r="H94" i="1" s="1"/>
  <c r="I95" i="1"/>
  <c r="J95" i="1" s="1"/>
  <c r="L98" i="1"/>
  <c r="G98" i="1"/>
  <c r="H98" i="1" s="1"/>
  <c r="I99" i="1"/>
  <c r="J99" i="1" s="1"/>
  <c r="L102" i="1"/>
  <c r="G102" i="1"/>
  <c r="H102" i="1" s="1"/>
  <c r="R102" i="1"/>
  <c r="I103" i="1"/>
  <c r="J103" i="1" s="1"/>
  <c r="L106" i="1"/>
  <c r="G106" i="1"/>
  <c r="H106" i="1" s="1"/>
  <c r="I107" i="1"/>
  <c r="J107" i="1" s="1"/>
  <c r="L110" i="1"/>
  <c r="G110" i="1"/>
  <c r="H110" i="1" s="1"/>
  <c r="I111" i="1"/>
  <c r="J111" i="1" s="1"/>
  <c r="E120" i="1"/>
  <c r="F120" i="1" s="1"/>
  <c r="G61" i="1"/>
  <c r="H61" i="1" s="1"/>
  <c r="G62" i="1"/>
  <c r="H62" i="1" s="1"/>
  <c r="G63" i="1"/>
  <c r="H63" i="1" s="1"/>
  <c r="G64" i="1"/>
  <c r="H64" i="1" s="1"/>
  <c r="G65" i="1"/>
  <c r="H65" i="1" s="1"/>
  <c r="G66" i="1"/>
  <c r="H66" i="1" s="1"/>
  <c r="G67" i="1"/>
  <c r="H67" i="1" s="1"/>
  <c r="G68" i="1"/>
  <c r="H68" i="1" s="1"/>
  <c r="G69" i="1"/>
  <c r="H69" i="1" s="1"/>
  <c r="G70" i="1"/>
  <c r="H70" i="1" s="1"/>
  <c r="L79" i="1"/>
  <c r="L93" i="1"/>
  <c r="G93" i="1"/>
  <c r="H93" i="1" s="1"/>
  <c r="R93" i="1"/>
  <c r="E93" i="1" s="1"/>
  <c r="F93" i="1" s="1"/>
  <c r="I94" i="1"/>
  <c r="J94" i="1" s="1"/>
  <c r="L97" i="1"/>
  <c r="G97" i="1"/>
  <c r="H97" i="1" s="1"/>
  <c r="I98" i="1"/>
  <c r="J98" i="1" s="1"/>
  <c r="T101" i="1"/>
  <c r="L101" i="1"/>
  <c r="G101" i="1"/>
  <c r="H101" i="1" s="1"/>
  <c r="T102" i="1"/>
  <c r="L105" i="1"/>
  <c r="G105" i="1"/>
  <c r="H105" i="1" s="1"/>
  <c r="I106" i="1"/>
  <c r="J106" i="1" s="1"/>
  <c r="L109" i="1"/>
  <c r="G109" i="1"/>
  <c r="H109" i="1" s="1"/>
  <c r="I110" i="1"/>
  <c r="J110" i="1" s="1"/>
  <c r="T113" i="1"/>
  <c r="L113" i="1"/>
  <c r="G113" i="1"/>
  <c r="H113" i="1" s="1"/>
  <c r="M95" i="1"/>
  <c r="L96" i="1"/>
  <c r="G96" i="1"/>
  <c r="H96" i="1" s="1"/>
  <c r="I97" i="1"/>
  <c r="J97" i="1" s="1"/>
  <c r="M99" i="1"/>
  <c r="L100" i="1"/>
  <c r="G100" i="1"/>
  <c r="H100" i="1" s="1"/>
  <c r="E101" i="1"/>
  <c r="F101" i="1" s="1"/>
  <c r="M103" i="1"/>
  <c r="L104" i="1"/>
  <c r="G104" i="1"/>
  <c r="H104" i="1" s="1"/>
  <c r="I105" i="1"/>
  <c r="J105" i="1" s="1"/>
  <c r="M107" i="1"/>
  <c r="L108" i="1"/>
  <c r="G108" i="1"/>
  <c r="H108" i="1" s="1"/>
  <c r="I109" i="1"/>
  <c r="J109" i="1" s="1"/>
  <c r="M111" i="1"/>
  <c r="L112" i="1"/>
  <c r="G112" i="1"/>
  <c r="H112" i="1" s="1"/>
  <c r="E113" i="1"/>
  <c r="F113" i="1" s="1"/>
  <c r="Q138" i="1"/>
  <c r="E138" i="1" s="1"/>
  <c r="F138" i="1" s="1"/>
  <c r="M138" i="1"/>
  <c r="L139" i="1"/>
  <c r="G139" i="1"/>
  <c r="H139" i="1" s="1"/>
  <c r="L140" i="1"/>
  <c r="G140" i="1"/>
  <c r="H140" i="1" s="1"/>
  <c r="L141" i="1"/>
  <c r="G141" i="1"/>
  <c r="H141" i="1" s="1"/>
  <c r="L142" i="1"/>
  <c r="G142" i="1"/>
  <c r="H142" i="1" s="1"/>
  <c r="L143" i="1"/>
  <c r="G143" i="1"/>
  <c r="H143" i="1" s="1"/>
  <c r="L144" i="1"/>
  <c r="G144" i="1"/>
  <c r="H144" i="1" s="1"/>
  <c r="L145" i="1"/>
  <c r="G145" i="1"/>
  <c r="H145" i="1" s="1"/>
  <c r="L146" i="1"/>
  <c r="G146" i="1"/>
  <c r="H146" i="1" s="1"/>
  <c r="G119" i="1"/>
  <c r="H119" i="1" s="1"/>
  <c r="G120" i="1"/>
  <c r="H120" i="1" s="1"/>
  <c r="L120" i="1"/>
  <c r="G124" i="1"/>
  <c r="H124" i="1" s="1"/>
  <c r="L124" i="1"/>
  <c r="G127" i="1"/>
  <c r="H127" i="1" s="1"/>
  <c r="G129" i="1"/>
  <c r="H129" i="1" s="1"/>
  <c r="M129" i="1"/>
  <c r="L131" i="1"/>
  <c r="L134" i="1"/>
  <c r="I135" i="1"/>
  <c r="J135" i="1" s="1"/>
  <c r="M101" i="1"/>
  <c r="M113" i="1"/>
  <c r="R118" i="1"/>
  <c r="E118" i="1" s="1"/>
  <c r="F118" i="1" s="1"/>
  <c r="M120" i="1"/>
  <c r="R123" i="1"/>
  <c r="E123" i="1" s="1"/>
  <c r="F123" i="1" s="1"/>
  <c r="M124" i="1"/>
  <c r="L126" i="1"/>
  <c r="L128" i="1"/>
  <c r="Q129" i="1"/>
  <c r="E129" i="1" s="1"/>
  <c r="F129" i="1" s="1"/>
  <c r="M131" i="1"/>
  <c r="M134" i="1"/>
  <c r="I136" i="1"/>
  <c r="J136" i="1" s="1"/>
  <c r="G138" i="1"/>
  <c r="H138" i="1" s="1"/>
  <c r="L148" i="1"/>
  <c r="L152" i="1"/>
  <c r="G114" i="1"/>
  <c r="H114" i="1" s="1"/>
  <c r="G115" i="1"/>
  <c r="H115" i="1" s="1"/>
  <c r="G116" i="1"/>
  <c r="H116" i="1" s="1"/>
  <c r="G117" i="1"/>
  <c r="H117" i="1" s="1"/>
  <c r="G118" i="1"/>
  <c r="H118" i="1" s="1"/>
  <c r="G121" i="1"/>
  <c r="H121" i="1" s="1"/>
  <c r="G122" i="1"/>
  <c r="H122" i="1" s="1"/>
  <c r="G123" i="1"/>
  <c r="H123" i="1" s="1"/>
  <c r="G125" i="1"/>
  <c r="H125" i="1" s="1"/>
  <c r="G126" i="1"/>
  <c r="H126" i="1" s="1"/>
  <c r="Q126" i="1"/>
  <c r="E126" i="1" s="1"/>
  <c r="F126" i="1" s="1"/>
  <c r="G128" i="1"/>
  <c r="H128" i="1" s="1"/>
  <c r="L130" i="1"/>
  <c r="L132" i="1"/>
  <c r="I133" i="1"/>
  <c r="J133" i="1" s="1"/>
  <c r="M135" i="1"/>
  <c r="I137" i="1"/>
  <c r="J137" i="1" s="1"/>
  <c r="I138" i="1"/>
  <c r="J138" i="1" s="1"/>
  <c r="M139" i="1"/>
  <c r="M140" i="1"/>
  <c r="M141" i="1"/>
  <c r="M142" i="1"/>
  <c r="M143" i="1"/>
  <c r="M144" i="1"/>
  <c r="M145" i="1"/>
  <c r="M146" i="1"/>
  <c r="L147" i="1"/>
  <c r="L151" i="1"/>
  <c r="M185" i="1"/>
  <c r="G154" i="1"/>
  <c r="H154" i="1" s="1"/>
  <c r="L154" i="1"/>
  <c r="Q159" i="1"/>
  <c r="E159" i="1" s="1"/>
  <c r="F159" i="1" s="1"/>
  <c r="L161" i="1"/>
  <c r="G162" i="1"/>
  <c r="H162" i="1" s="1"/>
  <c r="G163" i="1"/>
  <c r="H163" i="1" s="1"/>
  <c r="M171" i="1"/>
  <c r="L171" i="1"/>
  <c r="G171" i="1"/>
  <c r="H171" i="1" s="1"/>
  <c r="M173" i="1"/>
  <c r="L173" i="1"/>
  <c r="G173" i="1"/>
  <c r="H173" i="1" s="1"/>
  <c r="M175" i="1"/>
  <c r="L175" i="1"/>
  <c r="G175" i="1"/>
  <c r="H175" i="1" s="1"/>
  <c r="M177" i="1"/>
  <c r="L177" i="1"/>
  <c r="G177" i="1"/>
  <c r="H177" i="1" s="1"/>
  <c r="M179" i="1"/>
  <c r="L179" i="1"/>
  <c r="G179" i="1"/>
  <c r="H179" i="1" s="1"/>
  <c r="M181" i="1"/>
  <c r="L181" i="1"/>
  <c r="G181" i="1"/>
  <c r="H181" i="1" s="1"/>
  <c r="S182" i="1"/>
  <c r="E182" i="1" s="1"/>
  <c r="F182" i="1" s="1"/>
  <c r="L182" i="1"/>
  <c r="G182" i="1"/>
  <c r="H182" i="1" s="1"/>
  <c r="R153" i="1"/>
  <c r="E153" i="1" s="1"/>
  <c r="F153" i="1" s="1"/>
  <c r="G156" i="1"/>
  <c r="H156" i="1" s="1"/>
  <c r="G157" i="1"/>
  <c r="H157" i="1" s="1"/>
  <c r="G158" i="1"/>
  <c r="H158" i="1" s="1"/>
  <c r="G159" i="1"/>
  <c r="H159" i="1" s="1"/>
  <c r="M159" i="1"/>
  <c r="M160" i="1"/>
  <c r="Q161" i="1"/>
  <c r="E161" i="1" s="1"/>
  <c r="F161" i="1" s="1"/>
  <c r="M169" i="1"/>
  <c r="I182" i="1"/>
  <c r="J182" i="1" s="1"/>
  <c r="M183" i="1"/>
  <c r="G147" i="1"/>
  <c r="H147" i="1" s="1"/>
  <c r="G148" i="1"/>
  <c r="H148" i="1" s="1"/>
  <c r="G149" i="1"/>
  <c r="H149" i="1" s="1"/>
  <c r="G150" i="1"/>
  <c r="H150" i="1" s="1"/>
  <c r="G151" i="1"/>
  <c r="H151" i="1" s="1"/>
  <c r="G152" i="1"/>
  <c r="H152" i="1" s="1"/>
  <c r="G153" i="1"/>
  <c r="H153" i="1" s="1"/>
  <c r="G160" i="1"/>
  <c r="H160" i="1" s="1"/>
  <c r="G161" i="1"/>
  <c r="H161" i="1" s="1"/>
  <c r="L162" i="1"/>
  <c r="L163" i="1"/>
  <c r="L164" i="1"/>
  <c r="L165" i="1"/>
  <c r="L166" i="1"/>
  <c r="M168" i="1"/>
  <c r="Q170" i="1"/>
  <c r="E170" i="1" s="1"/>
  <c r="F170" i="1" s="1"/>
  <c r="M170" i="1"/>
  <c r="M172" i="1"/>
  <c r="L172" i="1"/>
  <c r="G172" i="1"/>
  <c r="H172" i="1" s="1"/>
  <c r="M174" i="1"/>
  <c r="L174" i="1"/>
  <c r="G174" i="1"/>
  <c r="H174" i="1" s="1"/>
  <c r="M176" i="1"/>
  <c r="L176" i="1"/>
  <c r="G176" i="1"/>
  <c r="H176" i="1" s="1"/>
  <c r="M178" i="1"/>
  <c r="L178" i="1"/>
  <c r="G178" i="1"/>
  <c r="H178" i="1" s="1"/>
  <c r="M180" i="1"/>
  <c r="L180" i="1"/>
  <c r="G180" i="1"/>
  <c r="H180" i="1" s="1"/>
  <c r="M182" i="1"/>
  <c r="M186" i="1"/>
  <c r="E192" i="1"/>
  <c r="F192" i="1" s="1"/>
  <c r="M192" i="1"/>
  <c r="M195" i="1"/>
  <c r="G193" i="1"/>
  <c r="H193" i="1" s="1"/>
  <c r="L193" i="1"/>
  <c r="G194" i="1"/>
  <c r="H194" i="1" s="1"/>
  <c r="L194" i="1"/>
  <c r="E134" i="2"/>
  <c r="E137" i="2"/>
  <c r="E142" i="2"/>
  <c r="E145" i="2"/>
  <c r="E150" i="2"/>
  <c r="E153" i="2"/>
  <c r="E158" i="2"/>
  <c r="E161" i="2"/>
  <c r="E166" i="2"/>
  <c r="E169" i="2"/>
  <c r="E177" i="2"/>
  <c r="E185" i="2"/>
  <c r="E8" i="3"/>
  <c r="E16" i="3"/>
  <c r="E24" i="3"/>
  <c r="E32" i="3"/>
  <c r="E40" i="3"/>
  <c r="E48" i="3"/>
  <c r="E56" i="3"/>
  <c r="E64" i="3"/>
  <c r="E72" i="3"/>
  <c r="E80" i="3"/>
  <c r="E88" i="3"/>
  <c r="E96" i="3"/>
  <c r="E104" i="3"/>
  <c r="E112" i="3"/>
  <c r="E120" i="3"/>
  <c r="E128" i="3"/>
  <c r="E136" i="3"/>
  <c r="E144" i="3"/>
  <c r="E152" i="3"/>
  <c r="E168" i="3"/>
  <c r="E176" i="3"/>
  <c r="E184" i="3"/>
  <c r="E192" i="3"/>
  <c r="E42" i="4"/>
  <c r="E50" i="4"/>
  <c r="E58" i="4"/>
  <c r="E66" i="4"/>
  <c r="E74" i="4"/>
  <c r="E82" i="4"/>
  <c r="E68" i="3"/>
  <c r="E76" i="3"/>
  <c r="E84" i="3"/>
  <c r="E92" i="3"/>
  <c r="E116" i="3"/>
  <c r="E124" i="3"/>
  <c r="E132" i="3"/>
  <c r="E140" i="3"/>
  <c r="E156" i="3"/>
  <c r="E164" i="3"/>
  <c r="E172" i="3"/>
  <c r="E180" i="3"/>
  <c r="E188" i="3"/>
  <c r="E86" i="4"/>
  <c r="E40" i="1" l="1"/>
  <c r="F40" i="1" s="1"/>
  <c r="E102" i="1"/>
  <c r="F102" i="1" s="1"/>
</calcChain>
</file>

<file path=xl/sharedStrings.xml><?xml version="1.0" encoding="utf-8"?>
<sst xmlns="http://schemas.openxmlformats.org/spreadsheetml/2006/main" count="12727" uniqueCount="1599">
  <si>
    <t>X</t>
  </si>
  <si>
    <t>Countryname</t>
  </si>
  <si>
    <t>Country</t>
  </si>
  <si>
    <t xml:space="preserve"> </t>
  </si>
  <si>
    <t>Overall Alert</t>
  </si>
  <si>
    <t>Underlying Vulnerability</t>
  </si>
  <si>
    <t>Upcoming Threat</t>
  </si>
  <si>
    <t xml:space="preserve">  </t>
  </si>
  <si>
    <t>His Score</t>
  </si>
  <si>
    <t>His Score Norm</t>
  </si>
  <si>
    <t>Cases Controlled</t>
  </si>
  <si>
    <t>Test And Trace</t>
  </si>
  <si>
    <t>High Vulnerability</t>
  </si>
  <si>
    <t>Workplace Prevention</t>
  </si>
  <si>
    <t>Manage Imported Cases</t>
  </si>
  <si>
    <t>Community Understanding</t>
  </si>
  <si>
    <t>Oxrollback Score</t>
  </si>
  <si>
    <t>Oxrollback Score Norm</t>
  </si>
  <si>
    <t>Covidgrowth Biweeklydeaths</t>
  </si>
  <si>
    <t>Covidgrowth Biweeklycases</t>
  </si>
  <si>
    <t>Covidgrowth Deathsnorm</t>
  </si>
  <si>
    <t>Covidgrowth Casesnorm</t>
  </si>
  <si>
    <t>New Cases Smoothed Per Million</t>
  </si>
  <si>
    <t>New Deaths Smoothed Per Million</t>
  </si>
  <si>
    <t>New Cases Smoothed Per Million Norm</t>
  </si>
  <si>
    <t>New Deaths Smoothed Per Million Norm</t>
  </si>
  <si>
    <t>Date</t>
  </si>
  <si>
    <t>Governmentresponseindex</t>
  </si>
  <si>
    <t>Governmentresponseindexfordisplay</t>
  </si>
  <si>
    <t>Economicsupportindex</t>
  </si>
  <si>
    <t>Economicsupportindexfordisplay</t>
  </si>
  <si>
    <t>Containmenthealthindex</t>
  </si>
  <si>
    <t>Containmenthealthindexfordisplay</t>
  </si>
  <si>
    <t>E1 Income.support</t>
  </si>
  <si>
    <t>E1 Flag</t>
  </si>
  <si>
    <t>Governmentresponseindexfordisplay Norm</t>
  </si>
  <si>
    <t>Economicsupportindexfordisplay Norm</t>
  </si>
  <si>
    <t>W8forecast</t>
  </si>
  <si>
    <t>W7forecast</t>
  </si>
  <si>
    <t>Population</t>
  </si>
  <si>
    <t>Current</t>
  </si>
  <si>
    <t>Week Increase</t>
  </si>
  <si>
    <t>New Death Per M</t>
  </si>
  <si>
    <t>Add Death Prec Current</t>
  </si>
  <si>
    <t>Add Death Prec Current Norm</t>
  </si>
  <si>
    <t>Inform Rating.value</t>
  </si>
  <si>
    <t>Inform Rating.rating</t>
  </si>
  <si>
    <t>Covid Case Rate.value</t>
  </si>
  <si>
    <t>Covid Case Rate.rating</t>
  </si>
  <si>
    <t>Legal Stringency.value</t>
  </si>
  <si>
    <t>Legal Stringency.rating</t>
  </si>
  <si>
    <t>International Travel.value</t>
  </si>
  <si>
    <t>International Travel.rating</t>
  </si>
  <si>
    <t>Internal Movement.value</t>
  </si>
  <si>
    <t>Internal Movement.rating</t>
  </si>
  <si>
    <t>Stay Home.value</t>
  </si>
  <si>
    <t>Stay Home.rating</t>
  </si>
  <si>
    <t>Income Support.value</t>
  </si>
  <si>
    <t>Income Support.rating</t>
  </si>
  <si>
    <t>Debt Relief.value</t>
  </si>
  <si>
    <t>Debt Relief.rating</t>
  </si>
  <si>
    <t>Gdp Change.value</t>
  </si>
  <si>
    <t>Gdp Change.rating</t>
  </si>
  <si>
    <t>Unemployment.value</t>
  </si>
  <si>
    <t>Unemployment.rating</t>
  </si>
  <si>
    <t>Inflation.value</t>
  </si>
  <si>
    <t>Inflation.rating</t>
  </si>
  <si>
    <t>School Close.value</t>
  </si>
  <si>
    <t>School Close.rating</t>
  </si>
  <si>
    <t>Ipc 3 Plus.value</t>
  </si>
  <si>
    <t>Ipc 3 Plus.rating</t>
  </si>
  <si>
    <t>Growth Events.value</t>
  </si>
  <si>
    <t>Growth Events.rating</t>
  </si>
  <si>
    <t>Public Info.value</t>
  </si>
  <si>
    <t>Public Info.rating</t>
  </si>
  <si>
    <t>Testing Policy.value</t>
  </si>
  <si>
    <t>Testing Policy.rating</t>
  </si>
  <si>
    <t>Contact Trace.value</t>
  </si>
  <si>
    <t>Contact Trace.rating</t>
  </si>
  <si>
    <t>Growth Conflict.value</t>
  </si>
  <si>
    <t>Growth Conflict.rating</t>
  </si>
  <si>
    <t>Seasonal Flood.value</t>
  </si>
  <si>
    <t>Seasonal Flood.rating</t>
  </si>
  <si>
    <t>Seasonal Cyclone.value</t>
  </si>
  <si>
    <t>Seasonal Cyclone.rating</t>
  </si>
  <si>
    <t>Seasonal Exposure.value</t>
  </si>
  <si>
    <t>Seasonal Exposure.rating</t>
  </si>
  <si>
    <t>Asap Hotspot.value</t>
  </si>
  <si>
    <t>Asap Hotspot.rating</t>
  </si>
  <si>
    <t>Inform Severity.value</t>
  </si>
  <si>
    <t>Inform Severity.rating</t>
  </si>
  <si>
    <t>Inform Rating.value Norm</t>
  </si>
  <si>
    <t>Wmo Don Alert</t>
  </si>
  <si>
    <t>Afghanistan</t>
  </si>
  <si>
    <t>AFG</t>
  </si>
  <si>
    <t>1.3</t>
  </si>
  <si>
    <t>Low</t>
  </si>
  <si>
    <t>8</t>
  </si>
  <si>
    <t>High</t>
  </si>
  <si>
    <t>Screening</t>
  </si>
  <si>
    <t>Medium</t>
  </si>
  <si>
    <t>No measures</t>
  </si>
  <si>
    <t>No income support</t>
  </si>
  <si>
    <t>0</t>
  </si>
  <si>
    <t>-5.0 %</t>
  </si>
  <si>
    <t>NO DATA</t>
  </si>
  <si>
    <t>5.4 %</t>
  </si>
  <si>
    <t>Academic break</t>
  </si>
  <si>
    <t>13,154,519</t>
  </si>
  <si>
    <t>Public officials urging caution about COVID-19</t>
  </si>
  <si>
    <t>Open public testing (eg “drive through” testing available to asymptomatic p ...</t>
  </si>
  <si>
    <t>204.83%</t>
  </si>
  <si>
    <t>No hotspot</t>
  </si>
  <si>
    <t>Very High</t>
  </si>
  <si>
    <t>Angola</t>
  </si>
  <si>
    <t>AGO</t>
  </si>
  <si>
    <t>2.2</t>
  </si>
  <si>
    <t>59</t>
  </si>
  <si>
    <t>Quarantine arrivals from high-risk regions</t>
  </si>
  <si>
    <t>Require closing (or prohibit most people from using it)</t>
  </si>
  <si>
    <t>Recommend not leaving house</t>
  </si>
  <si>
    <t>1</t>
  </si>
  <si>
    <t>-4.0 %</t>
  </si>
  <si>
    <t>21.0 %</t>
  </si>
  <si>
    <t>Fully open</t>
  </si>
  <si>
    <t>Coordinated public information campaign (e.g. across traditional and social ...</t>
  </si>
  <si>
    <t>Testing of anyone showing COVID-19 symptoms</t>
  </si>
  <si>
    <t>Limited contact tracing - not done for all cases</t>
  </si>
  <si>
    <t>0.00%</t>
  </si>
  <si>
    <t>Hotspot</t>
  </si>
  <si>
    <t>NO CRISIS</t>
  </si>
  <si>
    <t>Albania</t>
  </si>
  <si>
    <t>ALB</t>
  </si>
  <si>
    <t>456.3</t>
  </si>
  <si>
    <t>55</t>
  </si>
  <si>
    <t>Ban on high-risk regions</t>
  </si>
  <si>
    <t>Require not leaving house with exceptions for daily exercise, grocery shopp ...</t>
  </si>
  <si>
    <t>Government is replacing less than 50% of lost salary (or if a flat sum, it  ...</t>
  </si>
  <si>
    <t>-7.5 %</t>
  </si>
  <si>
    <t>11.8 %</t>
  </si>
  <si>
    <t>1.4 %</t>
  </si>
  <si>
    <t>Comprehensive contact tracing - done for all cases</t>
  </si>
  <si>
    <t>United Arab Emirates</t>
  </si>
  <si>
    <t>ARE</t>
  </si>
  <si>
    <t>496.8</t>
  </si>
  <si>
    <t>45</t>
  </si>
  <si>
    <t>Recommend closing (or significantly reduce volume/route ...</t>
  </si>
  <si>
    <t>2</t>
  </si>
  <si>
    <t>-6.6 %</t>
  </si>
  <si>
    <t>-1.5 %</t>
  </si>
  <si>
    <t>Argentina</t>
  </si>
  <si>
    <t>ARG</t>
  </si>
  <si>
    <t>247.2</t>
  </si>
  <si>
    <t>79</t>
  </si>
  <si>
    <t>-11.8 %</t>
  </si>
  <si>
    <t>11.0 %</t>
  </si>
  <si>
    <t>0.0 %</t>
  </si>
  <si>
    <t>-71.43%</t>
  </si>
  <si>
    <t>Armenia</t>
  </si>
  <si>
    <t>ARM</t>
  </si>
  <si>
    <t>70.4</t>
  </si>
  <si>
    <t>-4.5 %</t>
  </si>
  <si>
    <t>22.3 %</t>
  </si>
  <si>
    <t>0.9 %</t>
  </si>
  <si>
    <t>Antigua and Barbuda</t>
  </si>
  <si>
    <t>ATG</t>
  </si>
  <si>
    <t>118.4</t>
  </si>
  <si>
    <t>-17.3 %</t>
  </si>
  <si>
    <t>1.0 %</t>
  </si>
  <si>
    <t>Partially open</t>
  </si>
  <si>
    <t>Australia</t>
  </si>
  <si>
    <t>AUS</t>
  </si>
  <si>
    <t>0.3</t>
  </si>
  <si>
    <t>52</t>
  </si>
  <si>
    <t>Total border closure</t>
  </si>
  <si>
    <t>Require not leaving house with minimal exceptions (e.g. allowed to leave on ...</t>
  </si>
  <si>
    <t>-4.2 %</t>
  </si>
  <si>
    <t>6.9 %</t>
  </si>
  <si>
    <t>0.7 %</t>
  </si>
  <si>
    <t>Austria</t>
  </si>
  <si>
    <t>AUT</t>
  </si>
  <si>
    <t>224.8</t>
  </si>
  <si>
    <t>60</t>
  </si>
  <si>
    <t>Government is replacing more than 50% of lost salary (or if a flat sum, it  ...</t>
  </si>
  <si>
    <t>-6.7 %</t>
  </si>
  <si>
    <t>5.8 %</t>
  </si>
  <si>
    <t>1.2 %</t>
  </si>
  <si>
    <t>Azerbaijan</t>
  </si>
  <si>
    <t>AZE</t>
  </si>
  <si>
    <t>21.1</t>
  </si>
  <si>
    <t>80</t>
  </si>
  <si>
    <t>6.5 %</t>
  </si>
  <si>
    <t>3.0 %</t>
  </si>
  <si>
    <t>150.00%</t>
  </si>
  <si>
    <t>Burundi</t>
  </si>
  <si>
    <t>BDI</t>
  </si>
  <si>
    <t>15</t>
  </si>
  <si>
    <t>-3.2 %</t>
  </si>
  <si>
    <t>7.6 %</t>
  </si>
  <si>
    <t>1,334,629</t>
  </si>
  <si>
    <t>Only those who both (a) have symptoms AND (b) meet specific criteria (eg ke ...</t>
  </si>
  <si>
    <t>288.89%</t>
  </si>
  <si>
    <t>Belgium</t>
  </si>
  <si>
    <t>BEL</t>
  </si>
  <si>
    <t>277.0</t>
  </si>
  <si>
    <t>-8.3 %</t>
  </si>
  <si>
    <t>6.1 %</t>
  </si>
  <si>
    <t>0.6 %</t>
  </si>
  <si>
    <t>Benin</t>
  </si>
  <si>
    <t>BEN</t>
  </si>
  <si>
    <t>4.7</t>
  </si>
  <si>
    <t>41</t>
  </si>
  <si>
    <t>2.0 %</t>
  </si>
  <si>
    <t>2.5 %</t>
  </si>
  <si>
    <t>281,637</t>
  </si>
  <si>
    <t>Burkina Faso</t>
  </si>
  <si>
    <t>BFA</t>
  </si>
  <si>
    <t>5.8</t>
  </si>
  <si>
    <t>14</t>
  </si>
  <si>
    <t>-2.0 %</t>
  </si>
  <si>
    <t>2,726,899</t>
  </si>
  <si>
    <t>780.00%</t>
  </si>
  <si>
    <t>Bangladesh</t>
  </si>
  <si>
    <t>BGD</t>
  </si>
  <si>
    <t>3.8</t>
  </si>
  <si>
    <t>3.8 %</t>
  </si>
  <si>
    <t>5.6 %</t>
  </si>
  <si>
    <t>Closed due to COVID-19</t>
  </si>
  <si>
    <t>85.71%</t>
  </si>
  <si>
    <t>Bulgaria</t>
  </si>
  <si>
    <t>BGR</t>
  </si>
  <si>
    <t>127.4</t>
  </si>
  <si>
    <t>57</t>
  </si>
  <si>
    <t>Bahrain</t>
  </si>
  <si>
    <t>BHR</t>
  </si>
  <si>
    <t>456.5</t>
  </si>
  <si>
    <t>51</t>
  </si>
  <si>
    <t>-4.9 %</t>
  </si>
  <si>
    <t>4.9 %</t>
  </si>
  <si>
    <t>Bahamas</t>
  </si>
  <si>
    <t>BHS</t>
  </si>
  <si>
    <t>40.1</t>
  </si>
  <si>
    <t>61</t>
  </si>
  <si>
    <t>-14.8 %</t>
  </si>
  <si>
    <t>25.4 %</t>
  </si>
  <si>
    <t>1.8 %</t>
  </si>
  <si>
    <t>Bosnia and Herzegovina</t>
  </si>
  <si>
    <t>BIH</t>
  </si>
  <si>
    <t>115.2</t>
  </si>
  <si>
    <t>32</t>
  </si>
  <si>
    <t>-6.5 %</t>
  </si>
  <si>
    <t>19.0 %</t>
  </si>
  <si>
    <t>-0.8 %</t>
  </si>
  <si>
    <t>No contact tracing</t>
  </si>
  <si>
    <t>Belarus</t>
  </si>
  <si>
    <t>BLR</t>
  </si>
  <si>
    <t>-68.3</t>
  </si>
  <si>
    <t>28</t>
  </si>
  <si>
    <t>-3.0 %</t>
  </si>
  <si>
    <t>5.1 %</t>
  </si>
  <si>
    <t>Belize</t>
  </si>
  <si>
    <t>BLZ</t>
  </si>
  <si>
    <t>76.9</t>
  </si>
  <si>
    <t>72</t>
  </si>
  <si>
    <t>-16.0 %</t>
  </si>
  <si>
    <t>25.1 %</t>
  </si>
  <si>
    <t>0.8 %</t>
  </si>
  <si>
    <t>Bolivia</t>
  </si>
  <si>
    <t>BOL</t>
  </si>
  <si>
    <t>218.4</t>
  </si>
  <si>
    <t>53</t>
  </si>
  <si>
    <t>-7.9 %</t>
  </si>
  <si>
    <t>8.0 %</t>
  </si>
  <si>
    <t>1.7 %</t>
  </si>
  <si>
    <t>560.00%</t>
  </si>
  <si>
    <t>Brazil</t>
  </si>
  <si>
    <t>BRA</t>
  </si>
  <si>
    <t>320.6</t>
  </si>
  <si>
    <t>-5.8 %</t>
  </si>
  <si>
    <t>13.4 %</t>
  </si>
  <si>
    <t>2.7 %</t>
  </si>
  <si>
    <t>137.50%</t>
  </si>
  <si>
    <t>194.69%</t>
  </si>
  <si>
    <t>Barbados</t>
  </si>
  <si>
    <t>BRB</t>
  </si>
  <si>
    <t>115.3</t>
  </si>
  <si>
    <t>-11.6 %</t>
  </si>
  <si>
    <t>14.9 %</t>
  </si>
  <si>
    <t>2.9 %</t>
  </si>
  <si>
    <t>Brunei Darussalam</t>
  </si>
  <si>
    <t>BRN</t>
  </si>
  <si>
    <t>1.4</t>
  </si>
  <si>
    <t>35</t>
  </si>
  <si>
    <t>0.1 %</t>
  </si>
  <si>
    <t>6.8 %</t>
  </si>
  <si>
    <t>0.3 %</t>
  </si>
  <si>
    <t>Bhutan</t>
  </si>
  <si>
    <t>BTN</t>
  </si>
  <si>
    <t>0.8</t>
  </si>
  <si>
    <t>82</t>
  </si>
  <si>
    <t>3.6 %</t>
  </si>
  <si>
    <t>Botswana</t>
  </si>
  <si>
    <t>BWA</t>
  </si>
  <si>
    <t>207.5</t>
  </si>
  <si>
    <t>47</t>
  </si>
  <si>
    <t>-9.6 %</t>
  </si>
  <si>
    <t>1.6 %</t>
  </si>
  <si>
    <t>Central African Republic</t>
  </si>
  <si>
    <t>CAF</t>
  </si>
  <si>
    <t>0.2</t>
  </si>
  <si>
    <t>24</t>
  </si>
  <si>
    <t>-1.0 %</t>
  </si>
  <si>
    <t>2,314,676</t>
  </si>
  <si>
    <t>337.50%</t>
  </si>
  <si>
    <t>Canada</t>
  </si>
  <si>
    <t>CAN</t>
  </si>
  <si>
    <t>147.3</t>
  </si>
  <si>
    <t>75</t>
  </si>
  <si>
    <t>-7.1 %</t>
  </si>
  <si>
    <t>9.7 %</t>
  </si>
  <si>
    <t>Switzerland</t>
  </si>
  <si>
    <t>CHE</t>
  </si>
  <si>
    <t>251.4</t>
  </si>
  <si>
    <t>-5.3 %</t>
  </si>
  <si>
    <t>3.2 %</t>
  </si>
  <si>
    <t>Chile</t>
  </si>
  <si>
    <t>CHL</t>
  </si>
  <si>
    <t>275.3</t>
  </si>
  <si>
    <t>-6.0 %</t>
  </si>
  <si>
    <t>11.4 %</t>
  </si>
  <si>
    <t>225.00%</t>
  </si>
  <si>
    <t>China</t>
  </si>
  <si>
    <t>CHN</t>
  </si>
  <si>
    <t>0.1</t>
  </si>
  <si>
    <t>67</t>
  </si>
  <si>
    <t>1.9 %</t>
  </si>
  <si>
    <t>166.67%</t>
  </si>
  <si>
    <t>Côte d'Ivoire</t>
  </si>
  <si>
    <t>CIV</t>
  </si>
  <si>
    <t>10.6</t>
  </si>
  <si>
    <t>25</t>
  </si>
  <si>
    <t>186,671</t>
  </si>
  <si>
    <t>-100.00%</t>
  </si>
  <si>
    <t>Cameroon</t>
  </si>
  <si>
    <t>CMR</t>
  </si>
  <si>
    <t>6.9</t>
  </si>
  <si>
    <t>20</t>
  </si>
  <si>
    <t>-2.8 %</t>
  </si>
  <si>
    <t>2.8 %</t>
  </si>
  <si>
    <t>2,281,634</t>
  </si>
  <si>
    <t>No COVID-19 public information campaign</t>
  </si>
  <si>
    <t>145.00%</t>
  </si>
  <si>
    <t>Congo DR</t>
  </si>
  <si>
    <t>COD</t>
  </si>
  <si>
    <t>1.9</t>
  </si>
  <si>
    <t>23</t>
  </si>
  <si>
    <t>-2.2 %</t>
  </si>
  <si>
    <t>11.5 %</t>
  </si>
  <si>
    <t>21,834,710</t>
  </si>
  <si>
    <t>725.93%</t>
  </si>
  <si>
    <t>Congo</t>
  </si>
  <si>
    <t>COG</t>
  </si>
  <si>
    <t>4.9</t>
  </si>
  <si>
    <t>44</t>
  </si>
  <si>
    <t>-7.0 %</t>
  </si>
  <si>
    <t>Colombia</t>
  </si>
  <si>
    <t>COL</t>
  </si>
  <si>
    <t>265.6</t>
  </si>
  <si>
    <t>66</t>
  </si>
  <si>
    <t>-8.2 %</t>
  </si>
  <si>
    <t>17.3 %</t>
  </si>
  <si>
    <t>2.4 %</t>
  </si>
  <si>
    <t>181.48%</t>
  </si>
  <si>
    <t>Comoros</t>
  </si>
  <si>
    <t>COM</t>
  </si>
  <si>
    <t>96.4</t>
  </si>
  <si>
    <t>-1.8 %</t>
  </si>
  <si>
    <t>Cabo Verde</t>
  </si>
  <si>
    <t>CPV</t>
  </si>
  <si>
    <t>174.9</t>
  </si>
  <si>
    <t>71</t>
  </si>
  <si>
    <t>-6.8 %</t>
  </si>
  <si>
    <t>8.5 %</t>
  </si>
  <si>
    <t>Costa Rica</t>
  </si>
  <si>
    <t>CRI</t>
  </si>
  <si>
    <t>132.5</t>
  </si>
  <si>
    <t>64</t>
  </si>
  <si>
    <t>-5.5 %</t>
  </si>
  <si>
    <t>22.0 %</t>
  </si>
  <si>
    <t>Very Low</t>
  </si>
  <si>
    <t>Cuba</t>
  </si>
  <si>
    <t>CUB</t>
  </si>
  <si>
    <t>102.9</t>
  </si>
  <si>
    <t>200.00%</t>
  </si>
  <si>
    <t>Cyprus</t>
  </si>
  <si>
    <t>CYP</t>
  </si>
  <si>
    <t>198.9</t>
  </si>
  <si>
    <t>69</t>
  </si>
  <si>
    <t>-6.4 %</t>
  </si>
  <si>
    <t>-0.6 %</t>
  </si>
  <si>
    <t>100.00%</t>
  </si>
  <si>
    <t>Czech Republic</t>
  </si>
  <si>
    <t>CZE</t>
  </si>
  <si>
    <t>914.6</t>
  </si>
  <si>
    <t>3.1 %</t>
  </si>
  <si>
    <t>3.3 %</t>
  </si>
  <si>
    <t>Germany</t>
  </si>
  <si>
    <t>DEU</t>
  </si>
  <si>
    <t>176.9</t>
  </si>
  <si>
    <t>83</t>
  </si>
  <si>
    <t>4.3 %</t>
  </si>
  <si>
    <t>0.5 %</t>
  </si>
  <si>
    <t>Djibouti</t>
  </si>
  <si>
    <t>DJI</t>
  </si>
  <si>
    <t>2.9</t>
  </si>
  <si>
    <t>38</t>
  </si>
  <si>
    <t>Dominica</t>
  </si>
  <si>
    <t>DMA</t>
  </si>
  <si>
    <t>11.1</t>
  </si>
  <si>
    <t>34</t>
  </si>
  <si>
    <t>-8.8 %</t>
  </si>
  <si>
    <t>Denmark</t>
  </si>
  <si>
    <t>DNK</t>
  </si>
  <si>
    <t>108.9</t>
  </si>
  <si>
    <t>70</t>
  </si>
  <si>
    <t>6.2 %</t>
  </si>
  <si>
    <t>0.4 %</t>
  </si>
  <si>
    <t>Dominican Republic</t>
  </si>
  <si>
    <t>DOM</t>
  </si>
  <si>
    <t>176.5</t>
  </si>
  <si>
    <t>65</t>
  </si>
  <si>
    <t>16.0 %</t>
  </si>
  <si>
    <t>Algeria</t>
  </si>
  <si>
    <t>DZA</t>
  </si>
  <si>
    <t>8.1</t>
  </si>
  <si>
    <t>14.1 %</t>
  </si>
  <si>
    <t>3.5 %</t>
  </si>
  <si>
    <t>-42.86%</t>
  </si>
  <si>
    <t>Ecuador</t>
  </si>
  <si>
    <t>ECU</t>
  </si>
  <si>
    <t>98.1</t>
  </si>
  <si>
    <t>-11.0 %</t>
  </si>
  <si>
    <t>8.1 %</t>
  </si>
  <si>
    <t>Egypt</t>
  </si>
  <si>
    <t>EGY</t>
  </si>
  <si>
    <t>7.8</t>
  </si>
  <si>
    <t>8.3 %</t>
  </si>
  <si>
    <t>5.7 %</t>
  </si>
  <si>
    <t>175.00%</t>
  </si>
  <si>
    <t>Eritrea</t>
  </si>
  <si>
    <t>ERI</t>
  </si>
  <si>
    <t>10.8</t>
  </si>
  <si>
    <t>4.7 %</t>
  </si>
  <si>
    <t>Spain</t>
  </si>
  <si>
    <t>ESP</t>
  </si>
  <si>
    <t>843.1</t>
  </si>
  <si>
    <t>-12.8 %</t>
  </si>
  <si>
    <t>16.8 %</t>
  </si>
  <si>
    <t>-0.2 %</t>
  </si>
  <si>
    <t>Estonia</t>
  </si>
  <si>
    <t>EST</t>
  </si>
  <si>
    <t>570.0</t>
  </si>
  <si>
    <t>-5.2 %</t>
  </si>
  <si>
    <t>7.8 %</t>
  </si>
  <si>
    <t>0.2 %</t>
  </si>
  <si>
    <t>Ethiopia</t>
  </si>
  <si>
    <t>ETH</t>
  </si>
  <si>
    <t>7.7</t>
  </si>
  <si>
    <t>20.2 %</t>
  </si>
  <si>
    <t>12,871,469</t>
  </si>
  <si>
    <t>154.55%</t>
  </si>
  <si>
    <t>Finland</t>
  </si>
  <si>
    <t>FIN</t>
  </si>
  <si>
    <t>97.7</t>
  </si>
  <si>
    <t>50</t>
  </si>
  <si>
    <t>8.4 %</t>
  </si>
  <si>
    <t>Fiji</t>
  </si>
  <si>
    <t>FJI</t>
  </si>
  <si>
    <t>42</t>
  </si>
  <si>
    <t>-21.0 %</t>
  </si>
  <si>
    <t>-1.3 %</t>
  </si>
  <si>
    <t>France</t>
  </si>
  <si>
    <t>FRA</t>
  </si>
  <si>
    <t>423.0</t>
  </si>
  <si>
    <t>-9.8 %</t>
  </si>
  <si>
    <t>8.9 %</t>
  </si>
  <si>
    <t>Micronesia</t>
  </si>
  <si>
    <t>FSM</t>
  </si>
  <si>
    <t>Gabon</t>
  </si>
  <si>
    <t>GAB</t>
  </si>
  <si>
    <t>48.2</t>
  </si>
  <si>
    <t>-2.7 %</t>
  </si>
  <si>
    <t>United Kingdom</t>
  </si>
  <si>
    <t>GBR</t>
  </si>
  <si>
    <t>468.6</t>
  </si>
  <si>
    <t>Georgia</t>
  </si>
  <si>
    <t>GEO</t>
  </si>
  <si>
    <t>13.4</t>
  </si>
  <si>
    <t>84</t>
  </si>
  <si>
    <t>5.3 %</t>
  </si>
  <si>
    <t>-83.33%</t>
  </si>
  <si>
    <t>Ghana</t>
  </si>
  <si>
    <t>GHA</t>
  </si>
  <si>
    <t>33.5</t>
  </si>
  <si>
    <t>39</t>
  </si>
  <si>
    <t>10.6 %</t>
  </si>
  <si>
    <t>163,819</t>
  </si>
  <si>
    <t>Guinea</t>
  </si>
  <si>
    <t>GIN</t>
  </si>
  <si>
    <t>3.0</t>
  </si>
  <si>
    <t>37</t>
  </si>
  <si>
    <t>9.1 %</t>
  </si>
  <si>
    <t>Gambia</t>
  </si>
  <si>
    <t>GMB</t>
  </si>
  <si>
    <t>9.8</t>
  </si>
  <si>
    <t>36</t>
  </si>
  <si>
    <t>115,411</t>
  </si>
  <si>
    <t>Guinea-Bissau</t>
  </si>
  <si>
    <t>GNB</t>
  </si>
  <si>
    <t>12.5</t>
  </si>
  <si>
    <t>-2.9 %</t>
  </si>
  <si>
    <t>95,898</t>
  </si>
  <si>
    <t>Equatorial Guinea</t>
  </si>
  <si>
    <t>GNQ</t>
  </si>
  <si>
    <t>11.8</t>
  </si>
  <si>
    <t>Greece</t>
  </si>
  <si>
    <t>GRC</t>
  </si>
  <si>
    <t>111.6</t>
  </si>
  <si>
    <t>-9.5 %</t>
  </si>
  <si>
    <t>19.9 %</t>
  </si>
  <si>
    <t>-41.67%</t>
  </si>
  <si>
    <t>Grenada</t>
  </si>
  <si>
    <t>GRD</t>
  </si>
  <si>
    <t>0.0</t>
  </si>
  <si>
    <t>Guatemala</t>
  </si>
  <si>
    <t>GTM</t>
  </si>
  <si>
    <t>50.2</t>
  </si>
  <si>
    <t>2.1 %</t>
  </si>
  <si>
    <t>2,636,062</t>
  </si>
  <si>
    <t>Guyana</t>
  </si>
  <si>
    <t>GUY</t>
  </si>
  <si>
    <t>85.0</t>
  </si>
  <si>
    <t>26.2 %</t>
  </si>
  <si>
    <t>Honduras</t>
  </si>
  <si>
    <t>HND</t>
  </si>
  <si>
    <t>129.1</t>
  </si>
  <si>
    <t>87</t>
  </si>
  <si>
    <t>1,648,160</t>
  </si>
  <si>
    <t>271.43%</t>
  </si>
  <si>
    <t>Croatia</t>
  </si>
  <si>
    <t>HRV</t>
  </si>
  <si>
    <t>157.5</t>
  </si>
  <si>
    <t>-9.0 %</t>
  </si>
  <si>
    <t>9.3 %</t>
  </si>
  <si>
    <t>-75.00%</t>
  </si>
  <si>
    <t>Haiti</t>
  </si>
  <si>
    <t>HTI</t>
  </si>
  <si>
    <t>6.1</t>
  </si>
  <si>
    <t>29</t>
  </si>
  <si>
    <t>22.4 %</t>
  </si>
  <si>
    <t>4,355,735</t>
  </si>
  <si>
    <t>111.11%</t>
  </si>
  <si>
    <t>Hungary</t>
  </si>
  <si>
    <t>HUN</t>
  </si>
  <si>
    <t>176.4</t>
  </si>
  <si>
    <t>-6.1 %</t>
  </si>
  <si>
    <t>3.7 %</t>
  </si>
  <si>
    <t>Indonesia</t>
  </si>
  <si>
    <t>IDN</t>
  </si>
  <si>
    <t>62.3</t>
  </si>
  <si>
    <t>550.00%</t>
  </si>
  <si>
    <t>India</t>
  </si>
  <si>
    <t>IND</t>
  </si>
  <si>
    <t>62</t>
  </si>
  <si>
    <t>-10.3 %</t>
  </si>
  <si>
    <t>90.00%</t>
  </si>
  <si>
    <t>96.49%</t>
  </si>
  <si>
    <t>Ireland</t>
  </si>
  <si>
    <t>IRL</t>
  </si>
  <si>
    <t>326.5</t>
  </si>
  <si>
    <t>88</t>
  </si>
  <si>
    <t>Iran</t>
  </si>
  <si>
    <t>IRN</t>
  </si>
  <si>
    <t>112.7</t>
  </si>
  <si>
    <t>12.2 %</t>
  </si>
  <si>
    <t>30.5 %</t>
  </si>
  <si>
    <t>50.00%</t>
  </si>
  <si>
    <t>133.33%</t>
  </si>
  <si>
    <t>Iraq</t>
  </si>
  <si>
    <t>IRQ</t>
  </si>
  <si>
    <t>37.6</t>
  </si>
  <si>
    <t>-12.1 %</t>
  </si>
  <si>
    <t>95.83%</t>
  </si>
  <si>
    <t>Iceland</t>
  </si>
  <si>
    <t>ISL</t>
  </si>
  <si>
    <t>8.4</t>
  </si>
  <si>
    <t>-7.2 %</t>
  </si>
  <si>
    <t>7.2 %</t>
  </si>
  <si>
    <t>Israel</t>
  </si>
  <si>
    <t>ISR</t>
  </si>
  <si>
    <t>1,166.9</t>
  </si>
  <si>
    <t>77</t>
  </si>
  <si>
    <t>-5.9 %</t>
  </si>
  <si>
    <t>6.0 %</t>
  </si>
  <si>
    <t>-0.5 %</t>
  </si>
  <si>
    <t>Italy</t>
  </si>
  <si>
    <t>ITA</t>
  </si>
  <si>
    <t>281.5</t>
  </si>
  <si>
    <t>-10.6 %</t>
  </si>
  <si>
    <t>Jamaica</t>
  </si>
  <si>
    <t>JAM</t>
  </si>
  <si>
    <t>77.5</t>
  </si>
  <si>
    <t>-8.6 %</t>
  </si>
  <si>
    <t>350.00%</t>
  </si>
  <si>
    <t>Jordan</t>
  </si>
  <si>
    <t>JOR</t>
  </si>
  <si>
    <t>145.5</t>
  </si>
  <si>
    <t>81</t>
  </si>
  <si>
    <t>-0.3 %</t>
  </si>
  <si>
    <t>Japan</t>
  </si>
  <si>
    <t>JPN</t>
  </si>
  <si>
    <t>34.9</t>
  </si>
  <si>
    <t>-0.1 %</t>
  </si>
  <si>
    <t>Kazakhstan</t>
  </si>
  <si>
    <t>KAZ</t>
  </si>
  <si>
    <t>99.9</t>
  </si>
  <si>
    <t>Kenya</t>
  </si>
  <si>
    <t>KEN</t>
  </si>
  <si>
    <t>3.6</t>
  </si>
  <si>
    <t>1,883,258</t>
  </si>
  <si>
    <t>325.00%</t>
  </si>
  <si>
    <t>Kyrgyzstan</t>
  </si>
  <si>
    <t>KGZ</t>
  </si>
  <si>
    <t>17.8</t>
  </si>
  <si>
    <t>49</t>
  </si>
  <si>
    <t>-12.0 %</t>
  </si>
  <si>
    <t>6.6 %</t>
  </si>
  <si>
    <t>Cambodia</t>
  </si>
  <si>
    <t>KHM</t>
  </si>
  <si>
    <t>43</t>
  </si>
  <si>
    <t>Kiribati</t>
  </si>
  <si>
    <t>KIR</t>
  </si>
  <si>
    <t>-1.1 %</t>
  </si>
  <si>
    <t>1.5 %</t>
  </si>
  <si>
    <t>Saint Kitts and Nevis</t>
  </si>
  <si>
    <t>KNA</t>
  </si>
  <si>
    <t>9.5</t>
  </si>
  <si>
    <t>-18.7 %</t>
  </si>
  <si>
    <t>Korea Republic of</t>
  </si>
  <si>
    <t>KOR</t>
  </si>
  <si>
    <t>-1.9 %</t>
  </si>
  <si>
    <t>4.1 %</t>
  </si>
  <si>
    <t>155.56%</t>
  </si>
  <si>
    <t>Kuwait</t>
  </si>
  <si>
    <t>KWT</t>
  </si>
  <si>
    <t>230.9</t>
  </si>
  <si>
    <t>63</t>
  </si>
  <si>
    <t>-8.1 %</t>
  </si>
  <si>
    <t>Lao PDR</t>
  </si>
  <si>
    <t>LAO</t>
  </si>
  <si>
    <t>30</t>
  </si>
  <si>
    <t>Lebanon</t>
  </si>
  <si>
    <t>LBN</t>
  </si>
  <si>
    <t>588.1</t>
  </si>
  <si>
    <t>-25.0 %</t>
  </si>
  <si>
    <t>85.5 %</t>
  </si>
  <si>
    <t>1,300.00%</t>
  </si>
  <si>
    <t>Liberia</t>
  </si>
  <si>
    <t>LBR</t>
  </si>
  <si>
    <t>0.9</t>
  </si>
  <si>
    <t>11.9 %</t>
  </si>
  <si>
    <t>554,036</t>
  </si>
  <si>
    <t>Libya</t>
  </si>
  <si>
    <t>LBY</t>
  </si>
  <si>
    <t>128.8</t>
  </si>
  <si>
    <t>-66.7 %</t>
  </si>
  <si>
    <t>Saint Lucia</t>
  </si>
  <si>
    <t>LCA</t>
  </si>
  <si>
    <t>605.1</t>
  </si>
  <si>
    <t>-16.9 %</t>
  </si>
  <si>
    <t>Liechtenstein</t>
  </si>
  <si>
    <t>LIE</t>
  </si>
  <si>
    <t>187.6</t>
  </si>
  <si>
    <t>Sri Lanka</t>
  </si>
  <si>
    <t>LKA</t>
  </si>
  <si>
    <t>51.2</t>
  </si>
  <si>
    <t>-4.6 %</t>
  </si>
  <si>
    <t>25.00%</t>
  </si>
  <si>
    <t>Lesotho</t>
  </si>
  <si>
    <t>LSO</t>
  </si>
  <si>
    <t>81.1</t>
  </si>
  <si>
    <t>-4.8 %</t>
  </si>
  <si>
    <t>582,172</t>
  </si>
  <si>
    <t>Lithuania</t>
  </si>
  <si>
    <t>LTU</t>
  </si>
  <si>
    <t>353.3</t>
  </si>
  <si>
    <t>8.2 %</t>
  </si>
  <si>
    <t>1.3 %</t>
  </si>
  <si>
    <t>Luxembourg</t>
  </si>
  <si>
    <t>LUX</t>
  </si>
  <si>
    <t>349.3</t>
  </si>
  <si>
    <t>56</t>
  </si>
  <si>
    <t>Latvia</t>
  </si>
  <si>
    <t>LVA</t>
  </si>
  <si>
    <t>272.6</t>
  </si>
  <si>
    <t>9.0 %</t>
  </si>
  <si>
    <t>Morocco</t>
  </si>
  <si>
    <t>MAR</t>
  </si>
  <si>
    <t>24.9</t>
  </si>
  <si>
    <t>12.5 %</t>
  </si>
  <si>
    <t>-25.00%</t>
  </si>
  <si>
    <t>-50.00%</t>
  </si>
  <si>
    <t>Moldova Republic of</t>
  </si>
  <si>
    <t>MDA</t>
  </si>
  <si>
    <t>206.9</t>
  </si>
  <si>
    <t>48</t>
  </si>
  <si>
    <t>Madagascar</t>
  </si>
  <si>
    <t>MDG</t>
  </si>
  <si>
    <t>2.3</t>
  </si>
  <si>
    <t>554,511</t>
  </si>
  <si>
    <t>-16.67%</t>
  </si>
  <si>
    <t>Maldives</t>
  </si>
  <si>
    <t>MDV</t>
  </si>
  <si>
    <t>337.1</t>
  </si>
  <si>
    <t>-18.6 %</t>
  </si>
  <si>
    <t>Mexico</t>
  </si>
  <si>
    <t>MEX</t>
  </si>
  <si>
    <t>5.2 %</t>
  </si>
  <si>
    <t>3.4 %</t>
  </si>
  <si>
    <t>9.68%</t>
  </si>
  <si>
    <t>197.01%</t>
  </si>
  <si>
    <t>Marshall Islands</t>
  </si>
  <si>
    <t>MHL</t>
  </si>
  <si>
    <t>North Macedonia</t>
  </si>
  <si>
    <t>MKD</t>
  </si>
  <si>
    <t>199.5</t>
  </si>
  <si>
    <t>-5.4 %</t>
  </si>
  <si>
    <t>Mali</t>
  </si>
  <si>
    <t>MLI</t>
  </si>
  <si>
    <t>1.0</t>
  </si>
  <si>
    <t>954,938</t>
  </si>
  <si>
    <t>252.17%</t>
  </si>
  <si>
    <t>Malta</t>
  </si>
  <si>
    <t>MLT</t>
  </si>
  <si>
    <t>397.7</t>
  </si>
  <si>
    <t>4.2 %</t>
  </si>
  <si>
    <t>Myanmar</t>
  </si>
  <si>
    <t>MMR</t>
  </si>
  <si>
    <t>7.1</t>
  </si>
  <si>
    <t>4.0 %</t>
  </si>
  <si>
    <t>600.00%</t>
  </si>
  <si>
    <t>Montenegro</t>
  </si>
  <si>
    <t>MNE</t>
  </si>
  <si>
    <t>1,110.8</t>
  </si>
  <si>
    <t>Mongolia</t>
  </si>
  <si>
    <t>MNG</t>
  </si>
  <si>
    <t>13.3</t>
  </si>
  <si>
    <t>12.0 %</t>
  </si>
  <si>
    <t>5.0 %</t>
  </si>
  <si>
    <t>Mozambique</t>
  </si>
  <si>
    <t>MOZ</t>
  </si>
  <si>
    <t>38.9</t>
  </si>
  <si>
    <t>364,389</t>
  </si>
  <si>
    <t>172.73%</t>
  </si>
  <si>
    <t>Mauritania</t>
  </si>
  <si>
    <t>MRT</t>
  </si>
  <si>
    <t>3.9 %</t>
  </si>
  <si>
    <t>409,942</t>
  </si>
  <si>
    <t>Mauritius</t>
  </si>
  <si>
    <t>MUS</t>
  </si>
  <si>
    <t>2.0</t>
  </si>
  <si>
    <t>17</t>
  </si>
  <si>
    <t>-14.2 %</t>
  </si>
  <si>
    <t>2.6 %</t>
  </si>
  <si>
    <t>Malawi</t>
  </si>
  <si>
    <t>MWI</t>
  </si>
  <si>
    <t>39.9</t>
  </si>
  <si>
    <t>2,617,986</t>
  </si>
  <si>
    <t>Malaysia</t>
  </si>
  <si>
    <t>MYS</t>
  </si>
  <si>
    <t>183.6</t>
  </si>
  <si>
    <t>Namibia</t>
  </si>
  <si>
    <t>NAM</t>
  </si>
  <si>
    <t>69.9</t>
  </si>
  <si>
    <t>2.3 %</t>
  </si>
  <si>
    <t>440,610</t>
  </si>
  <si>
    <t>Niger</t>
  </si>
  <si>
    <t>NER</t>
  </si>
  <si>
    <t>1.1</t>
  </si>
  <si>
    <t>31</t>
  </si>
  <si>
    <t>4.4 %</t>
  </si>
  <si>
    <t>1,731,302</t>
  </si>
  <si>
    <t>73.33%</t>
  </si>
  <si>
    <t>Nigeria</t>
  </si>
  <si>
    <t>NGA</t>
  </si>
  <si>
    <t>8.3</t>
  </si>
  <si>
    <t>58</t>
  </si>
  <si>
    <t>-4.3 %</t>
  </si>
  <si>
    <t>12.9 %</t>
  </si>
  <si>
    <t>12,972,102</t>
  </si>
  <si>
    <t>257.81%</t>
  </si>
  <si>
    <t>Nicaragua</t>
  </si>
  <si>
    <t>NIC</t>
  </si>
  <si>
    <t>1.5</t>
  </si>
  <si>
    <t>66.67%</t>
  </si>
  <si>
    <t>Netherlands</t>
  </si>
  <si>
    <t>NLD</t>
  </si>
  <si>
    <t>317.9</t>
  </si>
  <si>
    <t>94</t>
  </si>
  <si>
    <t>5.5 %</t>
  </si>
  <si>
    <t>Norway</t>
  </si>
  <si>
    <t>NOR</t>
  </si>
  <si>
    <t>69.3</t>
  </si>
  <si>
    <t>4.5 %</t>
  </si>
  <si>
    <t>Nepal</t>
  </si>
  <si>
    <t>NPL</t>
  </si>
  <si>
    <t>8.7</t>
  </si>
  <si>
    <t>6.4 %</t>
  </si>
  <si>
    <t>-33.33%</t>
  </si>
  <si>
    <t>Nauru</t>
  </si>
  <si>
    <t>NRU</t>
  </si>
  <si>
    <t>New Zealand</t>
  </si>
  <si>
    <t>NZL</t>
  </si>
  <si>
    <t>0.7</t>
  </si>
  <si>
    <t>22</t>
  </si>
  <si>
    <t>Oman</t>
  </si>
  <si>
    <t>OMN</t>
  </si>
  <si>
    <t>52.9</t>
  </si>
  <si>
    <t>-10.0 %</t>
  </si>
  <si>
    <t>Pakistan</t>
  </si>
  <si>
    <t>PAK</t>
  </si>
  <si>
    <t>9.9</t>
  </si>
  <si>
    <t>-0.4 %</t>
  </si>
  <si>
    <t>10.7 %</t>
  </si>
  <si>
    <t>1,236,107</t>
  </si>
  <si>
    <t>72.22%</t>
  </si>
  <si>
    <t>Panama</t>
  </si>
  <si>
    <t>PAN</t>
  </si>
  <si>
    <t>351.7</t>
  </si>
  <si>
    <t>10.9 %</t>
  </si>
  <si>
    <t>Peru</t>
  </si>
  <si>
    <t>PER</t>
  </si>
  <si>
    <t>269.7</t>
  </si>
  <si>
    <t>-13.9 %</t>
  </si>
  <si>
    <t>Philippines</t>
  </si>
  <si>
    <t>PHL</t>
  </si>
  <si>
    <t>21.9</t>
  </si>
  <si>
    <t>10.4 %</t>
  </si>
  <si>
    <t>258.82%</t>
  </si>
  <si>
    <t>Palau</t>
  </si>
  <si>
    <t>PLW</t>
  </si>
  <si>
    <t>-11.4 %</t>
  </si>
  <si>
    <t>Papua New Guinea</t>
  </si>
  <si>
    <t>PNG</t>
  </si>
  <si>
    <t>0.5</t>
  </si>
  <si>
    <t>-3.3 %</t>
  </si>
  <si>
    <t>Poland</t>
  </si>
  <si>
    <t>POL</t>
  </si>
  <si>
    <t>196.4</t>
  </si>
  <si>
    <t>-3.6 %</t>
  </si>
  <si>
    <t>Korea DPR</t>
  </si>
  <si>
    <t>PRK</t>
  </si>
  <si>
    <t>Portugal</t>
  </si>
  <si>
    <t>PRT</t>
  </si>
  <si>
    <t>1,214.5</t>
  </si>
  <si>
    <t>Paraguay</t>
  </si>
  <si>
    <t>PRY</t>
  </si>
  <si>
    <t>138.4</t>
  </si>
  <si>
    <t>7.0 %</t>
  </si>
  <si>
    <t>-92.86%</t>
  </si>
  <si>
    <t>Qatar</t>
  </si>
  <si>
    <t>QAT</t>
  </si>
  <si>
    <t>179.3</t>
  </si>
  <si>
    <t>Romania</t>
  </si>
  <si>
    <t>ROU</t>
  </si>
  <si>
    <t>175.5</t>
  </si>
  <si>
    <t>7.9 %</t>
  </si>
  <si>
    <t>Russian Federation</t>
  </si>
  <si>
    <t>RUS</t>
  </si>
  <si>
    <t>167.6</t>
  </si>
  <si>
    <t>-4.1 %</t>
  </si>
  <si>
    <t>Rwanda</t>
  </si>
  <si>
    <t>RWA</t>
  </si>
  <si>
    <t>27.5</t>
  </si>
  <si>
    <t>Saudi Arabia</t>
  </si>
  <si>
    <t>SAU</t>
  </si>
  <si>
    <t>11.4</t>
  </si>
  <si>
    <t>Sudan</t>
  </si>
  <si>
    <t>SDN</t>
  </si>
  <si>
    <t>2.6</t>
  </si>
  <si>
    <t>-8.4 %</t>
  </si>
  <si>
    <t>25.0 %</t>
  </si>
  <si>
    <t>141.6 %</t>
  </si>
  <si>
    <t>6,380,766</t>
  </si>
  <si>
    <t>Senegal</t>
  </si>
  <si>
    <t>SEN</t>
  </si>
  <si>
    <t>23.1</t>
  </si>
  <si>
    <t>-0.7 %</t>
  </si>
  <si>
    <t>849,698</t>
  </si>
  <si>
    <t>Singapore</t>
  </si>
  <si>
    <t>SGP</t>
  </si>
  <si>
    <t>6.7</t>
  </si>
  <si>
    <t>Solomon Islands</t>
  </si>
  <si>
    <t>SLB</t>
  </si>
  <si>
    <t>No testing policy</t>
  </si>
  <si>
    <t>Sierra Leone</t>
  </si>
  <si>
    <t>SLE</t>
  </si>
  <si>
    <t>-3.1 %</t>
  </si>
  <si>
    <t>15.7 %</t>
  </si>
  <si>
    <t>1,359,363</t>
  </si>
  <si>
    <t>El Salvador</t>
  </si>
  <si>
    <t>SLV</t>
  </si>
  <si>
    <t>49.2</t>
  </si>
  <si>
    <t>9.4 %</t>
  </si>
  <si>
    <t>514.29%</t>
  </si>
  <si>
    <t>Somalia</t>
  </si>
  <si>
    <t>SOM</t>
  </si>
  <si>
    <t>2,105,000</t>
  </si>
  <si>
    <t>139.80%</t>
  </si>
  <si>
    <t>Serbia</t>
  </si>
  <si>
    <t>SRB</t>
  </si>
  <si>
    <t>348.6</t>
  </si>
  <si>
    <t>-2.5 %</t>
  </si>
  <si>
    <t>South Sudan</t>
  </si>
  <si>
    <t>SSD</t>
  </si>
  <si>
    <t>7.4</t>
  </si>
  <si>
    <t>27.1 %</t>
  </si>
  <si>
    <t>6,480,000</t>
  </si>
  <si>
    <t>109.68%</t>
  </si>
  <si>
    <t>Major hotspot</t>
  </si>
  <si>
    <t>Sao Tome and Principe</t>
  </si>
  <si>
    <t>STP</t>
  </si>
  <si>
    <t>69.8</t>
  </si>
  <si>
    <t>Suriname</t>
  </si>
  <si>
    <t>SUR</t>
  </si>
  <si>
    <t>99.4</t>
  </si>
  <si>
    <t>-13.1 %</t>
  </si>
  <si>
    <t>11.2 %</t>
  </si>
  <si>
    <t>49.8 %</t>
  </si>
  <si>
    <t>Slovakia</t>
  </si>
  <si>
    <t>SVK</t>
  </si>
  <si>
    <t>496.4</t>
  </si>
  <si>
    <t>46</t>
  </si>
  <si>
    <t>Slovenia</t>
  </si>
  <si>
    <t>SVN</t>
  </si>
  <si>
    <t>762.2</t>
  </si>
  <si>
    <t>Sweden</t>
  </si>
  <si>
    <t>SWE</t>
  </si>
  <si>
    <t>394.1</t>
  </si>
  <si>
    <t>-4.7 %</t>
  </si>
  <si>
    <t>8.7 %</t>
  </si>
  <si>
    <t>Eswatini</t>
  </si>
  <si>
    <t>SWZ</t>
  </si>
  <si>
    <t>283.9</t>
  </si>
  <si>
    <t>-3.5 %</t>
  </si>
  <si>
    <t>366,260</t>
  </si>
  <si>
    <t>Seychelles</t>
  </si>
  <si>
    <t>SYC</t>
  </si>
  <si>
    <t>454.3</t>
  </si>
  <si>
    <t>-13.8 %</t>
  </si>
  <si>
    <t>Syria</t>
  </si>
  <si>
    <t>SYR</t>
  </si>
  <si>
    <t>5.0</t>
  </si>
  <si>
    <t>54</t>
  </si>
  <si>
    <t>164.95%</t>
  </si>
  <si>
    <t>Chad</t>
  </si>
  <si>
    <t>TCD</t>
  </si>
  <si>
    <t>2.1</t>
  </si>
  <si>
    <t>1,148,996</t>
  </si>
  <si>
    <t>Togo</t>
  </si>
  <si>
    <t>TGO</t>
  </si>
  <si>
    <t>10.2</t>
  </si>
  <si>
    <t>74,251</t>
  </si>
  <si>
    <t>Thailand</t>
  </si>
  <si>
    <t>THA</t>
  </si>
  <si>
    <t>14.2</t>
  </si>
  <si>
    <t>300.00%</t>
  </si>
  <si>
    <t>14.29%</t>
  </si>
  <si>
    <t>Tajikistan</t>
  </si>
  <si>
    <t>TJK</t>
  </si>
  <si>
    <t>Turkmenistan</t>
  </si>
  <si>
    <t>TKM</t>
  </si>
  <si>
    <t>Timor-Leste</t>
  </si>
  <si>
    <t>TLS</t>
  </si>
  <si>
    <t>Tonga</t>
  </si>
  <si>
    <t>TON</t>
  </si>
  <si>
    <t>Trinidad and Tobago</t>
  </si>
  <si>
    <t>TTO</t>
  </si>
  <si>
    <t>9.0</t>
  </si>
  <si>
    <t>-5.6 %</t>
  </si>
  <si>
    <t>333.33%</t>
  </si>
  <si>
    <t>Tunisia</t>
  </si>
  <si>
    <t>TUN</t>
  </si>
  <si>
    <t>157.8</t>
  </si>
  <si>
    <t>-66.67%</t>
  </si>
  <si>
    <t>Turkey</t>
  </si>
  <si>
    <t>TUR</t>
  </si>
  <si>
    <t>124.2</t>
  </si>
  <si>
    <t>14.6 %</t>
  </si>
  <si>
    <t>-41.18%</t>
  </si>
  <si>
    <t>78.95%</t>
  </si>
  <si>
    <t>Tuvalu</t>
  </si>
  <si>
    <t>TUV</t>
  </si>
  <si>
    <t>Tanzania</t>
  </si>
  <si>
    <t>TZA</t>
  </si>
  <si>
    <t>6</t>
  </si>
  <si>
    <t>488,661</t>
  </si>
  <si>
    <t>Uganda</t>
  </si>
  <si>
    <t>UGA</t>
  </si>
  <si>
    <t>2,002,737</t>
  </si>
  <si>
    <t>39.13%</t>
  </si>
  <si>
    <t>Ukraine</t>
  </si>
  <si>
    <t>UKR</t>
  </si>
  <si>
    <t>119.7</t>
  </si>
  <si>
    <t>206.30%</t>
  </si>
  <si>
    <t>Uruguay</t>
  </si>
  <si>
    <t>URY</t>
  </si>
  <si>
    <t>219.8</t>
  </si>
  <si>
    <t>10.0 %</t>
  </si>
  <si>
    <t>United States of America</t>
  </si>
  <si>
    <t>USA</t>
  </si>
  <si>
    <t>520.1</t>
  </si>
  <si>
    <t>Uzbekistan</t>
  </si>
  <si>
    <t>UZB</t>
  </si>
  <si>
    <t>40</t>
  </si>
  <si>
    <t>13.0 %</t>
  </si>
  <si>
    <t>Saint Vincent and the Grenadines</t>
  </si>
  <si>
    <t>VCT</t>
  </si>
  <si>
    <t>485.6</t>
  </si>
  <si>
    <t>Venezuela</t>
  </si>
  <si>
    <t>VEN</t>
  </si>
  <si>
    <t>22.5</t>
  </si>
  <si>
    <t>6,500.0 %</t>
  </si>
  <si>
    <t>Viet Nam</t>
  </si>
  <si>
    <t>VNM</t>
  </si>
  <si>
    <t>Vanuatu</t>
  </si>
  <si>
    <t>VUT</t>
  </si>
  <si>
    <t>Samoa</t>
  </si>
  <si>
    <t>WSM</t>
  </si>
  <si>
    <t>Yemen</t>
  </si>
  <si>
    <t>YEM</t>
  </si>
  <si>
    <t>26.4 %</t>
  </si>
  <si>
    <t>13,479,500</t>
  </si>
  <si>
    <t>South Africa</t>
  </si>
  <si>
    <t>ZAF</t>
  </si>
  <si>
    <t>107.8</t>
  </si>
  <si>
    <t>-8.0 %</t>
  </si>
  <si>
    <t>37.0 %</t>
  </si>
  <si>
    <t>700.00%</t>
  </si>
  <si>
    <t>Zambia</t>
  </si>
  <si>
    <t>ZMB</t>
  </si>
  <si>
    <t>92.3</t>
  </si>
  <si>
    <t>14.5 %</t>
  </si>
  <si>
    <t>Zimbabwe</t>
  </si>
  <si>
    <t>ZWE</t>
  </si>
  <si>
    <t>22.1</t>
  </si>
  <si>
    <t>-10.4 %</t>
  </si>
  <si>
    <t>622.8 %</t>
  </si>
  <si>
    <t>3,380,232</t>
  </si>
  <si>
    <t>F Proteus Score</t>
  </si>
  <si>
    <t>F Proteus Score Norm</t>
  </si>
  <si>
    <t>F Admin Code</t>
  </si>
  <si>
    <t>F Year Month</t>
  </si>
  <si>
    <t>F Year</t>
  </si>
  <si>
    <t>F Month</t>
  </si>
  <si>
    <t>F Pop Source</t>
  </si>
  <si>
    <t>F Countrypop</t>
  </si>
  <si>
    <t>F Totalipc3plusabsfor</t>
  </si>
  <si>
    <t>F Totalipc3pluspercfor</t>
  </si>
  <si>
    <t>F Totalipc4plusabsfor</t>
  </si>
  <si>
    <t>F Totalipc4pluspercfor</t>
  </si>
  <si>
    <t>F Totalipc3plusabsnow</t>
  </si>
  <si>
    <t>F Totalipc3pluspercnow</t>
  </si>
  <si>
    <t>F Totalipc4plusabsnow</t>
  </si>
  <si>
    <t>F Totalipc4pluspercnow</t>
  </si>
  <si>
    <t>F Pctchangeipc3for</t>
  </si>
  <si>
    <t>F Pctchangeipc4for</t>
  </si>
  <si>
    <t>F Pctchangeipc3now</t>
  </si>
  <si>
    <t>F Pctchangeipc4now</t>
  </si>
  <si>
    <t>F Diffactfor</t>
  </si>
  <si>
    <t>F Fshighrisk</t>
  </si>
  <si>
    <t>F Max Ipc</t>
  </si>
  <si>
    <t>F Fews Crm Norm</t>
  </si>
  <si>
    <t>F Fpv Alt</t>
  </si>
  <si>
    <t>F Apr</t>
  </si>
  <si>
    <t>F May</t>
  </si>
  <si>
    <t>F June</t>
  </si>
  <si>
    <t>F Fpv</t>
  </si>
  <si>
    <t>F Fpv Rating</t>
  </si>
  <si>
    <t>F Fao Wfp Warning</t>
  </si>
  <si>
    <t>2020_10</t>
  </si>
  <si>
    <t>GPW Version 4 Revision 11 (2018)</t>
  </si>
  <si>
    <t>Not high risk</t>
  </si>
  <si>
    <t>Democratic Republic of Congo</t>
  </si>
  <si>
    <t>High risk</t>
  </si>
  <si>
    <t>Fr Fcs Normalised</t>
  </si>
  <si>
    <t>Fr Reign Normalised</t>
  </si>
  <si>
    <t>Fr Displaced Unhcr Normalised</t>
  </si>
  <si>
    <t>Fr Brd Normalised</t>
  </si>
  <si>
    <t>Fr Overall Conflict Risk Score</t>
  </si>
  <si>
    <t>M Fuel Imports Perc</t>
  </si>
  <si>
    <t>M Food Imports Perc</t>
  </si>
  <si>
    <t>M Travel Tourism Perc</t>
  </si>
  <si>
    <t>M Remittance Perc</t>
  </si>
  <si>
    <t>M Reserves</t>
  </si>
  <si>
    <t>M Oda Perc</t>
  </si>
  <si>
    <t>M Gsavings Perc</t>
  </si>
  <si>
    <t>M Economic Dependence Score</t>
  </si>
  <si>
    <t>M Financial Resilience Score</t>
  </si>
  <si>
    <t>M Economic And Financial Score</t>
  </si>
  <si>
    <t>M Economic And Financial Score Norm</t>
  </si>
  <si>
    <t>M Gdp Wb 2017</t>
  </si>
  <si>
    <t>M Gdp Wb 2018</t>
  </si>
  <si>
    <t>M Gdp Wb 2019</t>
  </si>
  <si>
    <t>M Gdp Wb 2020</t>
  </si>
  <si>
    <t>M Gdp Wb 2021</t>
  </si>
  <si>
    <t>M Gdp Wb 2019minus2020</t>
  </si>
  <si>
    <t>M Gdp Imf 2019</t>
  </si>
  <si>
    <t>M Gdp Imf 2020</t>
  </si>
  <si>
    <t>M Gdp Imf 2021</t>
  </si>
  <si>
    <t>M Gdp Imf 2019minus2020</t>
  </si>
  <si>
    <t>M Gdp Wb 2019minus2020 Norm</t>
  </si>
  <si>
    <t>M Gdp Imf 2019minus2020 Norm</t>
  </si>
  <si>
    <t>M Wb Gdp 20 21 Norm</t>
  </si>
  <si>
    <t>M Imf Gdp Diff Norm</t>
  </si>
  <si>
    <t>M Spillover.risks.from.the.external.environment.outside.the.region</t>
  </si>
  <si>
    <t>M Macroeconomic.risks</t>
  </si>
  <si>
    <t>M Banking.risks</t>
  </si>
  <si>
    <t>M Public.sector.risks</t>
  </si>
  <si>
    <t>M Corporate.sector.risks</t>
  </si>
  <si>
    <t>M Household.risks</t>
  </si>
  <si>
    <t>M Market.and.liquidity.risks</t>
  </si>
  <si>
    <t>M Monetary.and.financial.conditions</t>
  </si>
  <si>
    <t>M Risk.appetite</t>
  </si>
  <si>
    <t>M Macrofin Risk</t>
  </si>
  <si>
    <t>M Macrofin Risk Norm</t>
  </si>
  <si>
    <t>M Eiu Score</t>
  </si>
  <si>
    <t>M Overall.evaluation 3</t>
  </si>
  <si>
    <t>M Eiu Score 12m</t>
  </si>
  <si>
    <t>M Eiu 3m Change</t>
  </si>
  <si>
    <t>M Eiu 12m Change</t>
  </si>
  <si>
    <t>M Eiu Score Norm</t>
  </si>
  <si>
    <t>M Eiu 12m Change Norm</t>
  </si>
  <si>
    <t>M Eiu Score 12m Norm</t>
  </si>
  <si>
    <t>M Cvi Risk</t>
  </si>
  <si>
    <t>M Cvi Risk Norm</t>
  </si>
  <si>
    <t>3</t>
  </si>
  <si>
    <t>-3</t>
  </si>
  <si>
    <t>4.5</t>
  </si>
  <si>
    <t>-1.5</t>
  </si>
  <si>
    <t>-1.4</t>
  </si>
  <si>
    <t>-5</t>
  </si>
  <si>
    <t>-3.5</t>
  </si>
  <si>
    <t>3.3</t>
  </si>
  <si>
    <t>-2.2</t>
  </si>
  <si>
    <t>-5.7</t>
  </si>
  <si>
    <t>4.4</t>
  </si>
  <si>
    <t>7.6</t>
  </si>
  <si>
    <t>4.8</t>
  </si>
  <si>
    <t>5.3</t>
  </si>
  <si>
    <t>-10</t>
  </si>
  <si>
    <t>1.8</t>
  </si>
  <si>
    <t>-6.7</t>
  </si>
  <si>
    <t>1.6</t>
  </si>
  <si>
    <t>-7</t>
  </si>
  <si>
    <t>-5.5</t>
  </si>
  <si>
    <t>4.2</t>
  </si>
  <si>
    <t>-6.9</t>
  </si>
  <si>
    <t>4.6</t>
  </si>
  <si>
    <t>6.4</t>
  </si>
  <si>
    <t>5.7</t>
  </si>
  <si>
    <t>7.9</t>
  </si>
  <si>
    <t>3.4</t>
  </si>
  <si>
    <t>-4</t>
  </si>
  <si>
    <t>-3.6</t>
  </si>
  <si>
    <t>-8.3</t>
  </si>
  <si>
    <t>2.7</t>
  </si>
  <si>
    <t>3.5</t>
  </si>
  <si>
    <t>1.2</t>
  </si>
  <si>
    <t>-6</t>
  </si>
  <si>
    <t>-12</t>
  </si>
  <si>
    <t>2.8</t>
  </si>
  <si>
    <t>-2.9</t>
  </si>
  <si>
    <t>-5.3</t>
  </si>
  <si>
    <t>-0.1</t>
  </si>
  <si>
    <t>-7.6</t>
  </si>
  <si>
    <t>3.9</t>
  </si>
  <si>
    <t>-5.4</t>
  </si>
  <si>
    <t>6.8</t>
  </si>
  <si>
    <t>4</t>
  </si>
  <si>
    <t>-6.2</t>
  </si>
  <si>
    <t>-4.5</t>
  </si>
  <si>
    <t>9.2</t>
  </si>
  <si>
    <t>3.7</t>
  </si>
  <si>
    <t>-1.2</t>
  </si>
  <si>
    <t>4.1</t>
  </si>
  <si>
    <t>-0.9</t>
  </si>
  <si>
    <t>-2.3</t>
  </si>
  <si>
    <t>-2.4</t>
  </si>
  <si>
    <t>3.1</t>
  </si>
  <si>
    <t>5.5</t>
  </si>
  <si>
    <t>-3.3</t>
  </si>
  <si>
    <t>3.2</t>
  </si>
  <si>
    <t>-6.5</t>
  </si>
  <si>
    <t>5.6</t>
  </si>
  <si>
    <t>7.5</t>
  </si>
  <si>
    <t>0.6</t>
  </si>
  <si>
    <t>5.2</t>
  </si>
  <si>
    <t>8.5</t>
  </si>
  <si>
    <t>-4.7</t>
  </si>
  <si>
    <t>2.4</t>
  </si>
  <si>
    <t>5.1</t>
  </si>
  <si>
    <t>-1</t>
  </si>
  <si>
    <t>-5.2</t>
  </si>
  <si>
    <t>6.2</t>
  </si>
  <si>
    <t>-6.3</t>
  </si>
  <si>
    <t>5.9</t>
  </si>
  <si>
    <t>-8</t>
  </si>
  <si>
    <t>4.3</t>
  </si>
  <si>
    <t>-7.5</t>
  </si>
  <si>
    <t>9</t>
  </si>
  <si>
    <t>-5.8</t>
  </si>
  <si>
    <t>7</t>
  </si>
  <si>
    <t>-7.2</t>
  </si>
  <si>
    <t>2.5</t>
  </si>
  <si>
    <t>6.5</t>
  </si>
  <si>
    <t>-6.1</t>
  </si>
  <si>
    <t>-2</t>
  </si>
  <si>
    <t>52.8</t>
  </si>
  <si>
    <t>6.3</t>
  </si>
  <si>
    <t>-9</t>
  </si>
  <si>
    <t>-3.1</t>
  </si>
  <si>
    <t>5</t>
  </si>
  <si>
    <t>8.2</t>
  </si>
  <si>
    <t>-6.8</t>
  </si>
  <si>
    <t>7.2</t>
  </si>
  <si>
    <t>-9.1</t>
  </si>
  <si>
    <t>-5.6</t>
  </si>
  <si>
    <t>-3.7</t>
  </si>
  <si>
    <t>-2.5</t>
  </si>
  <si>
    <t>-1.6</t>
  </si>
  <si>
    <t>-8.1</t>
  </si>
  <si>
    <t>-1.1</t>
  </si>
  <si>
    <t>no data</t>
  </si>
  <si>
    <t>-58.7</t>
  </si>
  <si>
    <t>80.7</t>
  </si>
  <si>
    <t>1.7</t>
  </si>
  <si>
    <t>-8.5</t>
  </si>
  <si>
    <t>-0.5</t>
  </si>
  <si>
    <t>-4.9</t>
  </si>
  <si>
    <t>-8.6</t>
  </si>
  <si>
    <t>0.4</t>
  </si>
  <si>
    <t>13.2</t>
  </si>
  <si>
    <t>-6.6</t>
  </si>
  <si>
    <t>-0.2</t>
  </si>
  <si>
    <t>-2.8</t>
  </si>
  <si>
    <t>-1.7</t>
  </si>
  <si>
    <t>-3.4</t>
  </si>
  <si>
    <t>-3.9</t>
  </si>
  <si>
    <t>-11.9</t>
  </si>
  <si>
    <t>14.4</t>
  </si>
  <si>
    <t>-4.6</t>
  </si>
  <si>
    <t>-4.3</t>
  </si>
  <si>
    <t>10.1</t>
  </si>
  <si>
    <t>-2.1</t>
  </si>
  <si>
    <t>11.3</t>
  </si>
  <si>
    <t>5.4</t>
  </si>
  <si>
    <t>-10.8</t>
  </si>
  <si>
    <t>-7.7</t>
  </si>
  <si>
    <t>-5.9</t>
  </si>
  <si>
    <t>-35</t>
  </si>
  <si>
    <t>-15</t>
  </si>
  <si>
    <t>-7.4</t>
  </si>
  <si>
    <t>Nh Gdac Date</t>
  </si>
  <si>
    <t>Nh Gdac Hazard Status</t>
  </si>
  <si>
    <t>Nh Gdac Hazard Severity</t>
  </si>
  <si>
    <t>Nh Gdac Hazard Type</t>
  </si>
  <si>
    <t>Nh Gdac Hazard Score Norm</t>
  </si>
  <si>
    <t>Nh Hazard Score</t>
  </si>
  <si>
    <t>Nh Hazard Score Norm</t>
  </si>
  <si>
    <t>Nh Seasonal Risk Norm</t>
  </si>
  <si>
    <t>Nh Locust Norm</t>
  </si>
  <si>
    <t>2020</t>
  </si>
  <si>
    <t>active</t>
  </si>
  <si>
    <t>orange</t>
  </si>
  <si>
    <t>drought</t>
  </si>
  <si>
    <t>2021-02-15</t>
  </si>
  <si>
    <t>past</t>
  </si>
  <si>
    <t>green</t>
  </si>
  <si>
    <t>volcano</t>
  </si>
  <si>
    <t>2021-02-22</t>
  </si>
  <si>
    <t>earthquake</t>
  </si>
  <si>
    <t>2021-02-09</t>
  </si>
  <si>
    <t>flood</t>
  </si>
  <si>
    <t>2021-02-19</t>
  </si>
  <si>
    <t>2021-02-07</t>
  </si>
  <si>
    <t>2021-02-20</t>
  </si>
  <si>
    <t>Rank</t>
  </si>
  <si>
    <t>S Ocha Added.social.protection.coverage</t>
  </si>
  <si>
    <t>S Ocha Added.sp.adequacy</t>
  </si>
  <si>
    <t>S Ocha Added.social.protection.coverage.1</t>
  </si>
  <si>
    <t>S Ocha Added.sp.adequacy.1</t>
  </si>
  <si>
    <t>S Ocha Sp.index</t>
  </si>
  <si>
    <t>S Ocha Population.density</t>
  </si>
  <si>
    <t>S Ocha Population.living.in.urban.areas</t>
  </si>
  <si>
    <t>S Ocha Population.living.in.slums....Of.urban.population.</t>
  </si>
  <si>
    <t>S Ocha Household.size</t>
  </si>
  <si>
    <t>S Ocha Idp..Refugees.and.returnees...Percentage.of.population.</t>
  </si>
  <si>
    <t>S Ocha Displaced.population</t>
  </si>
  <si>
    <t>S Ocha Density.index</t>
  </si>
  <si>
    <t>S Ocha Access.to.cities</t>
  </si>
  <si>
    <t>S Ocha Internal.connectedness..Road.density.</t>
  </si>
  <si>
    <t>S Ocha Movement</t>
  </si>
  <si>
    <t>S Ocha Transmission</t>
  </si>
  <si>
    <t>S Ocha Human.development.index</t>
  </si>
  <si>
    <t>S Ocha Multidimensional.poverty.index</t>
  </si>
  <si>
    <t>S Ocha Poverty</t>
  </si>
  <si>
    <t>S Ocha Poverty.index</t>
  </si>
  <si>
    <t>S Ocha Food.insecurity.as.percenatge.of.population</t>
  </si>
  <si>
    <t>S Ocha Food.insecurity.score</t>
  </si>
  <si>
    <t>S Ocha Population.age.65.....</t>
  </si>
  <si>
    <t>S Ocha Demography</t>
  </si>
  <si>
    <t>S Ocha Probability.....Of.dying.between.30.70.From.cardiovasular.disease..Cancer..Diabetes.or.chronic.respiratory.disease</t>
  </si>
  <si>
    <t>S Ocha Known.co.mortality.risk.factors</t>
  </si>
  <si>
    <t>S Ocha Diabetes.prevalance</t>
  </si>
  <si>
    <t>S Ocha Diabetes.prevalence</t>
  </si>
  <si>
    <t>S Ocha Age.standardized.prevalence.of.cvd</t>
  </si>
  <si>
    <t>S Ocha Incidence.of.tuberculosis</t>
  </si>
  <si>
    <t>S Ocha Comorbidities</t>
  </si>
  <si>
    <t>S Ocha Risk.factors</t>
  </si>
  <si>
    <t>S Ocha Covid.vulnerability.index</t>
  </si>
  <si>
    <t>S Ocha Covid.vulnerability.index Norm</t>
  </si>
  <si>
    <t>S Inform Vul</t>
  </si>
  <si>
    <t>S Inform Vul Norm</t>
  </si>
  <si>
    <t>S Gdp Change.value</t>
  </si>
  <si>
    <t>S Gdp Change.rating</t>
  </si>
  <si>
    <t>S Unemployment.value</t>
  </si>
  <si>
    <t>S Unemployment.rating</t>
  </si>
  <si>
    <t>S Income Support.value</t>
  </si>
  <si>
    <t>S Income Support.rating</t>
  </si>
  <si>
    <t>S Gdp Change.rating Norm</t>
  </si>
  <si>
    <t>S Unemployment.rating Norm</t>
  </si>
  <si>
    <t>S Income Support.rating Crm Norm</t>
  </si>
  <si>
    <t>S Indicator</t>
  </si>
  <si>
    <t>S Label</t>
  </si>
  <si>
    <t>S Y2017</t>
  </si>
  <si>
    <t>S Y2018</t>
  </si>
  <si>
    <t>S Y2019</t>
  </si>
  <si>
    <t>S Y2020</t>
  </si>
  <si>
    <t>S Y2021</t>
  </si>
  <si>
    <t>S Y2022</t>
  </si>
  <si>
    <t>S Runtime</t>
  </si>
  <si>
    <t>S Region</t>
  </si>
  <si>
    <t>S Population</t>
  </si>
  <si>
    <t>S Pov Prop 21 20</t>
  </si>
  <si>
    <t>S Pov Prop 20 19</t>
  </si>
  <si>
    <t>S Pov Prop 21 20 Norm</t>
  </si>
  <si>
    <t>S Pov Prop 20 19 Norm</t>
  </si>
  <si>
    <t>S Pov Comb Norm</t>
  </si>
  <si>
    <t>S Subject.descriptor</t>
  </si>
  <si>
    <t>S Subject.notes</t>
  </si>
  <si>
    <t>S Units</t>
  </si>
  <si>
    <t>S Scale</t>
  </si>
  <si>
    <t>S X2017</t>
  </si>
  <si>
    <t>S X2018</t>
  </si>
  <si>
    <t>S X2019</t>
  </si>
  <si>
    <t>S X2020</t>
  </si>
  <si>
    <t>S X2021</t>
  </si>
  <si>
    <t>S X2022</t>
  </si>
  <si>
    <t>S X2023</t>
  </si>
  <si>
    <t>S X2024</t>
  </si>
  <si>
    <t>S X2025</t>
  </si>
  <si>
    <t>S Change.in.unemployement.rate.2019.To.2020</t>
  </si>
  <si>
    <t>S Change Unemp 21</t>
  </si>
  <si>
    <t>S Change Unemp 20</t>
  </si>
  <si>
    <t>S Change Unemp 21 Norm</t>
  </si>
  <si>
    <t>S Change Unemp 20 Norm</t>
  </si>
  <si>
    <t>S Change Unemp Norm</t>
  </si>
  <si>
    <t>S Household.risks</t>
  </si>
  <si>
    <t>S ..Of.respondents.currently.employed.working</t>
  </si>
  <si>
    <t>S ..Of.respondents.who.have.stopped.working.since.covid.19.Outbreak</t>
  </si>
  <si>
    <t>S ..Able.to.access..Staple.food.item..In.the.past.7.Days.when.needed....Any.staple.food</t>
  </si>
  <si>
    <t>S ..Of.hhs.that.saw.reduced.their.remittances</t>
  </si>
  <si>
    <t>S ..Of.hhs.not.able.to.perform.normal.farming.activities..Crop..Livestock..Fishing.</t>
  </si>
  <si>
    <t>S ..Of.hhs.able.to.pay.rent.for.the.next.month</t>
  </si>
  <si>
    <t>S ..Of.respondents.who.were.not.able.to.work.as.usual.last.week</t>
  </si>
  <si>
    <t>S Experienced.decrease.in.wage.income....Hhs.with.wage.income.as.a.source.of.livelihood.in.the.past.12.Months.</t>
  </si>
  <si>
    <t>S ..Of.hhs.that.experienced.change.in.total.income...Decrease</t>
  </si>
  <si>
    <t>S ..Of.hhs.used.money.saved.for.emergencies.to.cover.basic.living.expenses</t>
  </si>
  <si>
    <t>S ..Of.respondents.received.government.assistance.when.experiencing.labor.income.job.loss</t>
  </si>
  <si>
    <t>S ..Of.hhs.sold.assets.such.as.property.during.the.pandemic.in.order.to.pay.for.basic.living.expenses</t>
  </si>
  <si>
    <t>S In.the.last.30.Days..You.skipped.a.meal.because.there.was.not.enough.money.or.other.resources.for.food....</t>
  </si>
  <si>
    <t>S In.the.last.30.Days..Your.household.worried.about.running.out.of.food.because.of.a.lack.of.money.or.other.resources....</t>
  </si>
  <si>
    <t>S ..Of.respondents.who.have.stopped.working.since.covid.19.Outbreak Norm</t>
  </si>
  <si>
    <t>S ..Able.to.access..Staple.food.item..In.the.past.7.Days.when.needed....Any.staple.food Norm</t>
  </si>
  <si>
    <t>S ..Of.hhs.used.money.saved.for.emergencies.to.cover.basic.living.expenses Norm</t>
  </si>
  <si>
    <t>S ..Of.respondents.received.government.assistance.when.experiencing.labor.income.job.loss Norm</t>
  </si>
  <si>
    <t>S In.the.last.30.Days..You.skipped.a.meal.because.there.was.not.enough.money.or.other.resources.for.food.... Norm</t>
  </si>
  <si>
    <t>S Phone Average Index</t>
  </si>
  <si>
    <t>S Phone Average Index Norm</t>
  </si>
  <si>
    <t>Unemployment rate</t>
  </si>
  <si>
    <t>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t>
  </si>
  <si>
    <t>Percent of total labor force</t>
  </si>
  <si>
    <t>AGOPOV1</t>
  </si>
  <si>
    <t>International poverty rate ($1.9 in 2011 PPP)</t>
  </si>
  <si>
    <t>16:43:10  5 Oct 2020</t>
  </si>
  <si>
    <t>SSA</t>
  </si>
  <si>
    <t>ARGPOV1</t>
  </si>
  <si>
    <t>LAC</t>
  </si>
  <si>
    <t>1.156</t>
  </si>
  <si>
    <t>ARMPOV1</t>
  </si>
  <si>
    <t>ECA</t>
  </si>
  <si>
    <t>3.373</t>
  </si>
  <si>
    <t>1.75</t>
  </si>
  <si>
    <t>1.693</t>
  </si>
  <si>
    <t>BDIPOV1</t>
  </si>
  <si>
    <t>0.778</t>
  </si>
  <si>
    <t>BENPOV1</t>
  </si>
  <si>
    <t>BFAPOV1</t>
  </si>
  <si>
    <t>BGDPOV1</t>
  </si>
  <si>
    <t>SAR</t>
  </si>
  <si>
    <t>BGRPOV1</t>
  </si>
  <si>
    <t>0.897</t>
  </si>
  <si>
    <t>14.755</t>
  </si>
  <si>
    <t>1.108</t>
  </si>
  <si>
    <t>16.059</t>
  </si>
  <si>
    <t>BOLPOV1</t>
  </si>
  <si>
    <t>BRAPOV1</t>
  </si>
  <si>
    <t>1.446</t>
  </si>
  <si>
    <t>4.496</t>
  </si>
  <si>
    <t>BTNPOV1</t>
  </si>
  <si>
    <t>#VALUE!</t>
  </si>
  <si>
    <t>BWAPOV1</t>
  </si>
  <si>
    <t>CAFPOV1</t>
  </si>
  <si>
    <t>4.081</t>
  </si>
  <si>
    <t>0.905</t>
  </si>
  <si>
    <t>CHLPOV1</t>
  </si>
  <si>
    <t>4.218</t>
  </si>
  <si>
    <t>CHNPOV1</t>
  </si>
  <si>
    <t>EAP</t>
  </si>
  <si>
    <t>0.18</t>
  </si>
  <si>
    <t>CIVPOV1</t>
  </si>
  <si>
    <t>CMRPOV1</t>
  </si>
  <si>
    <t>CODPOV1</t>
  </si>
  <si>
    <t>COGPOV1</t>
  </si>
  <si>
    <t>COLPOV1</t>
  </si>
  <si>
    <t>6.772</t>
  </si>
  <si>
    <t>COMPOV1</t>
  </si>
  <si>
    <t>CPVPOV1</t>
  </si>
  <si>
    <t>CRIPOV1</t>
  </si>
  <si>
    <t>9.583</t>
  </si>
  <si>
    <t>0.928</t>
  </si>
  <si>
    <t>1.099</t>
  </si>
  <si>
    <t>1.134</t>
  </si>
  <si>
    <t>DJIPOV1</t>
  </si>
  <si>
    <t>MNA</t>
  </si>
  <si>
    <t>1.158</t>
  </si>
  <si>
    <t>DOMPOV1</t>
  </si>
  <si>
    <t>9.833</t>
  </si>
  <si>
    <t>2.72</t>
  </si>
  <si>
    <t>ECUPOV1</t>
  </si>
  <si>
    <t>4.234</t>
  </si>
  <si>
    <t>EGYPOV1</t>
  </si>
  <si>
    <t>-0.316</t>
  </si>
  <si>
    <t>3.352</t>
  </si>
  <si>
    <t>ETHPOV1</t>
  </si>
  <si>
    <t>1.585</t>
  </si>
  <si>
    <t>8.851</t>
  </si>
  <si>
    <t>0.412</t>
  </si>
  <si>
    <t>GABPOV1</t>
  </si>
  <si>
    <t>1.55</t>
  </si>
  <si>
    <t>GEOPOV1</t>
  </si>
  <si>
    <t>GHAPOV1</t>
  </si>
  <si>
    <t>GINPOV1</t>
  </si>
  <si>
    <t>GMBPOV1</t>
  </si>
  <si>
    <t>GNBPOV1</t>
  </si>
  <si>
    <t>2.551</t>
  </si>
  <si>
    <t>GTMPOV1</t>
  </si>
  <si>
    <t>HNDPOV1</t>
  </si>
  <si>
    <t>1.604</t>
  </si>
  <si>
    <t>HRVPOV1</t>
  </si>
  <si>
    <t>1.509</t>
  </si>
  <si>
    <t>HTIPOV1</t>
  </si>
  <si>
    <t>2.682</t>
  </si>
  <si>
    <t>IDNPOV1</t>
  </si>
  <si>
    <t>INDPOV1</t>
  </si>
  <si>
    <t>0.671</t>
  </si>
  <si>
    <t>1.526</t>
  </si>
  <si>
    <t>3.65</t>
  </si>
  <si>
    <t>2.189</t>
  </si>
  <si>
    <t>0.947</t>
  </si>
  <si>
    <t>KAZPOV1</t>
  </si>
  <si>
    <t>KENPOV1</t>
  </si>
  <si>
    <t>KGZPOV1</t>
  </si>
  <si>
    <t>0.292</t>
  </si>
  <si>
    <t>LAOPOV1</t>
  </si>
  <si>
    <t>LBRPOV1</t>
  </si>
  <si>
    <t>LCAPOV1</t>
  </si>
  <si>
    <t>LKAPOV1</t>
  </si>
  <si>
    <t>3.55</t>
  </si>
  <si>
    <t>LSOPOV1</t>
  </si>
  <si>
    <t>1.946</t>
  </si>
  <si>
    <t>1.069</t>
  </si>
  <si>
    <t>2.689</t>
  </si>
  <si>
    <t>MARPOV1</t>
  </si>
  <si>
    <t>MDAPOV1</t>
  </si>
  <si>
    <t>2.88</t>
  </si>
  <si>
    <t>MDGPOV1</t>
  </si>
  <si>
    <t>MEXPOV1</t>
  </si>
  <si>
    <t>1.745</t>
  </si>
  <si>
    <t>2.998</t>
  </si>
  <si>
    <t>MLIPOV1</t>
  </si>
  <si>
    <t>0.567</t>
  </si>
  <si>
    <t>MNGPOV1</t>
  </si>
  <si>
    <t>MOZPOV1</t>
  </si>
  <si>
    <t>MRTPOV1</t>
  </si>
  <si>
    <t>14.3</t>
  </si>
  <si>
    <t>MWIPOV1</t>
  </si>
  <si>
    <t>MYSPOV1</t>
  </si>
  <si>
    <t>1.625</t>
  </si>
  <si>
    <t>NAMPOV1</t>
  </si>
  <si>
    <t>NERPOV1</t>
  </si>
  <si>
    <t>NGAPOV1</t>
  </si>
  <si>
    <t>NICPOV1</t>
  </si>
  <si>
    <t>4.474</t>
  </si>
  <si>
    <t>2.11</t>
  </si>
  <si>
    <t>0.772</t>
  </si>
  <si>
    <t>1.952</t>
  </si>
  <si>
    <t>0.42</t>
  </si>
  <si>
    <t>PANPOV1</t>
  </si>
  <si>
    <t>3.853</t>
  </si>
  <si>
    <t>PERPOV1</t>
  </si>
  <si>
    <t>5.873</t>
  </si>
  <si>
    <t>PHLPOV1</t>
  </si>
  <si>
    <t>5.275</t>
  </si>
  <si>
    <t>POLPOV1</t>
  </si>
  <si>
    <t>0.488</t>
  </si>
  <si>
    <t>1.662</t>
  </si>
  <si>
    <t>PRYPOV1</t>
  </si>
  <si>
    <t>0.892</t>
  </si>
  <si>
    <t>ROUPOV1</t>
  </si>
  <si>
    <t>3.988</t>
  </si>
  <si>
    <t>RUSPOV1</t>
  </si>
  <si>
    <t>RWAPOV1</t>
  </si>
  <si>
    <t>SDNPOV1</t>
  </si>
  <si>
    <t>SENPOV1</t>
  </si>
  <si>
    <t>0.75</t>
  </si>
  <si>
    <t>SLEPOV1</t>
  </si>
  <si>
    <t>SLVPOV1</t>
  </si>
  <si>
    <t>2.657</t>
  </si>
  <si>
    <t>2.475</t>
  </si>
  <si>
    <t>SSDPOV1</t>
  </si>
  <si>
    <t>STPPOV1</t>
  </si>
  <si>
    <t>2.272</t>
  </si>
  <si>
    <t>2.025</t>
  </si>
  <si>
    <t>1.902</t>
  </si>
  <si>
    <t>SWZPOV1</t>
  </si>
  <si>
    <t>TCDPOV1</t>
  </si>
  <si>
    <t>TGOPOV1</t>
  </si>
  <si>
    <t>TJKPOV1</t>
  </si>
  <si>
    <t>TUNPOV1</t>
  </si>
  <si>
    <t>0.913</t>
  </si>
  <si>
    <t>TZAPOV1</t>
  </si>
  <si>
    <t>UKRPOV1</t>
  </si>
  <si>
    <t>2.537</t>
  </si>
  <si>
    <t>URYPOV1</t>
  </si>
  <si>
    <t>0.752</t>
  </si>
  <si>
    <t>5.224</t>
  </si>
  <si>
    <t>1.09</t>
  </si>
  <si>
    <t>ZAFPOV1</t>
  </si>
  <si>
    <t>8.289</t>
  </si>
  <si>
    <t>ZMBPOV1</t>
  </si>
  <si>
    <t>ZWEPOV1</t>
  </si>
  <si>
    <t>CHANGE COLORS</t>
  </si>
  <si>
    <t>SUMMARY SHEET</t>
  </si>
  <si>
    <t>High Alert Flags</t>
  </si>
  <si>
    <t>High + Med. Alert Flags</t>
  </si>
  <si>
    <t>Overall Alert Dimensions</t>
  </si>
  <si>
    <t>Underlying Vulnerability Dimensions</t>
  </si>
  <si>
    <t>Upcoming Threat Dimensions</t>
  </si>
  <si>
    <t>Reliability Score</t>
  </si>
  <si>
    <t>Change methods in Options Sheet</t>
  </si>
  <si>
    <t>Count medium alerts as half flags. TK marks lack of reliability in underlying data.</t>
  </si>
  <si>
    <t>Overall alerts are the geometric mean of the dimensional scores of underlying vulnerability and upcoming threats.</t>
  </si>
  <si>
    <t>Dimension scores are the maximum score of the constitutive indicators.</t>
  </si>
  <si>
    <t>Country
Name</t>
  </si>
  <si>
    <t>Country Code</t>
  </si>
  <si>
    <t>Upcoming Threats</t>
  </si>
  <si>
    <t>Health</t>
  </si>
  <si>
    <t>Food Security</t>
  </si>
  <si>
    <t>Macro Fiscal</t>
  </si>
  <si>
    <t>Socio-Econ Vulnerability</t>
  </si>
  <si>
    <t>Natural Hazards</t>
  </si>
  <si>
    <t>Conflict Fragility</t>
  </si>
  <si>
    <t>Institutional Fragility</t>
  </si>
  <si>
    <t xml:space="preserve">   </t>
  </si>
  <si>
    <t>Options</t>
  </si>
  <si>
    <t>Alert Flags</t>
  </si>
  <si>
    <r>
      <t xml:space="preserve">Count medium alerts as half flags? </t>
    </r>
    <r>
      <rPr>
        <i/>
        <sz val="12"/>
        <color rgb="FF000000"/>
        <rFont val="Arial"/>
        <family val="2"/>
      </rPr>
      <t>The overall alert counts how many of a country's dimensions have a score of 10. By selecting this option, scores between 7 and 9.9 will also be counted with a value of 0.5. Selecting TRUE will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</si>
</sst>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2"/>
      <color rgb="FF000000"/>
      <name val="Arial"/>
    </font>
    <font>
      <sz val="10"/>
      <color rgb="FF000000"/>
      <name val="Arial"/>
      <family val="2"/>
    </font>
    <font>
      <sz val="12"/>
      <color rgb="FF000000"/>
      <name val="Arial"/>
      <family val="2"/>
    </font>
    <font>
      <sz val="12"/>
      <color theme="1"/>
      <name val="Arial"/>
      <family val="2"/>
    </font>
    <font>
      <b/>
      <sz val="10"/>
      <color theme="1"/>
      <name val="Arial"/>
      <family val="2"/>
    </font>
    <font>
      <sz val="10"/>
      <color theme="1"/>
      <name val="Arial"/>
      <family val="2"/>
    </font>
    <font>
      <i/>
      <sz val="10"/>
      <color theme="1"/>
      <name val="Arial"/>
      <family val="2"/>
    </font>
    <font>
      <i/>
      <sz val="12"/>
      <color theme="1"/>
      <name val="Arial"/>
      <family val="2"/>
    </font>
    <font>
      <b/>
      <sz val="12"/>
      <color theme="1"/>
      <name val="Arial"/>
      <family val="2"/>
    </font>
    <font>
      <i/>
      <sz val="12"/>
      <color rgb="FF000000"/>
      <name val="Arial"/>
      <family val="2"/>
    </font>
  </fonts>
  <fills count="5">
    <fill>
      <patternFill patternType="none"/>
    </fill>
    <fill>
      <patternFill patternType="gray125"/>
    </fill>
    <fill>
      <patternFill patternType="solid">
        <fgColor rgb="FFFFFFFF"/>
      </patternFill>
    </fill>
    <fill>
      <patternFill patternType="solid">
        <fgColor theme="0"/>
        <bgColor indexed="64"/>
      </patternFill>
    </fill>
    <fill>
      <patternFill patternType="solid">
        <fgColor rgb="FFFFFF00"/>
        <bgColor indexed="64"/>
      </patternFill>
    </fill>
  </fills>
  <borders count="17">
    <border>
      <left/>
      <right/>
      <top/>
      <bottom/>
      <diagonal/>
    </border>
    <border>
      <left style="thin">
        <color rgb="FFFFFFFF"/>
      </left>
      <right style="thin">
        <color rgb="FFFFFFFF"/>
      </right>
      <top style="thin">
        <color rgb="FFFFFFFF"/>
      </top>
      <bottom style="thin">
        <color rgb="FFFFFFFF"/>
      </bottom>
      <diagonal/>
    </border>
    <border>
      <left style="thick">
        <color rgb="FFFFFFFF"/>
      </left>
      <right style="thick">
        <color rgb="FFFFFFFF"/>
      </right>
      <top style="thin">
        <color rgb="FFFFFFFF"/>
      </top>
      <bottom style="thin">
        <color rgb="FF000000"/>
      </bottom>
      <diagonal/>
    </border>
    <border>
      <left/>
      <right/>
      <top/>
      <bottom style="thin">
        <color indexed="64"/>
      </bottom>
      <diagonal/>
    </border>
    <border>
      <left/>
      <right style="thick">
        <color theme="0"/>
      </right>
      <top/>
      <bottom style="thin">
        <color indexed="64"/>
      </bottom>
      <diagonal/>
    </border>
    <border>
      <left style="thick">
        <color theme="0"/>
      </left>
      <right/>
      <top/>
      <bottom style="thin">
        <color indexed="64"/>
      </bottom>
      <diagonal/>
    </border>
    <border>
      <left/>
      <right style="thin">
        <color theme="0"/>
      </right>
      <top/>
      <bottom/>
      <diagonal/>
    </border>
    <border>
      <left style="thin">
        <color theme="0"/>
      </left>
      <right/>
      <top/>
      <bottom style="thin">
        <color indexed="64"/>
      </bottom>
      <diagonal/>
    </border>
    <border>
      <left style="thin">
        <color theme="0"/>
      </left>
      <right style="thin">
        <color theme="0"/>
      </right>
      <top/>
      <bottom/>
      <diagonal/>
    </border>
    <border>
      <left style="thick">
        <color theme="0"/>
      </left>
      <right style="thick">
        <color theme="0"/>
      </right>
      <top/>
      <bottom style="thin">
        <color indexed="64"/>
      </bottom>
      <diagonal/>
    </border>
    <border>
      <left/>
      <right/>
      <top style="thin">
        <color indexed="64"/>
      </top>
      <bottom/>
      <diagonal/>
    </border>
    <border>
      <left style="thin">
        <color theme="0"/>
      </left>
      <right/>
      <top style="thin">
        <color indexed="64"/>
      </top>
      <bottom/>
      <diagonal/>
    </border>
    <border>
      <left/>
      <right style="thin">
        <color theme="0"/>
      </right>
      <top style="thin">
        <color indexed="64"/>
      </top>
      <bottom/>
      <diagonal/>
    </border>
    <border>
      <left/>
      <right/>
      <top style="thin">
        <color rgb="FFFFFFFF"/>
      </top>
      <bottom style="thin">
        <color rgb="FFFFFFFF"/>
      </bottom>
      <diagonal/>
    </border>
    <border>
      <left/>
      <right/>
      <top style="thin">
        <color rgb="FFFFFFFF"/>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
    <xf numFmtId="0" fontId="0" fillId="0" borderId="0"/>
  </cellStyleXfs>
  <cellXfs count="83">
    <xf numFmtId="0" fontId="0" fillId="0" borderId="0" xfId="0"/>
    <xf numFmtId="0" fontId="0" fillId="2" borderId="1" xfId="0" applyFont="1" applyFill="1" applyBorder="1" applyAlignment="1">
      <alignment horizontal="right"/>
    </xf>
    <xf numFmtId="0" fontId="1" fillId="2" borderId="2" xfId="0" applyFont="1" applyFill="1" applyBorder="1" applyAlignment="1">
      <alignment horizontal="right" wrapText="1"/>
    </xf>
    <xf numFmtId="0" fontId="0" fillId="2" borderId="1" xfId="0" applyFont="1" applyFill="1" applyBorder="1" applyAlignment="1">
      <alignment horizontal="left"/>
    </xf>
    <xf numFmtId="0" fontId="1" fillId="2" borderId="2" xfId="0" applyFont="1" applyFill="1" applyBorder="1" applyAlignment="1">
      <alignment horizontal="left" wrapText="1"/>
    </xf>
    <xf numFmtId="0" fontId="3" fillId="3" borderId="0" xfId="0" applyFont="1" applyFill="1"/>
    <xf numFmtId="0" fontId="3" fillId="3" borderId="0" xfId="0" applyFont="1" applyFill="1" applyAlignment="1">
      <alignment horizontal="left"/>
    </xf>
    <xf numFmtId="1" fontId="3" fillId="4" borderId="0" xfId="0" applyNumberFormat="1" applyFont="1" applyFill="1"/>
    <xf numFmtId="164" fontId="3" fillId="3" borderId="0" xfId="0" applyNumberFormat="1" applyFont="1" applyFill="1"/>
    <xf numFmtId="1" fontId="3" fillId="3" borderId="0" xfId="0" applyNumberFormat="1" applyFont="1" applyFill="1"/>
    <xf numFmtId="0" fontId="4" fillId="3" borderId="0" xfId="0" applyFont="1" applyFill="1" applyAlignment="1">
      <alignment vertical="top"/>
    </xf>
    <xf numFmtId="0" fontId="4" fillId="3" borderId="0" xfId="0" applyFont="1" applyFill="1" applyAlignment="1">
      <alignment horizontal="left" vertical="top"/>
    </xf>
    <xf numFmtId="0" fontId="4" fillId="3" borderId="3" xfId="0" applyFont="1" applyFill="1" applyBorder="1" applyAlignment="1">
      <alignment horizontal="center" vertical="top" wrapText="1"/>
    </xf>
    <xf numFmtId="0" fontId="4" fillId="3" borderId="4" xfId="0" applyFont="1" applyFill="1" applyBorder="1" applyAlignment="1">
      <alignment horizontal="center" vertical="top" wrapText="1"/>
    </xf>
    <xf numFmtId="0" fontId="4" fillId="3" borderId="0" xfId="0" applyFont="1" applyFill="1" applyAlignment="1">
      <alignment horizontal="center" vertical="top" wrapText="1"/>
    </xf>
    <xf numFmtId="0" fontId="4" fillId="3" borderId="5" xfId="0" applyFont="1" applyFill="1" applyBorder="1" applyAlignment="1">
      <alignment horizontal="center" vertical="top" wrapText="1"/>
    </xf>
    <xf numFmtId="0" fontId="4" fillId="3" borderId="6" xfId="0" applyFont="1" applyFill="1" applyBorder="1" applyAlignment="1">
      <alignment vertical="top"/>
    </xf>
    <xf numFmtId="164" fontId="4" fillId="3" borderId="7" xfId="0" applyNumberFormat="1" applyFont="1" applyFill="1" applyBorder="1" applyAlignment="1">
      <alignment horizontal="center" vertical="top" wrapText="1"/>
    </xf>
    <xf numFmtId="164" fontId="4" fillId="3" borderId="3" xfId="0" applyNumberFormat="1" applyFont="1" applyFill="1" applyBorder="1" applyAlignment="1">
      <alignment horizontal="center" vertical="top" wrapText="1"/>
    </xf>
    <xf numFmtId="164" fontId="4" fillId="3" borderId="4" xfId="0" applyNumberFormat="1" applyFont="1" applyFill="1" applyBorder="1" applyAlignment="1">
      <alignment horizontal="center" vertical="top" wrapText="1"/>
    </xf>
    <xf numFmtId="0" fontId="4" fillId="3" borderId="8" xfId="0" applyFont="1" applyFill="1" applyBorder="1" applyAlignment="1">
      <alignment horizontal="center" vertical="top"/>
    </xf>
    <xf numFmtId="0" fontId="4" fillId="3" borderId="7" xfId="0" applyFont="1" applyFill="1" applyBorder="1" applyAlignment="1">
      <alignment horizontal="center" vertical="top" wrapText="1"/>
    </xf>
    <xf numFmtId="0" fontId="4" fillId="3" borderId="8" xfId="0" applyFont="1" applyFill="1" applyBorder="1" applyAlignment="1">
      <alignment vertical="top"/>
    </xf>
    <xf numFmtId="0" fontId="4" fillId="3" borderId="9" xfId="0" applyFont="1" applyFill="1" applyBorder="1" applyAlignment="1">
      <alignment horizontal="center" vertical="top" wrapText="1"/>
    </xf>
    <xf numFmtId="0" fontId="5" fillId="3" borderId="0" xfId="0" applyFont="1" applyFill="1" applyAlignment="1">
      <alignment vertical="top" wrapText="1"/>
    </xf>
    <xf numFmtId="0" fontId="6" fillId="3" borderId="0" xfId="0" applyFont="1" applyFill="1" applyAlignment="1">
      <alignment horizontal="left" vertical="top" wrapText="1"/>
    </xf>
    <xf numFmtId="1" fontId="5" fillId="3" borderId="0" xfId="0" applyNumberFormat="1" applyFont="1" applyFill="1" applyAlignment="1">
      <alignment horizontal="left" vertical="top" wrapText="1"/>
    </xf>
    <xf numFmtId="0" fontId="6" fillId="3" borderId="10"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6" xfId="0" applyFont="1" applyFill="1" applyBorder="1" applyAlignment="1">
      <alignment vertical="top" wrapText="1"/>
    </xf>
    <xf numFmtId="164" fontId="6" fillId="3" borderId="11" xfId="0" applyNumberFormat="1" applyFont="1" applyFill="1" applyBorder="1" applyAlignment="1">
      <alignment horizontal="left" vertical="top" wrapText="1"/>
    </xf>
    <xf numFmtId="164" fontId="6" fillId="3" borderId="10" xfId="0" applyNumberFormat="1" applyFont="1" applyFill="1" applyBorder="1" applyAlignment="1">
      <alignment horizontal="left" vertical="top" wrapText="1"/>
    </xf>
    <xf numFmtId="164" fontId="6" fillId="3" borderId="12" xfId="0" applyNumberFormat="1" applyFont="1" applyFill="1" applyBorder="1" applyAlignment="1">
      <alignment horizontal="left" vertical="top" wrapText="1"/>
    </xf>
    <xf numFmtId="0" fontId="5" fillId="3" borderId="8" xfId="0" applyFont="1" applyFill="1" applyBorder="1" applyAlignment="1">
      <alignment horizontal="center" vertical="top" wrapText="1"/>
    </xf>
    <xf numFmtId="0" fontId="5" fillId="3" borderId="8" xfId="0" applyFont="1" applyFill="1" applyBorder="1" applyAlignment="1">
      <alignment vertical="top" wrapText="1"/>
    </xf>
    <xf numFmtId="0" fontId="4" fillId="3" borderId="4" xfId="0" applyFont="1" applyFill="1" applyBorder="1" applyAlignment="1">
      <alignment horizontal="left" wrapText="1"/>
    </xf>
    <xf numFmtId="0" fontId="4" fillId="3" borderId="3" xfId="0" applyFont="1" applyFill="1" applyBorder="1" applyAlignment="1">
      <alignment horizontal="left" wrapText="1"/>
    </xf>
    <xf numFmtId="0" fontId="5" fillId="3" borderId="13" xfId="0" applyFont="1" applyFill="1" applyBorder="1" applyAlignment="1">
      <alignment horizontal="center" wrapText="1"/>
    </xf>
    <xf numFmtId="0" fontId="4" fillId="3" borderId="9" xfId="0" applyFont="1" applyFill="1" applyBorder="1" applyAlignment="1">
      <alignment horizontal="center" wrapText="1"/>
    </xf>
    <xf numFmtId="0" fontId="5" fillId="3" borderId="9" xfId="0" applyFont="1" applyFill="1" applyBorder="1" applyAlignment="1">
      <alignment horizontal="center" wrapText="1"/>
    </xf>
    <xf numFmtId="0" fontId="5" fillId="3" borderId="0" xfId="0" applyFont="1" applyFill="1" applyAlignment="1">
      <alignment horizontal="center" wrapText="1"/>
    </xf>
    <xf numFmtId="0" fontId="5" fillId="3" borderId="5" xfId="0" applyFont="1" applyFill="1" applyBorder="1" applyAlignment="1">
      <alignment horizontal="center" wrapText="1"/>
    </xf>
    <xf numFmtId="0" fontId="5" fillId="3" borderId="4" xfId="0" applyFont="1" applyFill="1" applyBorder="1" applyAlignment="1">
      <alignment horizontal="center" wrapText="1"/>
    </xf>
    <xf numFmtId="0" fontId="5" fillId="3" borderId="3" xfId="0" applyFont="1" applyFill="1" applyBorder="1" applyAlignment="1">
      <alignment horizontal="center" wrapText="1"/>
    </xf>
    <xf numFmtId="164" fontId="5" fillId="3" borderId="4" xfId="0" applyNumberFormat="1" applyFont="1" applyFill="1" applyBorder="1" applyAlignment="1">
      <alignment horizontal="center" wrapText="1"/>
    </xf>
    <xf numFmtId="164" fontId="5" fillId="3" borderId="3" xfId="0" applyNumberFormat="1" applyFont="1" applyFill="1" applyBorder="1" applyAlignment="1">
      <alignment horizontal="center" wrapText="1"/>
    </xf>
    <xf numFmtId="0" fontId="5" fillId="3" borderId="4" xfId="0" applyFont="1" applyFill="1" applyBorder="1" applyAlignment="1">
      <alignment horizontal="center" wrapText="1"/>
    </xf>
    <xf numFmtId="0" fontId="5" fillId="3" borderId="3" xfId="0" applyFont="1" applyFill="1" applyBorder="1" applyAlignment="1">
      <alignment horizontal="center" wrapText="1"/>
    </xf>
    <xf numFmtId="0" fontId="7" fillId="2" borderId="14" xfId="0" applyFont="1" applyFill="1" applyBorder="1" applyAlignment="1">
      <alignment horizontal="left"/>
    </xf>
    <xf numFmtId="0" fontId="3" fillId="2" borderId="14" xfId="0" applyFont="1" applyFill="1" applyBorder="1" applyAlignment="1">
      <alignment horizontal="left"/>
    </xf>
    <xf numFmtId="0" fontId="3" fillId="3" borderId="14" xfId="0" applyFont="1" applyFill="1" applyBorder="1" applyAlignment="1">
      <alignment horizontal="center"/>
    </xf>
    <xf numFmtId="0" fontId="3" fillId="3" borderId="0" xfId="0" applyFont="1" applyFill="1" applyAlignment="1">
      <alignment horizontal="center"/>
    </xf>
    <xf numFmtId="164" fontId="3" fillId="3" borderId="0" xfId="0" applyNumberFormat="1" applyFont="1" applyFill="1" applyAlignment="1">
      <alignment horizontal="center"/>
    </xf>
    <xf numFmtId="0" fontId="3" fillId="3" borderId="6" xfId="0" applyFont="1" applyFill="1" applyBorder="1" applyAlignment="1">
      <alignment horizontal="center"/>
    </xf>
    <xf numFmtId="0" fontId="3" fillId="2" borderId="0" xfId="0" applyFont="1" applyFill="1" applyAlignment="1">
      <alignment horizontal="center"/>
    </xf>
    <xf numFmtId="164" fontId="3" fillId="2" borderId="0" xfId="0" applyNumberFormat="1" applyFont="1" applyFill="1" applyAlignment="1">
      <alignment horizontal="center"/>
    </xf>
    <xf numFmtId="0" fontId="3" fillId="2" borderId="14" xfId="0" applyFont="1" applyFill="1" applyBorder="1" applyAlignment="1">
      <alignment horizontal="center"/>
    </xf>
    <xf numFmtId="0" fontId="3" fillId="0" borderId="0" xfId="0" applyFont="1"/>
    <xf numFmtId="0" fontId="3" fillId="3" borderId="15" xfId="0" applyFont="1" applyFill="1" applyBorder="1"/>
    <xf numFmtId="0" fontId="3" fillId="2" borderId="15" xfId="0" applyFont="1" applyFill="1" applyBorder="1" applyAlignment="1">
      <alignment horizontal="left"/>
    </xf>
    <xf numFmtId="0" fontId="3" fillId="2" borderId="15" xfId="0" applyFont="1" applyFill="1" applyBorder="1" applyAlignment="1">
      <alignment horizontal="center"/>
    </xf>
    <xf numFmtId="1" fontId="3" fillId="2" borderId="15" xfId="0" applyNumberFormat="1" applyFont="1" applyFill="1" applyBorder="1" applyAlignment="1">
      <alignment horizontal="center"/>
    </xf>
    <xf numFmtId="164" fontId="3" fillId="2" borderId="15" xfId="0" applyNumberFormat="1" applyFont="1" applyFill="1" applyBorder="1" applyAlignment="1">
      <alignment horizontal="left"/>
    </xf>
    <xf numFmtId="1" fontId="3" fillId="2" borderId="15" xfId="0" applyNumberFormat="1" applyFont="1" applyFill="1" applyBorder="1" applyAlignment="1">
      <alignment horizontal="left"/>
    </xf>
    <xf numFmtId="164" fontId="3" fillId="2" borderId="15" xfId="0" applyNumberFormat="1" applyFont="1" applyFill="1" applyBorder="1" applyAlignment="1">
      <alignment horizontal="right" indent="2"/>
    </xf>
    <xf numFmtId="164" fontId="3" fillId="2" borderId="16" xfId="0" applyNumberFormat="1" applyFont="1" applyFill="1" applyBorder="1" applyAlignment="1">
      <alignment horizontal="right" indent="2"/>
    </xf>
    <xf numFmtId="0" fontId="3" fillId="2" borderId="15" xfId="0" applyFont="1" applyFill="1" applyBorder="1" applyAlignment="1">
      <alignment horizontal="right" indent="2"/>
    </xf>
    <xf numFmtId="0" fontId="3" fillId="0" borderId="15" xfId="0" applyFont="1" applyBorder="1"/>
    <xf numFmtId="164" fontId="3" fillId="3" borderId="15" xfId="0" applyNumberFormat="1" applyFont="1" applyFill="1" applyBorder="1" applyAlignment="1">
      <alignment horizontal="right" indent="2"/>
    </xf>
    <xf numFmtId="0" fontId="3" fillId="0" borderId="15" xfId="0" applyFont="1" applyBorder="1" applyAlignment="1">
      <alignment horizontal="left"/>
    </xf>
    <xf numFmtId="1" fontId="3" fillId="0" borderId="15" xfId="0" applyNumberFormat="1" applyFont="1" applyBorder="1"/>
    <xf numFmtId="164" fontId="3" fillId="0" borderId="15" xfId="0" applyNumberFormat="1" applyFont="1" applyBorder="1"/>
    <xf numFmtId="0" fontId="2" fillId="3" borderId="0" xfId="0" applyFont="1" applyFill="1" applyAlignment="1">
      <alignment vertical="top"/>
    </xf>
    <xf numFmtId="0" fontId="2" fillId="3" borderId="0" xfId="0" applyFont="1" applyFill="1" applyAlignment="1">
      <alignment vertical="top" wrapText="1"/>
    </xf>
    <xf numFmtId="0" fontId="2" fillId="3" borderId="0" xfId="0" applyFont="1" applyFill="1" applyAlignment="1">
      <alignment horizontal="left" vertical="top"/>
    </xf>
    <xf numFmtId="0" fontId="0" fillId="3" borderId="0" xfId="0" applyFill="1"/>
    <xf numFmtId="0" fontId="8" fillId="3" borderId="3" xfId="0" applyFont="1" applyFill="1" applyBorder="1" applyAlignment="1">
      <alignment horizontal="left" vertical="top" wrapText="1"/>
    </xf>
    <xf numFmtId="0" fontId="7" fillId="3" borderId="0" xfId="0" applyFont="1" applyFill="1" applyAlignment="1">
      <alignment horizontal="left" vertical="top" wrapText="1"/>
    </xf>
    <xf numFmtId="0" fontId="3" fillId="3" borderId="3" xfId="0" applyFont="1" applyFill="1" applyBorder="1" applyAlignment="1">
      <alignment horizontal="left" vertical="top" wrapText="1"/>
    </xf>
    <xf numFmtId="0" fontId="3" fillId="3" borderId="0" xfId="0" applyFont="1" applyFill="1" applyAlignment="1">
      <alignment horizontal="left" vertical="top" wrapText="1"/>
    </xf>
    <xf numFmtId="0" fontId="2" fillId="3" borderId="0" xfId="0" quotePrefix="1" applyFont="1" applyFill="1" applyAlignment="1">
      <alignment vertical="top"/>
    </xf>
    <xf numFmtId="0" fontId="2" fillId="3" borderId="0" xfId="0" applyFont="1" applyFill="1" applyAlignment="1">
      <alignment vertical="top" wrapText="1"/>
    </xf>
    <xf numFmtId="0" fontId="2" fillId="3" borderId="0" xfId="0" applyFont="1" applyFill="1"/>
  </cellXfs>
  <cellStyles count="1">
    <cellStyle name="Normal" xfId="0" builtinId="0"/>
  </cellStyles>
  <dxfs count="100">
    <dxf>
      <font>
        <sz val="12"/>
        <color rgb="FF9C0006"/>
        <name val="Arial"/>
      </font>
      <fill>
        <patternFill patternType="solid">
          <bgColor rgb="FFE3593A"/>
        </patternFill>
      </fill>
    </dxf>
    <dxf>
      <font>
        <sz val="12"/>
        <color theme="1"/>
        <name val="Arial (Body)"/>
      </font>
      <fill>
        <patternFill patternType="solid">
          <bgColor rgb="FFEE9F8F"/>
        </patternFill>
      </fill>
    </dxf>
    <dxf>
      <font>
        <sz val="12"/>
        <color theme="1"/>
        <name val="Arial (Body)"/>
      </font>
      <fill>
        <patternFill patternType="solid">
          <bgColor rgb="FFF2CAC4"/>
        </patternFill>
      </fill>
    </dxf>
    <dxf>
      <font>
        <sz val="12"/>
        <color rgb="FFFFFFFF"/>
        <name val="Arial"/>
      </font>
      <fill>
        <patternFill patternType="solid">
          <bgColor theme="0"/>
        </patternFill>
      </fill>
    </dxf>
    <dxf>
      <font>
        <sz val="12"/>
        <color rgb="FF9C0006"/>
        <name val="Arial"/>
      </font>
      <fill>
        <patternFill patternType="solid">
          <bgColor theme="9" tint="-0.24994659260841701"/>
        </patternFill>
      </fill>
    </dxf>
    <dxf>
      <font>
        <sz val="12"/>
        <color theme="1"/>
        <name val="Arial (Body)"/>
      </font>
      <fill>
        <patternFill patternType="solid">
          <bgColor theme="9" tint="0.39994506668294322"/>
        </patternFill>
      </fill>
    </dxf>
    <dxf>
      <font>
        <sz val="12"/>
        <color theme="1"/>
        <name val="Arial (Body)"/>
      </font>
      <fill>
        <patternFill patternType="solid">
          <bgColor theme="9" tint="0.59996337778862885"/>
        </patternFill>
      </fill>
    </dxf>
    <dxf>
      <font>
        <sz val="12"/>
        <color rgb="FFFFFFFF"/>
        <name val="Arial"/>
      </font>
      <fill>
        <patternFill patternType="solid">
          <bgColor rgb="FFFFFFFF"/>
        </patternFill>
      </fill>
    </dxf>
    <dxf>
      <font>
        <sz val="12"/>
        <color rgb="FF9C0006"/>
        <name val="Arial"/>
      </font>
      <fill>
        <patternFill patternType="solid">
          <bgColor rgb="FFF9696B"/>
        </patternFill>
      </fill>
    </dxf>
    <dxf>
      <font>
        <sz val="12"/>
        <color theme="1"/>
        <name val="Arial (Body)"/>
      </font>
      <fill>
        <patternFill patternType="solid">
          <bgColor rgb="FFF9AAAC"/>
        </patternFill>
      </fill>
    </dxf>
    <dxf>
      <font>
        <sz val="12"/>
        <color theme="1"/>
        <name val="Arial (Body)"/>
      </font>
      <fill>
        <patternFill patternType="solid">
          <bgColor rgb="FFFBDBDE"/>
        </patternFill>
      </fill>
    </dxf>
    <dxf>
      <font>
        <sz val="12"/>
        <color rgb="FFFFFFFF"/>
        <name val="Arial"/>
      </font>
      <fill>
        <patternFill patternType="solid">
          <bgColor theme="0"/>
        </patternFill>
      </fill>
    </dxf>
    <dxf>
      <font>
        <sz val="12"/>
        <color auto="1"/>
        <name val="Arial (Body)"/>
      </font>
      <fill>
        <patternFill patternType="solid">
          <bgColor rgb="FF0091B2"/>
        </patternFill>
      </fill>
    </dxf>
    <dxf>
      <font>
        <sz val="12"/>
        <color auto="1"/>
        <name val="Arial (Body)"/>
      </font>
      <fill>
        <patternFill patternType="solid">
          <bgColor rgb="FF7FC8D8"/>
        </patternFill>
      </fill>
    </dxf>
    <dxf>
      <font>
        <sz val="12"/>
        <color auto="1"/>
        <name val="Arial (Body)"/>
      </font>
      <fill>
        <patternFill patternType="solid">
          <bgColor theme="0"/>
        </patternFill>
      </fill>
    </dxf>
    <dxf>
      <font>
        <sz val="12"/>
        <color rgb="FFFFFFFF"/>
        <name val="Arial"/>
      </font>
      <fill>
        <patternFill patternType="solid">
          <bgColor rgb="FFFFFFFF"/>
        </patternFill>
      </fill>
    </dxf>
    <dxf>
      <font>
        <sz val="12"/>
        <color rgb="FF000000"/>
        <name val="Arial"/>
      </font>
      <fill>
        <patternFill patternType="solid">
          <bgColor rgb="FFE06C25"/>
        </patternFill>
      </fill>
    </dxf>
    <dxf>
      <font>
        <sz val="12"/>
        <color rgb="FF000000"/>
        <name val="Arial"/>
      </font>
      <fill>
        <patternFill patternType="solid">
          <bgColor rgb="FFF9BF8E"/>
        </patternFill>
      </fill>
    </dxf>
    <dxf>
      <font>
        <sz val="12"/>
        <color rgb="FF000000"/>
        <name val="Arial"/>
      </font>
      <fill>
        <patternFill patternType="solid">
          <bgColor rgb="FFFCD5B4"/>
        </patternFill>
      </fill>
    </dxf>
    <dxf>
      <font>
        <sz val="12"/>
        <color rgb="FFFFFFFF"/>
        <name val="Arial"/>
      </font>
      <fill>
        <patternFill patternType="solid">
          <bgColor rgb="FFFFFFFF"/>
        </patternFill>
      </fill>
    </dxf>
    <dxf>
      <font>
        <sz val="12"/>
        <color rgb="FF000000"/>
        <name val="Arial"/>
      </font>
      <fill>
        <patternFill patternType="solid">
          <bgColor rgb="FFF2676B"/>
        </patternFill>
      </fill>
    </dxf>
    <dxf>
      <font>
        <sz val="12"/>
        <color rgb="FF000000"/>
        <name val="Arial"/>
      </font>
      <fill>
        <patternFill patternType="solid">
          <bgColor rgb="FFF7A9AC"/>
        </patternFill>
      </fill>
    </dxf>
    <dxf>
      <font>
        <sz val="12"/>
        <color rgb="FF000000"/>
        <name val="Arial"/>
      </font>
      <fill>
        <patternFill patternType="solid">
          <bgColor rgb="FFFCDCDF"/>
        </patternFill>
      </fill>
    </dxf>
    <dxf>
      <font>
        <sz val="12"/>
        <color rgb="FFFFFFFF"/>
        <name val="Arial"/>
      </font>
      <fill>
        <patternFill patternType="solid">
          <bgColor rgb="FFFFFFFF"/>
        </patternFill>
      </fill>
    </dxf>
    <dxf>
      <font>
        <sz val="12"/>
        <color rgb="FF000000"/>
        <name val="Arial"/>
      </font>
      <fill>
        <patternFill patternType="solid">
          <bgColor rgb="FFE35A3A"/>
        </patternFill>
      </fill>
    </dxf>
    <dxf>
      <font>
        <sz val="12"/>
        <color rgb="FF000000"/>
        <name val="Arial"/>
      </font>
      <fill>
        <patternFill patternType="solid">
          <bgColor rgb="FFEE9F8F"/>
        </patternFill>
      </fill>
    </dxf>
    <dxf>
      <font>
        <sz val="12"/>
        <color rgb="FF000000"/>
        <name val="Arial"/>
      </font>
      <fill>
        <patternFill patternType="solid">
          <bgColor rgb="FFF2CAC4"/>
        </patternFill>
      </fill>
    </dxf>
    <dxf>
      <font>
        <sz val="12"/>
        <color rgb="FFFFFFFF"/>
        <name val="Arial"/>
      </font>
      <fill>
        <patternFill patternType="solid">
          <bgColor rgb="FFFFFFFF"/>
        </patternFill>
      </fill>
    </dxf>
    <dxf>
      <font>
        <sz val="12"/>
        <color rgb="FFFFFFFF"/>
        <name val="Arial"/>
      </font>
      <fill>
        <patternFill patternType="solid">
          <bgColor rgb="FFFFFFFF"/>
        </patternFill>
      </fill>
    </dxf>
    <dxf>
      <font>
        <sz val="12"/>
        <color rgb="FF000000"/>
        <name val="Arial"/>
      </font>
      <fill>
        <patternFill patternType="solid">
          <bgColor rgb="FFFCD5B4"/>
        </patternFill>
      </fill>
    </dxf>
    <dxf>
      <font>
        <sz val="12"/>
        <color rgb="FF000000"/>
        <name val="Arial"/>
      </font>
      <fill>
        <patternFill patternType="solid">
          <bgColor rgb="FFF9BF8E"/>
        </patternFill>
      </fill>
    </dxf>
    <dxf>
      <font>
        <sz val="12"/>
        <color rgb="FF000000"/>
        <name val="Arial"/>
      </font>
      <fill>
        <patternFill patternType="solid">
          <bgColor rgb="FFE06C25"/>
        </patternFill>
      </fill>
    </dxf>
    <dxf>
      <font>
        <sz val="12"/>
        <color rgb="FFFFFFFF"/>
        <name val="Arial"/>
      </font>
      <fill>
        <patternFill patternType="solid">
          <bgColor rgb="FFFFFFFF"/>
        </patternFill>
      </fill>
    </dxf>
    <dxf>
      <font>
        <sz val="12"/>
        <color rgb="FF000000"/>
        <name val="Arial"/>
      </font>
      <fill>
        <patternFill patternType="solid">
          <bgColor rgb="FFFCDCDF"/>
        </patternFill>
      </fill>
    </dxf>
    <dxf>
      <font>
        <sz val="12"/>
        <color rgb="FF000000"/>
        <name val="Arial"/>
      </font>
      <fill>
        <patternFill patternType="solid">
          <bgColor rgb="FFF7A9AC"/>
        </patternFill>
      </fill>
    </dxf>
    <dxf>
      <font>
        <sz val="12"/>
        <color rgb="FF000000"/>
        <name val="Arial"/>
      </font>
      <fill>
        <patternFill patternType="solid">
          <bgColor rgb="FFF2676B"/>
        </patternFill>
      </fill>
    </dxf>
    <dxf>
      <font>
        <sz val="12"/>
        <color rgb="FFFFFFFF"/>
        <name val="Arial"/>
      </font>
      <fill>
        <patternFill patternType="solid">
          <bgColor rgb="FFFFFFFF"/>
        </patternFill>
      </fill>
    </dxf>
    <dxf>
      <font>
        <sz val="12"/>
        <color rgb="FF000000"/>
        <name val="Arial"/>
      </font>
      <fill>
        <patternFill patternType="solid">
          <bgColor rgb="FFF2CAC4"/>
        </patternFill>
      </fill>
    </dxf>
    <dxf>
      <font>
        <sz val="12"/>
        <color rgb="FF000000"/>
        <name val="Arial"/>
      </font>
      <fill>
        <patternFill patternType="solid">
          <bgColor rgb="FFEE9F8F"/>
        </patternFill>
      </fill>
    </dxf>
    <dxf>
      <font>
        <sz val="12"/>
        <color rgb="FF000000"/>
        <name val="Arial"/>
      </font>
      <fill>
        <patternFill patternType="solid">
          <bgColor rgb="FFE35A3A"/>
        </patternFill>
      </fill>
    </dxf>
    <dxf>
      <font>
        <sz val="12"/>
        <color rgb="FFFFFFFF"/>
        <name val="Arial"/>
      </font>
      <fill>
        <patternFill patternType="solid">
          <bgColor rgb="FFFFFFFF"/>
        </patternFill>
      </fill>
    </dxf>
    <dxf>
      <font>
        <sz val="12"/>
        <color rgb="FF000000"/>
        <name val="Arial"/>
      </font>
      <fill>
        <patternFill patternType="solid">
          <bgColor rgb="FFFCD5B4"/>
        </patternFill>
      </fill>
    </dxf>
    <dxf>
      <font>
        <sz val="12"/>
        <color rgb="FF000000"/>
        <name val="Arial"/>
      </font>
      <fill>
        <patternFill patternType="solid">
          <bgColor rgb="FFF9BF8E"/>
        </patternFill>
      </fill>
    </dxf>
    <dxf>
      <font>
        <sz val="12"/>
        <color rgb="FF000000"/>
        <name val="Arial"/>
      </font>
      <fill>
        <patternFill patternType="solid">
          <bgColor rgb="FFE06C25"/>
        </patternFill>
      </fill>
    </dxf>
    <dxf>
      <font>
        <sz val="12"/>
        <color rgb="FFFFFFFF"/>
        <name val="Arial"/>
      </font>
      <fill>
        <patternFill patternType="solid">
          <bgColor rgb="FFFFFFFF"/>
        </patternFill>
      </fill>
    </dxf>
    <dxf>
      <font>
        <sz val="12"/>
        <color rgb="FF000000"/>
        <name val="Arial"/>
      </font>
      <fill>
        <patternFill patternType="solid">
          <bgColor rgb="FFFCDCDF"/>
        </patternFill>
      </fill>
    </dxf>
    <dxf>
      <font>
        <sz val="12"/>
        <color rgb="FF000000"/>
        <name val="Arial"/>
      </font>
      <fill>
        <patternFill patternType="solid">
          <bgColor rgb="FFF7A9AC"/>
        </patternFill>
      </fill>
    </dxf>
    <dxf>
      <font>
        <sz val="12"/>
        <color rgb="FF000000"/>
        <name val="Arial"/>
      </font>
      <fill>
        <patternFill patternType="solid">
          <bgColor rgb="FFF2676B"/>
        </patternFill>
      </fill>
    </dxf>
    <dxf>
      <font>
        <sz val="12"/>
        <color rgb="FFFFFFFF"/>
        <name val="Arial"/>
      </font>
      <fill>
        <patternFill patternType="solid">
          <bgColor rgb="FFFFFFFF"/>
        </patternFill>
      </fill>
    </dxf>
    <dxf>
      <font>
        <sz val="12"/>
        <color rgb="FF000000"/>
        <name val="Arial"/>
      </font>
      <fill>
        <patternFill patternType="solid">
          <bgColor rgb="FFF2CAC4"/>
        </patternFill>
      </fill>
    </dxf>
    <dxf>
      <font>
        <sz val="12"/>
        <color rgb="FF000000"/>
        <name val="Arial"/>
      </font>
      <fill>
        <patternFill patternType="solid">
          <bgColor rgb="FFEE9F8F"/>
        </patternFill>
      </fill>
    </dxf>
    <dxf>
      <font>
        <sz val="12"/>
        <color rgb="FF000000"/>
        <name val="Arial"/>
      </font>
      <fill>
        <patternFill patternType="solid">
          <bgColor rgb="FFE35A3A"/>
        </patternFill>
      </fill>
    </dxf>
    <dxf>
      <font>
        <sz val="12"/>
        <color rgb="FFFFFFFF"/>
        <name val="Arial"/>
      </font>
      <fill>
        <patternFill patternType="solid">
          <bgColor rgb="FFFFFFFF"/>
        </patternFill>
      </fill>
    </dxf>
    <dxf>
      <font>
        <sz val="12"/>
        <color rgb="FF000000"/>
        <name val="Arial"/>
      </font>
      <fill>
        <patternFill patternType="solid">
          <bgColor rgb="FFFCD5B4"/>
        </patternFill>
      </fill>
    </dxf>
    <dxf>
      <font>
        <sz val="12"/>
        <color rgb="FF000000"/>
        <name val="Arial"/>
      </font>
      <fill>
        <patternFill patternType="solid">
          <bgColor rgb="FFF9BF8E"/>
        </patternFill>
      </fill>
    </dxf>
    <dxf>
      <font>
        <sz val="12"/>
        <color rgb="FF000000"/>
        <name val="Arial"/>
      </font>
      <fill>
        <patternFill patternType="solid">
          <bgColor rgb="FFE06C25"/>
        </patternFill>
      </fill>
    </dxf>
    <dxf>
      <font>
        <sz val="12"/>
        <color rgb="FFFFFFFF"/>
        <name val="Arial"/>
      </font>
      <fill>
        <patternFill patternType="solid">
          <bgColor rgb="FFFFFFFF"/>
        </patternFill>
      </fill>
    </dxf>
    <dxf>
      <font>
        <sz val="12"/>
        <color rgb="FF000000"/>
        <name val="Arial"/>
      </font>
      <fill>
        <patternFill patternType="solid">
          <bgColor rgb="FFFCDCDF"/>
        </patternFill>
      </fill>
    </dxf>
    <dxf>
      <font>
        <sz val="12"/>
        <color rgb="FF000000"/>
        <name val="Arial"/>
      </font>
      <fill>
        <patternFill patternType="solid">
          <bgColor rgb="FFF7A9AC"/>
        </patternFill>
      </fill>
    </dxf>
    <dxf>
      <font>
        <sz val="12"/>
        <color rgb="FF000000"/>
        <name val="Arial"/>
      </font>
      <fill>
        <patternFill patternType="solid">
          <bgColor rgb="FFF2676B"/>
        </patternFill>
      </fill>
    </dxf>
    <dxf>
      <font>
        <sz val="12"/>
        <color rgb="FFFFFFFF"/>
        <name val="Arial"/>
      </font>
      <fill>
        <patternFill patternType="solid">
          <bgColor rgb="FFFFFFFF"/>
        </patternFill>
      </fill>
    </dxf>
    <dxf>
      <font>
        <sz val="12"/>
        <color rgb="FF000000"/>
        <name val="Arial"/>
      </font>
      <fill>
        <patternFill patternType="solid">
          <bgColor rgb="FFF2CAC4"/>
        </patternFill>
      </fill>
    </dxf>
    <dxf>
      <font>
        <sz val="12"/>
        <color rgb="FF000000"/>
        <name val="Arial"/>
      </font>
      <fill>
        <patternFill patternType="solid">
          <bgColor rgb="FFEE9F8F"/>
        </patternFill>
      </fill>
    </dxf>
    <dxf>
      <font>
        <sz val="12"/>
        <color rgb="FF000000"/>
        <name val="Arial"/>
      </font>
      <fill>
        <patternFill patternType="solid">
          <bgColor rgb="FFE35A3A"/>
        </patternFill>
      </fill>
    </dxf>
    <dxf>
      <font>
        <sz val="12"/>
        <color rgb="FFFFFFFF"/>
        <name val="Arial"/>
      </font>
      <fill>
        <patternFill patternType="solid">
          <bgColor rgb="FFFFFFFF"/>
        </patternFill>
      </fill>
    </dxf>
    <dxf>
      <font>
        <sz val="12"/>
        <color rgb="FF000000"/>
        <name val="Arial"/>
      </font>
      <fill>
        <patternFill patternType="solid">
          <bgColor rgb="FFFCD5B4"/>
        </patternFill>
      </fill>
    </dxf>
    <dxf>
      <font>
        <sz val="12"/>
        <color rgb="FF000000"/>
        <name val="Arial"/>
      </font>
      <fill>
        <patternFill patternType="solid">
          <bgColor rgb="FFF9BF8E"/>
        </patternFill>
      </fill>
    </dxf>
    <dxf>
      <font>
        <sz val="12"/>
        <color rgb="FF000000"/>
        <name val="Arial"/>
      </font>
      <fill>
        <patternFill patternType="solid">
          <bgColor rgb="FFE06C25"/>
        </patternFill>
      </fill>
    </dxf>
    <dxf>
      <font>
        <sz val="12"/>
        <color rgb="FFFFFFFF"/>
        <name val="Arial"/>
      </font>
      <fill>
        <patternFill patternType="solid">
          <bgColor rgb="FFFFFFFF"/>
        </patternFill>
      </fill>
    </dxf>
    <dxf>
      <font>
        <sz val="12"/>
        <color rgb="FF000000"/>
        <name val="Arial"/>
      </font>
      <fill>
        <patternFill patternType="solid">
          <bgColor rgb="FFFCDCDF"/>
        </patternFill>
      </fill>
    </dxf>
    <dxf>
      <font>
        <sz val="12"/>
        <color rgb="FF000000"/>
        <name val="Arial"/>
      </font>
      <fill>
        <patternFill patternType="solid">
          <bgColor rgb="FFF7A9AC"/>
        </patternFill>
      </fill>
    </dxf>
    <dxf>
      <font>
        <sz val="12"/>
        <color rgb="FF000000"/>
        <name val="Arial"/>
      </font>
      <fill>
        <patternFill patternType="solid">
          <bgColor rgb="FFF2676B"/>
        </patternFill>
      </fill>
    </dxf>
    <dxf>
      <font>
        <sz val="12"/>
        <color rgb="FFFFFFFF"/>
        <name val="Arial"/>
      </font>
      <fill>
        <patternFill patternType="solid">
          <bgColor rgb="FFFFFFFF"/>
        </patternFill>
      </fill>
    </dxf>
    <dxf>
      <font>
        <sz val="12"/>
        <color rgb="FF000000"/>
        <name val="Arial"/>
      </font>
      <fill>
        <patternFill patternType="solid">
          <bgColor rgb="FFF2CAC4"/>
        </patternFill>
      </fill>
    </dxf>
    <dxf>
      <font>
        <sz val="12"/>
        <color rgb="FF000000"/>
        <name val="Arial"/>
      </font>
      <fill>
        <patternFill patternType="solid">
          <bgColor rgb="FFEE9F8F"/>
        </patternFill>
      </fill>
    </dxf>
    <dxf>
      <font>
        <sz val="12"/>
        <color rgb="FF000000"/>
        <name val="Arial"/>
      </font>
      <fill>
        <patternFill patternType="solid">
          <bgColor rgb="FFE35A3A"/>
        </patternFill>
      </fill>
    </dxf>
    <dxf>
      <font>
        <sz val="12"/>
        <color rgb="FFFFFFFF"/>
        <name val="Arial"/>
      </font>
      <fill>
        <patternFill patternType="solid">
          <bgColor rgb="FFFFFFFF"/>
        </patternFill>
      </fill>
    </dxf>
    <dxf>
      <font>
        <sz val="12"/>
        <color rgb="FF000000"/>
        <name val="Arial"/>
      </font>
      <fill>
        <patternFill patternType="solid">
          <bgColor rgb="FFFCD5B4"/>
        </patternFill>
      </fill>
    </dxf>
    <dxf>
      <font>
        <sz val="12"/>
        <color rgb="FF000000"/>
        <name val="Arial"/>
      </font>
      <fill>
        <patternFill patternType="solid">
          <bgColor rgb="FFF9BF8E"/>
        </patternFill>
      </fill>
    </dxf>
    <dxf>
      <font>
        <sz val="12"/>
        <color rgb="FF000000"/>
        <name val="Arial"/>
      </font>
      <fill>
        <patternFill patternType="solid">
          <bgColor rgb="FFE06C25"/>
        </patternFill>
      </fill>
    </dxf>
    <dxf>
      <font>
        <sz val="12"/>
        <color rgb="FFFFFFFF"/>
        <name val="Arial"/>
      </font>
      <fill>
        <patternFill patternType="solid">
          <bgColor rgb="FFFFFFFF"/>
        </patternFill>
      </fill>
    </dxf>
    <dxf>
      <font>
        <sz val="12"/>
        <color rgb="FF000000"/>
        <name val="Arial"/>
      </font>
      <fill>
        <patternFill patternType="solid">
          <bgColor rgb="FFFCDCDF"/>
        </patternFill>
      </fill>
    </dxf>
    <dxf>
      <font>
        <sz val="12"/>
        <color rgb="FF000000"/>
        <name val="Arial"/>
      </font>
      <fill>
        <patternFill patternType="solid">
          <bgColor rgb="FFF7A9AC"/>
        </patternFill>
      </fill>
    </dxf>
    <dxf>
      <font>
        <sz val="12"/>
        <color rgb="FF000000"/>
        <name val="Arial"/>
      </font>
      <fill>
        <patternFill patternType="solid">
          <bgColor rgb="FFF2676B"/>
        </patternFill>
      </fill>
    </dxf>
    <dxf>
      <font>
        <sz val="12"/>
        <color rgb="FFFFFFFF"/>
        <name val="Arial"/>
      </font>
      <fill>
        <patternFill patternType="solid">
          <bgColor rgb="FFFFFFFF"/>
        </patternFill>
      </fill>
    </dxf>
    <dxf>
      <font>
        <sz val="12"/>
        <color rgb="FF000000"/>
        <name val="Arial"/>
      </font>
      <fill>
        <patternFill patternType="solid">
          <bgColor rgb="FFF2CAC4"/>
        </patternFill>
      </fill>
    </dxf>
    <dxf>
      <font>
        <sz val="12"/>
        <color rgb="FF000000"/>
        <name val="Arial"/>
      </font>
      <fill>
        <patternFill patternType="solid">
          <bgColor rgb="FFEE9F8F"/>
        </patternFill>
      </fill>
    </dxf>
    <dxf>
      <font>
        <sz val="12"/>
        <color rgb="FF000000"/>
        <name val="Arial"/>
      </font>
      <fill>
        <patternFill patternType="solid">
          <bgColor rgb="FFE35A3A"/>
        </patternFill>
      </fill>
    </dxf>
    <dxf>
      <font>
        <sz val="12"/>
        <color rgb="FFFFFFFF"/>
        <name val="Arial"/>
      </font>
      <fill>
        <patternFill patternType="solid">
          <bgColor rgb="FFFFFFFF"/>
        </patternFill>
      </fill>
    </dxf>
    <dxf>
      <font>
        <sz val="12"/>
        <color rgb="FF000000"/>
        <name val="Arial"/>
      </font>
      <fill>
        <patternFill patternType="solid">
          <bgColor rgb="FFFCD5B4"/>
        </patternFill>
      </fill>
    </dxf>
    <dxf>
      <font>
        <sz val="12"/>
        <color rgb="FF000000"/>
        <name val="Arial"/>
      </font>
      <fill>
        <patternFill patternType="solid">
          <bgColor rgb="FFF9BF8E"/>
        </patternFill>
      </fill>
    </dxf>
    <dxf>
      <font>
        <sz val="12"/>
        <color rgb="FF000000"/>
        <name val="Arial"/>
      </font>
      <fill>
        <patternFill patternType="solid">
          <bgColor rgb="FFE06C25"/>
        </patternFill>
      </fill>
    </dxf>
    <dxf>
      <font>
        <sz val="12"/>
        <color rgb="FFFFFFFF"/>
        <name val="Arial"/>
      </font>
      <fill>
        <patternFill patternType="solid">
          <bgColor rgb="FFFFFFFF"/>
        </patternFill>
      </fill>
    </dxf>
    <dxf>
      <font>
        <sz val="12"/>
        <color rgb="FF000000"/>
        <name val="Arial"/>
      </font>
      <fill>
        <patternFill patternType="solid">
          <bgColor rgb="FFFCDCDF"/>
        </patternFill>
      </fill>
    </dxf>
    <dxf>
      <font>
        <sz val="12"/>
        <color rgb="FF000000"/>
        <name val="Arial"/>
      </font>
      <fill>
        <patternFill patternType="solid">
          <bgColor rgb="FFF7A9AC"/>
        </patternFill>
      </fill>
    </dxf>
    <dxf>
      <font>
        <sz val="12"/>
        <color rgb="FF000000"/>
        <name val="Arial"/>
      </font>
      <fill>
        <patternFill patternType="solid">
          <bgColor rgb="FFF2676B"/>
        </patternFill>
      </fill>
    </dxf>
    <dxf>
      <font>
        <sz val="12"/>
        <color rgb="FFFFFFFF"/>
        <name val="Arial"/>
      </font>
      <fill>
        <patternFill patternType="solid">
          <bgColor rgb="FFFFFFFF"/>
        </patternFill>
      </fill>
    </dxf>
    <dxf>
      <font>
        <sz val="12"/>
        <color rgb="FF000000"/>
        <name val="Arial"/>
      </font>
      <fill>
        <patternFill patternType="solid">
          <bgColor rgb="FFF2CAC4"/>
        </patternFill>
      </fill>
    </dxf>
    <dxf>
      <font>
        <sz val="12"/>
        <color rgb="FF000000"/>
        <name val="Arial"/>
      </font>
      <fill>
        <patternFill patternType="solid">
          <bgColor rgb="FFEE9F8F"/>
        </patternFill>
      </fill>
    </dxf>
    <dxf>
      <font>
        <sz val="12"/>
        <color rgb="FF000000"/>
        <name val="Arial"/>
      </font>
      <fill>
        <patternFill patternType="solid">
          <bgColor rgb="FFE35A3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b-draft-manu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mpoundAlert"/>
      <sheetName val="Health"/>
      <sheetName val="Food Security"/>
      <sheetName val="Fragility and Conflict"/>
      <sheetName val="Macro Fiscal"/>
      <sheetName val="Natural Hazard"/>
      <sheetName val="Socioeconomic Vulnerability"/>
    </sheetNames>
    <sheetDataSet>
      <sheetData sheetId="0"/>
      <sheetData sheetId="1"/>
      <sheetData sheetId="2">
        <row r="3">
          <cell r="F3">
            <v>10</v>
          </cell>
          <cell r="G3">
            <v>9.4015384615384594</v>
          </cell>
        </row>
        <row r="4">
          <cell r="F4">
            <v>9</v>
          </cell>
          <cell r="G4">
            <v>5.63137254901961</v>
          </cell>
        </row>
        <row r="5">
          <cell r="F5">
            <v>5.5</v>
          </cell>
          <cell r="G5">
            <v>10</v>
          </cell>
        </row>
        <row r="6">
          <cell r="F6">
            <v>4.66</v>
          </cell>
          <cell r="G6">
            <v>10</v>
          </cell>
        </row>
        <row r="7">
          <cell r="F7">
            <v>3.5</v>
          </cell>
          <cell r="G7">
            <v>7.1428571428571104</v>
          </cell>
        </row>
        <row r="8">
          <cell r="F8">
            <v>4</v>
          </cell>
          <cell r="G8">
            <v>2.3815599999999999</v>
          </cell>
        </row>
        <row r="9">
          <cell r="F9">
            <v>8.1999999999999993</v>
          </cell>
          <cell r="G9">
            <v>10</v>
          </cell>
        </row>
        <row r="10">
          <cell r="F10">
            <v>0.25</v>
          </cell>
          <cell r="G10">
            <v>7.1428571428571104</v>
          </cell>
        </row>
        <row r="11">
          <cell r="F11">
            <v>2.5</v>
          </cell>
          <cell r="G11">
            <v>7.5419200000000002</v>
          </cell>
        </row>
        <row r="12">
          <cell r="F12">
            <v>7.16</v>
          </cell>
          <cell r="G12">
            <v>7.1428571428571104</v>
          </cell>
        </row>
        <row r="13">
          <cell r="F13">
            <v>10</v>
          </cell>
          <cell r="G13">
            <v>10</v>
          </cell>
        </row>
        <row r="14">
          <cell r="F14">
            <v>2</v>
          </cell>
          <cell r="G14">
            <v>7.8109200000000003</v>
          </cell>
        </row>
        <row r="15">
          <cell r="F15">
            <v>9.5</v>
          </cell>
          <cell r="G15">
            <v>9.5329137446929693</v>
          </cell>
        </row>
        <row r="16">
          <cell r="F16">
            <v>10</v>
          </cell>
          <cell r="G16">
            <v>10</v>
          </cell>
        </row>
        <row r="17">
          <cell r="F17">
            <v>8</v>
          </cell>
          <cell r="G17">
            <v>2.3809523809523698</v>
          </cell>
        </row>
        <row r="18">
          <cell r="F18">
            <v>4.88</v>
          </cell>
          <cell r="G18">
            <v>9.4580000000000002</v>
          </cell>
        </row>
        <row r="19">
          <cell r="F19">
            <v>6.12</v>
          </cell>
          <cell r="G19">
            <v>10</v>
          </cell>
        </row>
        <row r="20">
          <cell r="F20">
            <v>7.88</v>
          </cell>
          <cell r="G20">
            <v>10</v>
          </cell>
        </row>
        <row r="21">
          <cell r="F21">
            <v>5.44</v>
          </cell>
          <cell r="G21">
            <v>8.5340000000000007</v>
          </cell>
        </row>
        <row r="22">
          <cell r="F22">
            <v>6.94</v>
          </cell>
          <cell r="G22">
            <v>6.8461538461538503</v>
          </cell>
        </row>
        <row r="23">
          <cell r="F23">
            <v>7.64</v>
          </cell>
          <cell r="G23">
            <v>10</v>
          </cell>
        </row>
        <row r="24">
          <cell r="F24">
            <v>7.25</v>
          </cell>
          <cell r="G24">
            <v>7.1969230769230803</v>
          </cell>
        </row>
        <row r="25">
          <cell r="F25">
            <v>3.75</v>
          </cell>
          <cell r="G25">
            <v>10</v>
          </cell>
        </row>
        <row r="26">
          <cell r="F26">
            <v>7.62</v>
          </cell>
          <cell r="G26">
            <v>10</v>
          </cell>
        </row>
        <row r="27">
          <cell r="F27">
            <v>7.48</v>
          </cell>
          <cell r="G27">
            <v>5.4707692307692302</v>
          </cell>
        </row>
        <row r="28">
          <cell r="F28">
            <v>5.94</v>
          </cell>
          <cell r="G28">
            <v>10</v>
          </cell>
        </row>
        <row r="29">
          <cell r="F29">
            <v>7.78</v>
          </cell>
          <cell r="G29">
            <v>9.5238095238094793</v>
          </cell>
        </row>
        <row r="30">
          <cell r="F30">
            <v>10</v>
          </cell>
          <cell r="G30">
            <v>10</v>
          </cell>
        </row>
        <row r="31">
          <cell r="F31">
            <v>0</v>
          </cell>
          <cell r="G31">
            <v>4.7619047619047397</v>
          </cell>
        </row>
        <row r="32">
          <cell r="F32">
            <v>0.60000000000000098</v>
          </cell>
          <cell r="G32">
            <v>4.6535200000000003</v>
          </cell>
        </row>
        <row r="33">
          <cell r="F33">
            <v>2.5</v>
          </cell>
          <cell r="G33">
            <v>10</v>
          </cell>
        </row>
        <row r="34">
          <cell r="F34">
            <v>4.3600000000000003</v>
          </cell>
          <cell r="G34">
            <v>10</v>
          </cell>
        </row>
        <row r="35">
          <cell r="F35">
            <v>9</v>
          </cell>
          <cell r="G35">
            <v>6.1538461538461497</v>
          </cell>
        </row>
        <row r="36">
          <cell r="F36">
            <v>9.25</v>
          </cell>
          <cell r="G36">
            <v>10</v>
          </cell>
        </row>
        <row r="37">
          <cell r="F37">
            <v>10</v>
          </cell>
          <cell r="G37">
            <v>10</v>
          </cell>
        </row>
        <row r="38">
          <cell r="F38">
            <v>9.2799999999999994</v>
          </cell>
          <cell r="G38">
            <v>10</v>
          </cell>
        </row>
        <row r="39">
          <cell r="F39">
            <v>5.75</v>
          </cell>
          <cell r="G39">
            <v>7.1428571428571104</v>
          </cell>
        </row>
        <row r="40">
          <cell r="F40">
            <v>10</v>
          </cell>
          <cell r="G40">
            <v>4.5999999999999996</v>
          </cell>
        </row>
        <row r="41">
          <cell r="F41">
            <v>8.14</v>
          </cell>
          <cell r="G41">
            <v>3.15524</v>
          </cell>
        </row>
        <row r="42">
          <cell r="F42">
            <v>4.9800000000000004</v>
          </cell>
          <cell r="G42">
            <v>4.7619047619047397</v>
          </cell>
        </row>
        <row r="43">
          <cell r="F43">
            <v>6.96</v>
          </cell>
          <cell r="G43">
            <v>4.7619047619047397</v>
          </cell>
        </row>
        <row r="44">
          <cell r="F44">
            <v>5.4</v>
          </cell>
          <cell r="G44">
            <v>10</v>
          </cell>
        </row>
        <row r="45">
          <cell r="F45">
            <v>3.6</v>
          </cell>
          <cell r="G45">
            <v>10</v>
          </cell>
        </row>
        <row r="46">
          <cell r="F46">
            <v>0.79999999999999905</v>
          </cell>
          <cell r="G46">
            <v>9.6820000000000004</v>
          </cell>
        </row>
        <row r="47">
          <cell r="F47">
            <v>9.36</v>
          </cell>
          <cell r="G47">
            <v>10</v>
          </cell>
        </row>
        <row r="48">
          <cell r="F48">
            <v>9.1999999999999993</v>
          </cell>
          <cell r="G48">
            <v>9.5238095238094793</v>
          </cell>
        </row>
        <row r="49">
          <cell r="F49">
            <v>0.25</v>
          </cell>
          <cell r="G49">
            <v>10</v>
          </cell>
        </row>
        <row r="50">
          <cell r="F50">
            <v>6.34</v>
          </cell>
          <cell r="G50">
            <v>3.3338461538461499</v>
          </cell>
        </row>
        <row r="51">
          <cell r="F51">
            <v>9.2799999999999994</v>
          </cell>
          <cell r="G51">
            <v>2.9907692307692302</v>
          </cell>
        </row>
        <row r="52">
          <cell r="F52">
            <v>4.75</v>
          </cell>
          <cell r="G52">
            <v>4.7619047619047397</v>
          </cell>
        </row>
        <row r="53">
          <cell r="F53">
            <v>6.02</v>
          </cell>
          <cell r="G53">
            <v>2.7861538461538502</v>
          </cell>
        </row>
        <row r="54">
          <cell r="F54">
            <v>9.75</v>
          </cell>
          <cell r="G54">
            <v>9.5238095238094793</v>
          </cell>
        </row>
        <row r="55">
          <cell r="F55">
            <v>2</v>
          </cell>
          <cell r="G55">
            <v>10</v>
          </cell>
        </row>
        <row r="56">
          <cell r="F56">
            <v>2.6</v>
          </cell>
          <cell r="G56">
            <v>10</v>
          </cell>
        </row>
        <row r="57">
          <cell r="F57">
            <v>9.75</v>
          </cell>
          <cell r="G57">
            <v>10</v>
          </cell>
        </row>
        <row r="58">
          <cell r="F58">
            <v>0.26</v>
          </cell>
          <cell r="G58">
            <v>9.5238095238094793</v>
          </cell>
        </row>
        <row r="59">
          <cell r="F59">
            <v>8.86</v>
          </cell>
          <cell r="G59">
            <v>10</v>
          </cell>
        </row>
        <row r="60">
          <cell r="F60">
            <v>2.5</v>
          </cell>
          <cell r="G60">
            <v>10</v>
          </cell>
        </row>
        <row r="61">
          <cell r="F61">
            <v>7.44</v>
          </cell>
          <cell r="G61">
            <v>0</v>
          </cell>
        </row>
        <row r="62">
          <cell r="F62">
            <v>10</v>
          </cell>
          <cell r="G62">
            <v>10</v>
          </cell>
        </row>
        <row r="63">
          <cell r="F63">
            <v>1.5</v>
          </cell>
          <cell r="G63">
            <v>10</v>
          </cell>
        </row>
        <row r="64">
          <cell r="F64">
            <v>5</v>
          </cell>
          <cell r="G64">
            <v>9.5238095238094793</v>
          </cell>
        </row>
        <row r="65">
          <cell r="F65">
            <v>6.9</v>
          </cell>
          <cell r="G65">
            <v>5.6415384615384596</v>
          </cell>
        </row>
        <row r="66">
          <cell r="F66">
            <v>10</v>
          </cell>
          <cell r="G66">
            <v>10</v>
          </cell>
        </row>
        <row r="67">
          <cell r="F67">
            <v>9.25</v>
          </cell>
          <cell r="G67">
            <v>9.5238095238094793</v>
          </cell>
        </row>
        <row r="68">
          <cell r="F68">
            <v>10</v>
          </cell>
          <cell r="G68">
            <v>3.03134111128271</v>
          </cell>
        </row>
        <row r="69">
          <cell r="F69">
            <v>10</v>
          </cell>
          <cell r="G69">
            <v>7.6923076923076898</v>
          </cell>
        </row>
        <row r="70">
          <cell r="F70">
            <v>3.25</v>
          </cell>
          <cell r="G70">
            <v>4.7619047619047397</v>
          </cell>
        </row>
        <row r="71">
          <cell r="F71">
            <v>8.5</v>
          </cell>
          <cell r="G71">
            <v>6.6666666666748099E-4</v>
          </cell>
        </row>
        <row r="72">
          <cell r="F72">
            <v>7.46</v>
          </cell>
          <cell r="G72">
            <v>5.0861538461538496</v>
          </cell>
        </row>
        <row r="73">
          <cell r="F73">
            <v>7.66</v>
          </cell>
          <cell r="G73">
            <v>10</v>
          </cell>
        </row>
        <row r="74">
          <cell r="F74">
            <v>8.48</v>
          </cell>
          <cell r="G74">
            <v>7.1428571428571104</v>
          </cell>
        </row>
        <row r="75">
          <cell r="F75">
            <v>3.75</v>
          </cell>
          <cell r="G75">
            <v>7.726</v>
          </cell>
        </row>
        <row r="76">
          <cell r="F76">
            <v>10</v>
          </cell>
          <cell r="G76">
            <v>5.9830769230769203</v>
          </cell>
        </row>
        <row r="77">
          <cell r="F77">
            <v>3.5</v>
          </cell>
          <cell r="G77">
            <v>10</v>
          </cell>
        </row>
        <row r="78">
          <cell r="F78">
            <v>6</v>
          </cell>
          <cell r="G78">
            <v>4.7619047619047397</v>
          </cell>
        </row>
        <row r="79">
          <cell r="F79">
            <v>6.5</v>
          </cell>
          <cell r="G79">
            <v>7.1428571428571104</v>
          </cell>
        </row>
        <row r="80">
          <cell r="F80">
            <v>2.5</v>
          </cell>
          <cell r="G80">
            <v>10</v>
          </cell>
        </row>
        <row r="81">
          <cell r="F81">
            <v>6.46</v>
          </cell>
          <cell r="G81">
            <v>3.7927599999999999</v>
          </cell>
        </row>
        <row r="82">
          <cell r="F82">
            <v>8.84</v>
          </cell>
          <cell r="G82">
            <v>10</v>
          </cell>
        </row>
        <row r="83">
          <cell r="F83">
            <v>4.74</v>
          </cell>
          <cell r="G83">
            <v>7.1428571428571104</v>
          </cell>
        </row>
        <row r="84">
          <cell r="F84">
            <v>4.54</v>
          </cell>
          <cell r="G84">
            <v>10</v>
          </cell>
        </row>
        <row r="85">
          <cell r="F85">
            <v>3</v>
          </cell>
          <cell r="G85">
            <v>10</v>
          </cell>
        </row>
        <row r="86">
          <cell r="F86">
            <v>8.1999999999999993</v>
          </cell>
          <cell r="G86">
            <v>7.1428571428571104</v>
          </cell>
        </row>
        <row r="87">
          <cell r="F87">
            <v>5.75</v>
          </cell>
          <cell r="G87">
            <v>10</v>
          </cell>
        </row>
        <row r="88">
          <cell r="F88">
            <v>2.04</v>
          </cell>
          <cell r="G88">
            <v>4.02615384615385</v>
          </cell>
        </row>
        <row r="89">
          <cell r="F89">
            <v>5.86</v>
          </cell>
          <cell r="G89">
            <v>7.1428571428571104</v>
          </cell>
        </row>
        <row r="90">
          <cell r="F90">
            <v>9</v>
          </cell>
          <cell r="G90">
            <v>4.6153846153846203</v>
          </cell>
        </row>
        <row r="91">
          <cell r="F91">
            <v>4.5</v>
          </cell>
          <cell r="G91">
            <v>6.83692307692308</v>
          </cell>
        </row>
        <row r="92">
          <cell r="F92">
            <v>7.25</v>
          </cell>
          <cell r="G92">
            <v>7.1428571428571104</v>
          </cell>
        </row>
        <row r="93">
          <cell r="F93">
            <v>10</v>
          </cell>
          <cell r="G93">
            <v>9.9138461538461495</v>
          </cell>
        </row>
        <row r="94">
          <cell r="F94">
            <v>8.76</v>
          </cell>
          <cell r="G94">
            <v>0</v>
          </cell>
        </row>
        <row r="95">
          <cell r="F95">
            <v>10</v>
          </cell>
          <cell r="G95">
            <v>2.9061538461538499</v>
          </cell>
        </row>
        <row r="96">
          <cell r="F96">
            <v>4.78</v>
          </cell>
          <cell r="G96">
            <v>10</v>
          </cell>
        </row>
        <row r="97">
          <cell r="F97">
            <v>6.5</v>
          </cell>
          <cell r="G97">
            <v>10</v>
          </cell>
        </row>
        <row r="98">
          <cell r="F98">
            <v>7.5</v>
          </cell>
          <cell r="G98">
            <v>10</v>
          </cell>
        </row>
        <row r="99">
          <cell r="F99">
            <v>10</v>
          </cell>
          <cell r="G99">
            <v>5.7261538461538501</v>
          </cell>
        </row>
        <row r="100">
          <cell r="F100">
            <v>8.86</v>
          </cell>
          <cell r="G100">
            <v>4.1030769230769204</v>
          </cell>
        </row>
        <row r="101">
          <cell r="F101">
            <v>6.94</v>
          </cell>
          <cell r="G101">
            <v>10</v>
          </cell>
        </row>
        <row r="102">
          <cell r="F102">
            <v>5.3</v>
          </cell>
          <cell r="G102">
            <v>10</v>
          </cell>
        </row>
        <row r="103">
          <cell r="F103">
            <v>7.22</v>
          </cell>
          <cell r="G103">
            <v>10</v>
          </cell>
        </row>
        <row r="104">
          <cell r="F104">
            <v>10</v>
          </cell>
          <cell r="G104">
            <v>8.2783306260768708</v>
          </cell>
        </row>
        <row r="105">
          <cell r="F105">
            <v>3</v>
          </cell>
          <cell r="G105">
            <v>10</v>
          </cell>
        </row>
        <row r="106">
          <cell r="F106">
            <v>5.24</v>
          </cell>
          <cell r="G106">
            <v>10</v>
          </cell>
        </row>
        <row r="107">
          <cell r="F107">
            <v>3.5</v>
          </cell>
          <cell r="G107">
            <v>10</v>
          </cell>
        </row>
        <row r="108">
          <cell r="F108">
            <v>5.75</v>
          </cell>
          <cell r="G108">
            <v>7.1428571428571104</v>
          </cell>
        </row>
        <row r="109">
          <cell r="F109">
            <v>6</v>
          </cell>
          <cell r="G109">
            <v>9.3010400000000004</v>
          </cell>
        </row>
        <row r="110">
          <cell r="F110">
            <v>10</v>
          </cell>
          <cell r="G110">
            <v>7.7587844254510996</v>
          </cell>
        </row>
        <row r="111">
          <cell r="F111">
            <v>7.24</v>
          </cell>
          <cell r="G111">
            <v>9.9476800000000001</v>
          </cell>
        </row>
        <row r="112">
          <cell r="F112">
            <v>4.25</v>
          </cell>
          <cell r="G112">
            <v>10</v>
          </cell>
        </row>
        <row r="113">
          <cell r="F113">
            <v>10</v>
          </cell>
          <cell r="G113">
            <v>0</v>
          </cell>
        </row>
        <row r="114">
          <cell r="F114">
            <v>6.18</v>
          </cell>
          <cell r="G114">
            <v>10</v>
          </cell>
        </row>
        <row r="115">
          <cell r="F115">
            <v>9.25</v>
          </cell>
          <cell r="G115">
            <v>10</v>
          </cell>
        </row>
        <row r="116">
          <cell r="F116">
            <v>6.54</v>
          </cell>
          <cell r="G116">
            <v>10</v>
          </cell>
        </row>
        <row r="117">
          <cell r="F117">
            <v>7</v>
          </cell>
          <cell r="G117">
            <v>10</v>
          </cell>
        </row>
        <row r="118">
          <cell r="F118">
            <v>5.26</v>
          </cell>
          <cell r="G118">
            <v>10</v>
          </cell>
        </row>
        <row r="119">
          <cell r="F119">
            <v>4.25</v>
          </cell>
          <cell r="G119">
            <v>10</v>
          </cell>
        </row>
        <row r="120">
          <cell r="F120">
            <v>10</v>
          </cell>
          <cell r="G120">
            <v>3.8461538461538498</v>
          </cell>
        </row>
        <row r="121">
          <cell r="F121">
            <v>9.5</v>
          </cell>
          <cell r="G121">
            <v>10</v>
          </cell>
        </row>
        <row r="122">
          <cell r="F122">
            <v>7.02</v>
          </cell>
          <cell r="G122">
            <v>10</v>
          </cell>
        </row>
        <row r="123">
          <cell r="F123">
            <v>9.25</v>
          </cell>
          <cell r="G123">
            <v>5.0430769230769199</v>
          </cell>
        </row>
        <row r="124">
          <cell r="F124">
            <v>3</v>
          </cell>
          <cell r="G124">
            <v>9.5238095238094793</v>
          </cell>
        </row>
        <row r="125">
          <cell r="F125">
            <v>7.75</v>
          </cell>
          <cell r="G125">
            <v>5.2138461538461502</v>
          </cell>
        </row>
        <row r="126">
          <cell r="F126">
            <v>10</v>
          </cell>
          <cell r="G126">
            <v>9.5238095238094793</v>
          </cell>
        </row>
        <row r="127">
          <cell r="F127">
            <v>9.75</v>
          </cell>
          <cell r="G127">
            <v>10</v>
          </cell>
        </row>
        <row r="128">
          <cell r="F128">
            <v>6.5</v>
          </cell>
          <cell r="G128">
            <v>10</v>
          </cell>
        </row>
        <row r="129">
          <cell r="F129">
            <v>1.25</v>
          </cell>
          <cell r="G129">
            <v>9.2316400000000005</v>
          </cell>
        </row>
        <row r="130">
          <cell r="F130">
            <v>1.08</v>
          </cell>
          <cell r="G130">
            <v>9.5238095238094793</v>
          </cell>
        </row>
        <row r="131">
          <cell r="F131">
            <v>7.75</v>
          </cell>
          <cell r="G131">
            <v>4.7619047619047397</v>
          </cell>
        </row>
        <row r="132">
          <cell r="F132">
            <v>9.84</v>
          </cell>
          <cell r="G132">
            <v>0</v>
          </cell>
        </row>
        <row r="133">
          <cell r="F133">
            <v>3.2</v>
          </cell>
          <cell r="G133">
            <v>10</v>
          </cell>
        </row>
        <row r="134">
          <cell r="F134">
            <v>5.38</v>
          </cell>
          <cell r="G134">
            <v>4.7619047619047397</v>
          </cell>
        </row>
        <row r="135">
          <cell r="F135">
            <v>8.25</v>
          </cell>
          <cell r="G135">
            <v>3.1707692307692299</v>
          </cell>
        </row>
        <row r="136">
          <cell r="F136">
            <v>5.26</v>
          </cell>
          <cell r="G136">
            <v>7.1428571428571104</v>
          </cell>
        </row>
        <row r="137">
          <cell r="F137">
            <v>5.75</v>
          </cell>
          <cell r="G137">
            <v>10</v>
          </cell>
        </row>
        <row r="138">
          <cell r="F138">
            <v>6.75</v>
          </cell>
          <cell r="G138">
            <v>7.1428571428571104</v>
          </cell>
        </row>
        <row r="139">
          <cell r="F139">
            <v>9.6199999999999992</v>
          </cell>
          <cell r="G139">
            <v>0</v>
          </cell>
        </row>
        <row r="140">
          <cell r="F140">
            <v>9.25</v>
          </cell>
          <cell r="G140">
            <v>7.1428571428571104</v>
          </cell>
        </row>
        <row r="141">
          <cell r="F141">
            <v>2.92</v>
          </cell>
          <cell r="G141">
            <v>10</v>
          </cell>
        </row>
        <row r="142">
          <cell r="F142">
            <v>6.75</v>
          </cell>
          <cell r="G142">
            <v>0</v>
          </cell>
        </row>
        <row r="143">
          <cell r="F143">
            <v>2</v>
          </cell>
          <cell r="G143">
            <v>10</v>
          </cell>
        </row>
        <row r="144">
          <cell r="F144">
            <v>6.86</v>
          </cell>
          <cell r="G144">
            <v>6.14968</v>
          </cell>
        </row>
        <row r="145">
          <cell r="F145">
            <v>5.76</v>
          </cell>
          <cell r="G145">
            <v>10</v>
          </cell>
        </row>
        <row r="146">
          <cell r="F146">
            <v>4.84</v>
          </cell>
          <cell r="G146">
            <v>7.1440000000000001</v>
          </cell>
        </row>
        <row r="147">
          <cell r="F147">
            <v>5.14</v>
          </cell>
          <cell r="G147">
            <v>6.0720000000000001</v>
          </cell>
        </row>
        <row r="148">
          <cell r="F148">
            <v>7.5</v>
          </cell>
          <cell r="G148">
            <v>9.5238095238094793</v>
          </cell>
        </row>
        <row r="149">
          <cell r="F149">
            <v>4.1399999999999997</v>
          </cell>
          <cell r="G149">
            <v>10</v>
          </cell>
        </row>
        <row r="150">
          <cell r="F150">
            <v>9.5</v>
          </cell>
          <cell r="G150">
            <v>10</v>
          </cell>
        </row>
        <row r="151">
          <cell r="F151">
            <v>7.75</v>
          </cell>
          <cell r="G151">
            <v>10</v>
          </cell>
        </row>
        <row r="152">
          <cell r="F152">
            <v>2.2599999999999998</v>
          </cell>
          <cell r="G152">
            <v>2.3809523809523698</v>
          </cell>
        </row>
        <row r="153">
          <cell r="F153">
            <v>9.86</v>
          </cell>
          <cell r="G153">
            <v>7.8630769230769202</v>
          </cell>
        </row>
        <row r="154">
          <cell r="F154">
            <v>10</v>
          </cell>
          <cell r="G154">
            <v>10</v>
          </cell>
        </row>
        <row r="155">
          <cell r="F155">
            <v>5.5</v>
          </cell>
          <cell r="G155">
            <v>7.1428571428571104</v>
          </cell>
        </row>
        <row r="156">
          <cell r="F156">
            <v>10</v>
          </cell>
          <cell r="G156">
            <v>10</v>
          </cell>
        </row>
        <row r="157">
          <cell r="F157">
            <v>4.25</v>
          </cell>
          <cell r="G157">
            <v>10</v>
          </cell>
        </row>
        <row r="158">
          <cell r="F158">
            <v>10</v>
          </cell>
          <cell r="G158">
            <v>10</v>
          </cell>
        </row>
        <row r="159">
          <cell r="F159">
            <v>10</v>
          </cell>
          <cell r="G159">
            <v>10</v>
          </cell>
        </row>
        <row r="160">
          <cell r="F160">
            <v>6.7</v>
          </cell>
          <cell r="G160">
            <v>2.5646153846153799</v>
          </cell>
        </row>
        <row r="161">
          <cell r="F161">
            <v>4.42</v>
          </cell>
          <cell r="G161">
            <v>10</v>
          </cell>
        </row>
        <row r="162">
          <cell r="F162">
            <v>1.75</v>
          </cell>
          <cell r="G162">
            <v>10</v>
          </cell>
        </row>
        <row r="163">
          <cell r="F163">
            <v>0.5</v>
          </cell>
          <cell r="G163">
            <v>10</v>
          </cell>
        </row>
        <row r="164">
          <cell r="F164">
            <v>8.25</v>
          </cell>
          <cell r="G164">
            <v>4.7619047619047397</v>
          </cell>
        </row>
        <row r="165">
          <cell r="F165">
            <v>7.62</v>
          </cell>
          <cell r="G165">
            <v>10</v>
          </cell>
        </row>
        <row r="166">
          <cell r="F166">
            <v>10</v>
          </cell>
          <cell r="G166">
            <v>7.7353846153846204</v>
          </cell>
        </row>
        <row r="167">
          <cell r="F167">
            <v>10</v>
          </cell>
          <cell r="G167">
            <v>10</v>
          </cell>
        </row>
        <row r="168">
          <cell r="F168">
            <v>9.75</v>
          </cell>
          <cell r="G168">
            <v>10</v>
          </cell>
        </row>
        <row r="169">
          <cell r="F169">
            <v>4.5</v>
          </cell>
          <cell r="G169">
            <v>10</v>
          </cell>
        </row>
        <row r="170">
          <cell r="F170">
            <v>7.54</v>
          </cell>
          <cell r="G170">
            <v>9.4876923076923099</v>
          </cell>
        </row>
        <row r="171">
          <cell r="F171">
            <v>7.64</v>
          </cell>
          <cell r="G171">
            <v>6.4953846153846104</v>
          </cell>
        </row>
        <row r="172">
          <cell r="F172">
            <v>8.8000000000000007</v>
          </cell>
          <cell r="G172">
            <v>9.5238095238094793</v>
          </cell>
        </row>
        <row r="173">
          <cell r="F173">
            <v>8.98</v>
          </cell>
          <cell r="G173">
            <v>7.0938461538461501</v>
          </cell>
        </row>
        <row r="174">
          <cell r="F174">
            <v>6.68</v>
          </cell>
          <cell r="G174">
            <v>10</v>
          </cell>
        </row>
        <row r="175">
          <cell r="F175">
            <v>7.26</v>
          </cell>
          <cell r="G175">
            <v>9.5238095238094793</v>
          </cell>
        </row>
        <row r="176">
          <cell r="F176">
            <v>4.75</v>
          </cell>
          <cell r="G176">
            <v>3.5394000000000001</v>
          </cell>
        </row>
        <row r="177">
          <cell r="F177">
            <v>9.68</v>
          </cell>
          <cell r="G177">
            <v>0</v>
          </cell>
        </row>
        <row r="178">
          <cell r="F178">
            <v>9</v>
          </cell>
          <cell r="G178">
            <v>10</v>
          </cell>
        </row>
        <row r="179">
          <cell r="F179">
            <v>10</v>
          </cell>
          <cell r="G179">
            <v>10</v>
          </cell>
        </row>
        <row r="180">
          <cell r="F180">
            <v>6.4</v>
          </cell>
          <cell r="G180">
            <v>5.4820000000000002</v>
          </cell>
        </row>
        <row r="181">
          <cell r="F181">
            <v>5.74</v>
          </cell>
          <cell r="G181">
            <v>7.1428571428571104</v>
          </cell>
        </row>
        <row r="182">
          <cell r="F182">
            <v>1.25</v>
          </cell>
          <cell r="G182">
            <v>10</v>
          </cell>
        </row>
        <row r="183">
          <cell r="F183">
            <v>7.14</v>
          </cell>
          <cell r="G183">
            <v>7.2646153846153796</v>
          </cell>
        </row>
        <row r="184">
          <cell r="F184">
            <v>7.4</v>
          </cell>
          <cell r="G184">
            <v>4.3778800000000002</v>
          </cell>
        </row>
        <row r="185">
          <cell r="F185">
            <v>9.4</v>
          </cell>
          <cell r="G185">
            <v>4.7619047619047397</v>
          </cell>
        </row>
        <row r="186">
          <cell r="F186">
            <v>4.5</v>
          </cell>
          <cell r="G186">
            <v>1.88</v>
          </cell>
        </row>
        <row r="187">
          <cell r="F187">
            <v>8.7799999999999994</v>
          </cell>
          <cell r="G187">
            <v>9.5238095238094793</v>
          </cell>
        </row>
        <row r="188">
          <cell r="F188">
            <v>8.7200000000000006</v>
          </cell>
          <cell r="G188">
            <v>2.8800000000000402E-2</v>
          </cell>
        </row>
        <row r="189">
          <cell r="F189">
            <v>10</v>
          </cell>
          <cell r="G189">
            <v>8.6323076923076894</v>
          </cell>
        </row>
        <row r="190">
          <cell r="F190">
            <v>6.75</v>
          </cell>
          <cell r="G190">
            <v>7.1428571428571104</v>
          </cell>
        </row>
        <row r="191">
          <cell r="F191">
            <v>10</v>
          </cell>
          <cell r="G191">
            <v>7.3507692307692301</v>
          </cell>
        </row>
        <row r="192">
          <cell r="F192">
            <v>8.25</v>
          </cell>
          <cell r="G192">
            <v>4.7619047619047397</v>
          </cell>
        </row>
      </sheetData>
      <sheetData sheetId="3">
        <row r="3">
          <cell r="F3">
            <v>10</v>
          </cell>
          <cell r="G3">
            <v>10</v>
          </cell>
        </row>
        <row r="4">
          <cell r="F4">
            <v>9.8325358851674594</v>
          </cell>
          <cell r="G4">
            <v>0</v>
          </cell>
        </row>
        <row r="5">
          <cell r="F5">
            <v>3.3971291866028701</v>
          </cell>
          <cell r="G5">
            <v>3</v>
          </cell>
        </row>
        <row r="6">
          <cell r="F6">
            <v>1.07655502392344</v>
          </cell>
          <cell r="G6">
            <v>5</v>
          </cell>
        </row>
        <row r="7">
          <cell r="F7">
            <v>2.2727272727272698</v>
          </cell>
          <cell r="G7">
            <v>7</v>
          </cell>
        </row>
        <row r="8">
          <cell r="F8">
            <v>2.7033492822966498</v>
          </cell>
          <cell r="G8">
            <v>1</v>
          </cell>
        </row>
        <row r="9">
          <cell r="F9">
            <v>0</v>
          </cell>
          <cell r="G9">
            <v>0</v>
          </cell>
        </row>
        <row r="10">
          <cell r="F10">
            <v>0.88516746411483305</v>
          </cell>
          <cell r="G10">
            <v>0</v>
          </cell>
        </row>
        <row r="11">
          <cell r="F11">
            <v>0</v>
          </cell>
          <cell r="G11">
            <v>3</v>
          </cell>
        </row>
        <row r="12">
          <cell r="F12">
            <v>4.2344497607655498</v>
          </cell>
          <cell r="G12">
            <v>3</v>
          </cell>
        </row>
        <row r="13">
          <cell r="F13">
            <v>9.9282296650717701</v>
          </cell>
          <cell r="G13">
            <v>5</v>
          </cell>
        </row>
        <row r="14">
          <cell r="F14">
            <v>0</v>
          </cell>
          <cell r="G14">
            <v>3</v>
          </cell>
        </row>
        <row r="15">
          <cell r="F15">
            <v>8.6124401913875595</v>
          </cell>
          <cell r="G15">
            <v>3</v>
          </cell>
        </row>
        <row r="16">
          <cell r="F16">
            <v>8.7559808612440193</v>
          </cell>
          <cell r="G16">
            <v>10</v>
          </cell>
        </row>
        <row r="17">
          <cell r="F17">
            <v>8.03827751196172</v>
          </cell>
          <cell r="G17">
            <v>3</v>
          </cell>
        </row>
        <row r="18">
          <cell r="F18">
            <v>2.4162679425837301</v>
          </cell>
          <cell r="G18">
            <v>5</v>
          </cell>
        </row>
        <row r="19">
          <cell r="F19">
            <v>0.52631578947368296</v>
          </cell>
          <cell r="G19">
            <v>3</v>
          </cell>
        </row>
        <row r="20">
          <cell r="F20">
            <v>3.58851674641148</v>
          </cell>
          <cell r="G20">
            <v>0</v>
          </cell>
        </row>
        <row r="21">
          <cell r="F21">
            <v>3.2296650717703299</v>
          </cell>
          <cell r="G21">
            <v>1</v>
          </cell>
        </row>
        <row r="22">
          <cell r="F22">
            <v>1.02870813397129</v>
          </cell>
          <cell r="G22">
            <v>3</v>
          </cell>
        </row>
        <row r="23">
          <cell r="F23">
            <v>4.6650717703349303</v>
          </cell>
          <cell r="G23">
            <v>1</v>
          </cell>
        </row>
        <row r="24">
          <cell r="F24">
            <v>8.0861244019138798</v>
          </cell>
          <cell r="G24">
            <v>1</v>
          </cell>
        </row>
        <row r="25">
          <cell r="F25">
            <v>3.7320574162679399</v>
          </cell>
          <cell r="G25">
            <v>5</v>
          </cell>
        </row>
        <row r="26">
          <cell r="F26">
            <v>1.8181818181818199</v>
          </cell>
          <cell r="G26">
            <v>0</v>
          </cell>
        </row>
        <row r="27">
          <cell r="F27">
            <v>1.8181818181818199</v>
          </cell>
          <cell r="G27">
            <v>3</v>
          </cell>
        </row>
        <row r="28">
          <cell r="F28">
            <v>6.9856459330143599</v>
          </cell>
          <cell r="G28">
            <v>5</v>
          </cell>
        </row>
        <row r="29">
          <cell r="F29">
            <v>6.9377990430622001</v>
          </cell>
          <cell r="G29">
            <v>3</v>
          </cell>
        </row>
        <row r="30">
          <cell r="F30">
            <v>10</v>
          </cell>
          <cell r="G30">
            <v>10</v>
          </cell>
        </row>
        <row r="31">
          <cell r="F31">
            <v>0.83732057416267802</v>
          </cell>
          <cell r="G31">
            <v>3</v>
          </cell>
        </row>
        <row r="32">
          <cell r="F32">
            <v>0</v>
          </cell>
          <cell r="G32">
            <v>1</v>
          </cell>
        </row>
        <row r="33">
          <cell r="F33">
            <v>3.42105263157895</v>
          </cell>
          <cell r="G33">
            <v>5</v>
          </cell>
        </row>
        <row r="34">
          <cell r="F34">
            <v>2.9186602870813401</v>
          </cell>
          <cell r="G34">
            <v>5</v>
          </cell>
        </row>
        <row r="35">
          <cell r="F35">
            <v>7.2966507177033497</v>
          </cell>
          <cell r="G35">
            <v>3</v>
          </cell>
        </row>
        <row r="36">
          <cell r="F36">
            <v>8.1339712918660307</v>
          </cell>
          <cell r="G36">
            <v>10</v>
          </cell>
        </row>
        <row r="37">
          <cell r="F37">
            <v>10</v>
          </cell>
          <cell r="G37">
            <v>10</v>
          </cell>
        </row>
        <row r="38">
          <cell r="F38">
            <v>10</v>
          </cell>
          <cell r="G38">
            <v>0</v>
          </cell>
        </row>
        <row r="39">
          <cell r="F39">
            <v>5.0717703349282299</v>
          </cell>
          <cell r="G39">
            <v>5</v>
          </cell>
        </row>
        <row r="40">
          <cell r="F40">
            <v>8.2296650717703397</v>
          </cell>
          <cell r="G40">
            <v>0</v>
          </cell>
        </row>
        <row r="41">
          <cell r="F41">
            <v>6.3636363636363598</v>
          </cell>
          <cell r="G41">
            <v>3</v>
          </cell>
        </row>
        <row r="42">
          <cell r="F42">
            <v>3.3971291866028701</v>
          </cell>
          <cell r="G42">
            <v>1</v>
          </cell>
        </row>
        <row r="43">
          <cell r="F43">
            <v>4.3301435406698596</v>
          </cell>
          <cell r="G43">
            <v>0</v>
          </cell>
        </row>
        <row r="44">
          <cell r="F44">
            <v>2.12918660287081</v>
          </cell>
          <cell r="G44">
            <v>1</v>
          </cell>
        </row>
        <row r="45">
          <cell r="F45">
            <v>0</v>
          </cell>
          <cell r="G45">
            <v>3</v>
          </cell>
        </row>
        <row r="46">
          <cell r="F46">
            <v>0</v>
          </cell>
          <cell r="G46">
            <v>3</v>
          </cell>
        </row>
        <row r="47">
          <cell r="F47">
            <v>8.2535885167464098</v>
          </cell>
          <cell r="G47">
            <v>3</v>
          </cell>
        </row>
        <row r="48">
          <cell r="F48">
            <v>5.5023923444976104</v>
          </cell>
          <cell r="G48">
            <v>0</v>
          </cell>
        </row>
        <row r="49">
          <cell r="F49">
            <v>0</v>
          </cell>
          <cell r="G49">
            <v>1</v>
          </cell>
        </row>
        <row r="50">
          <cell r="F50">
            <v>4.5933014354067003</v>
          </cell>
          <cell r="G50">
            <v>3</v>
          </cell>
        </row>
        <row r="51">
          <cell r="F51">
            <v>2.9665071770334901</v>
          </cell>
          <cell r="G51">
            <v>1</v>
          </cell>
        </row>
        <row r="52">
          <cell r="F52">
            <v>5.1435406698564599</v>
          </cell>
          <cell r="G52">
            <v>3</v>
          </cell>
        </row>
        <row r="53">
          <cell r="F53">
            <v>1.79425837320574</v>
          </cell>
          <cell r="G53">
            <v>1</v>
          </cell>
        </row>
        <row r="54">
          <cell r="F54">
            <v>10</v>
          </cell>
          <cell r="G54">
            <v>0</v>
          </cell>
        </row>
        <row r="55">
          <cell r="F55">
            <v>0</v>
          </cell>
          <cell r="G55">
            <v>3</v>
          </cell>
        </row>
        <row r="56">
          <cell r="F56">
            <v>2.2488038277512001</v>
          </cell>
          <cell r="G56">
            <v>3</v>
          </cell>
        </row>
        <row r="57">
          <cell r="F57">
            <v>10</v>
          </cell>
          <cell r="G57">
            <v>10</v>
          </cell>
        </row>
        <row r="58">
          <cell r="F58">
            <v>0.88516746411483305</v>
          </cell>
          <cell r="G58">
            <v>1</v>
          </cell>
        </row>
        <row r="59">
          <cell r="F59">
            <v>4.9043062200956902</v>
          </cell>
          <cell r="G59">
            <v>1</v>
          </cell>
        </row>
        <row r="60">
          <cell r="F60">
            <v>0</v>
          </cell>
          <cell r="G60">
            <v>1</v>
          </cell>
        </row>
        <row r="61">
          <cell r="F61">
            <v>0</v>
          </cell>
          <cell r="G61">
            <v>0</v>
          </cell>
        </row>
        <row r="62">
          <cell r="F62">
            <v>6.6028708133971303</v>
          </cell>
          <cell r="G62">
            <v>0</v>
          </cell>
        </row>
        <row r="63">
          <cell r="F63">
            <v>0</v>
          </cell>
          <cell r="G63">
            <v>1</v>
          </cell>
        </row>
        <row r="64">
          <cell r="F64">
            <v>4.9282296650717701</v>
          </cell>
          <cell r="G64">
            <v>5</v>
          </cell>
        </row>
        <row r="65">
          <cell r="F65">
            <v>7.1770334928229698</v>
          </cell>
          <cell r="G65">
            <v>5</v>
          </cell>
        </row>
        <row r="66">
          <cell r="F66">
            <v>8.8277511961722492</v>
          </cell>
          <cell r="G66">
            <v>5</v>
          </cell>
        </row>
        <row r="67">
          <cell r="F67">
            <v>7.5119617224880404</v>
          </cell>
          <cell r="G67">
            <v>5</v>
          </cell>
        </row>
        <row r="68">
          <cell r="F68">
            <v>8.6602870813397104</v>
          </cell>
          <cell r="G68">
            <v>0</v>
          </cell>
        </row>
        <row r="69">
          <cell r="F69">
            <v>5.4066985645932997</v>
          </cell>
          <cell r="G69">
            <v>0</v>
          </cell>
        </row>
        <row r="70">
          <cell r="F70">
            <v>0.119617224880383</v>
          </cell>
          <cell r="G70">
            <v>3</v>
          </cell>
        </row>
        <row r="71">
          <cell r="F71">
            <v>0</v>
          </cell>
          <cell r="G71">
            <v>0</v>
          </cell>
        </row>
        <row r="72">
          <cell r="F72">
            <v>6.5071770334928196</v>
          </cell>
          <cell r="G72">
            <v>5</v>
          </cell>
        </row>
        <row r="73">
          <cell r="F73">
            <v>4.6650717703349303</v>
          </cell>
          <cell r="G73">
            <v>0</v>
          </cell>
        </row>
        <row r="74">
          <cell r="F74">
            <v>6.14832535885167</v>
          </cell>
          <cell r="G74">
            <v>3</v>
          </cell>
        </row>
        <row r="75">
          <cell r="F75">
            <v>1.2200956937798999</v>
          </cell>
          <cell r="G75">
            <v>3</v>
          </cell>
        </row>
        <row r="76">
          <cell r="F76">
            <v>10</v>
          </cell>
          <cell r="G76">
            <v>10</v>
          </cell>
        </row>
        <row r="77">
          <cell r="F77">
            <v>0.93301435406698596</v>
          </cell>
          <cell r="G77">
            <v>5</v>
          </cell>
        </row>
        <row r="78">
          <cell r="F78">
            <v>5.2392344497607697</v>
          </cell>
          <cell r="G78">
            <v>3</v>
          </cell>
        </row>
        <row r="79">
          <cell r="F79">
            <v>7.1770334928229698</v>
          </cell>
          <cell r="G79">
            <v>5</v>
          </cell>
        </row>
        <row r="80">
          <cell r="F80">
            <v>0</v>
          </cell>
          <cell r="G80">
            <v>1</v>
          </cell>
        </row>
        <row r="81">
          <cell r="F81">
            <v>2.9665071770334901</v>
          </cell>
          <cell r="G81">
            <v>5</v>
          </cell>
        </row>
        <row r="82">
          <cell r="F82">
            <v>5.9090909090909101</v>
          </cell>
          <cell r="G82">
            <v>0</v>
          </cell>
        </row>
        <row r="83">
          <cell r="F83">
            <v>0.55023923444975997</v>
          </cell>
          <cell r="G83">
            <v>5</v>
          </cell>
        </row>
        <row r="84">
          <cell r="F84">
            <v>0</v>
          </cell>
          <cell r="G84">
            <v>1</v>
          </cell>
        </row>
        <row r="85">
          <cell r="F85">
            <v>0</v>
          </cell>
          <cell r="G85">
            <v>3</v>
          </cell>
        </row>
        <row r="86">
          <cell r="F86">
            <v>4.2105263157894699</v>
          </cell>
          <cell r="G86">
            <v>0</v>
          </cell>
        </row>
        <row r="87">
          <cell r="F87">
            <v>2.5358851674641101</v>
          </cell>
          <cell r="G87">
            <v>1</v>
          </cell>
        </row>
        <row r="88">
          <cell r="F88">
            <v>2.1770334928229702</v>
          </cell>
          <cell r="G88">
            <v>1</v>
          </cell>
        </row>
        <row r="89">
          <cell r="F89">
            <v>1.2679425837320599</v>
          </cell>
          <cell r="G89">
            <v>5</v>
          </cell>
        </row>
        <row r="90">
          <cell r="F90">
            <v>10</v>
          </cell>
          <cell r="G90">
            <v>5</v>
          </cell>
        </row>
        <row r="91">
          <cell r="F91">
            <v>3.7320574162679399</v>
          </cell>
          <cell r="G91">
            <v>5</v>
          </cell>
        </row>
        <row r="92">
          <cell r="F92">
            <v>9.3301435406698605</v>
          </cell>
          <cell r="G92">
            <v>0</v>
          </cell>
        </row>
        <row r="93">
          <cell r="F93">
            <v>5.7655502392344502</v>
          </cell>
          <cell r="G93">
            <v>0</v>
          </cell>
        </row>
        <row r="94">
          <cell r="F94">
            <v>4.01913875598086</v>
          </cell>
          <cell r="G94">
            <v>0</v>
          </cell>
        </row>
        <row r="95">
          <cell r="F95">
            <v>0.47846889952152999</v>
          </cell>
          <cell r="G95">
            <v>1</v>
          </cell>
        </row>
        <row r="96">
          <cell r="F96">
            <v>0.64593301435406603</v>
          </cell>
          <cell r="G96">
            <v>1</v>
          </cell>
        </row>
        <row r="97">
          <cell r="F97">
            <v>8.6602870813397104</v>
          </cell>
          <cell r="G97">
            <v>5</v>
          </cell>
        </row>
        <row r="98">
          <cell r="F98">
            <v>3.3732057416267902</v>
          </cell>
          <cell r="G98">
            <v>10</v>
          </cell>
        </row>
        <row r="99">
          <cell r="F99">
            <v>9.7368421052631593</v>
          </cell>
          <cell r="G99">
            <v>5</v>
          </cell>
        </row>
        <row r="100">
          <cell r="F100">
            <v>3.42105263157895</v>
          </cell>
          <cell r="G100">
            <v>0</v>
          </cell>
        </row>
        <row r="101">
          <cell r="F101">
            <v>0</v>
          </cell>
          <cell r="G101">
            <v>0</v>
          </cell>
        </row>
        <row r="102">
          <cell r="F102">
            <v>0</v>
          </cell>
          <cell r="G102">
            <v>0</v>
          </cell>
        </row>
        <row r="103">
          <cell r="F103">
            <v>5.6698564593301404</v>
          </cell>
          <cell r="G103">
            <v>5</v>
          </cell>
        </row>
        <row r="104">
          <cell r="F104">
            <v>8.7559808612440193</v>
          </cell>
          <cell r="G104">
            <v>5</v>
          </cell>
        </row>
        <row r="105">
          <cell r="F105">
            <v>2.2727272727272698</v>
          </cell>
          <cell r="G105">
            <v>3</v>
          </cell>
        </row>
        <row r="106">
          <cell r="F106">
            <v>0</v>
          </cell>
          <cell r="G106">
            <v>3</v>
          </cell>
        </row>
        <row r="107">
          <cell r="F107">
            <v>0.93301435406698596</v>
          </cell>
          <cell r="G107">
            <v>1</v>
          </cell>
        </row>
        <row r="108">
          <cell r="F108">
            <v>3.4928229665071799</v>
          </cell>
          <cell r="G108">
            <v>1</v>
          </cell>
        </row>
        <row r="109">
          <cell r="F109">
            <v>4.5933014354067003</v>
          </cell>
          <cell r="G109">
            <v>5</v>
          </cell>
        </row>
        <row r="110">
          <cell r="F110">
            <v>10</v>
          </cell>
          <cell r="G110">
            <v>5</v>
          </cell>
        </row>
        <row r="111">
          <cell r="F111">
            <v>2.9186602870813401</v>
          </cell>
          <cell r="G111">
            <v>1</v>
          </cell>
        </row>
        <row r="112">
          <cell r="F112">
            <v>3.2296650717703299</v>
          </cell>
          <cell r="G112">
            <v>3</v>
          </cell>
        </row>
        <row r="113">
          <cell r="F113">
            <v>0</v>
          </cell>
          <cell r="G113">
            <v>0</v>
          </cell>
        </row>
        <row r="114">
          <cell r="F114">
            <v>3.6124401913875599</v>
          </cell>
          <cell r="G114">
            <v>5</v>
          </cell>
        </row>
        <row r="115">
          <cell r="F115">
            <v>8.2296650717703397</v>
          </cell>
          <cell r="G115">
            <v>10</v>
          </cell>
        </row>
        <row r="116">
          <cell r="F116">
            <v>0</v>
          </cell>
          <cell r="G116">
            <v>1</v>
          </cell>
        </row>
        <row r="117">
          <cell r="F117">
            <v>7.0813397129186599</v>
          </cell>
          <cell r="G117">
            <v>5</v>
          </cell>
        </row>
        <row r="118">
          <cell r="F118">
            <v>1.1722488038277501</v>
          </cell>
          <cell r="G118">
            <v>3</v>
          </cell>
        </row>
        <row r="119">
          <cell r="F119">
            <v>7.2009569377990399</v>
          </cell>
          <cell r="G119">
            <v>5</v>
          </cell>
        </row>
        <row r="120">
          <cell r="F120">
            <v>10</v>
          </cell>
          <cell r="G120">
            <v>10</v>
          </cell>
        </row>
        <row r="121">
          <cell r="F121">
            <v>8.1339712918660307</v>
          </cell>
          <cell r="G121">
            <v>3</v>
          </cell>
        </row>
        <row r="122">
          <cell r="F122">
            <v>1.79425837320574</v>
          </cell>
          <cell r="G122">
            <v>3</v>
          </cell>
        </row>
        <row r="123">
          <cell r="F123">
            <v>10</v>
          </cell>
          <cell r="G123">
            <v>5</v>
          </cell>
        </row>
        <row r="124">
          <cell r="F124">
            <v>2.3444976076555002</v>
          </cell>
          <cell r="G124">
            <v>5</v>
          </cell>
        </row>
        <row r="125">
          <cell r="F125">
            <v>9.2822966507177096</v>
          </cell>
          <cell r="G125">
            <v>3</v>
          </cell>
        </row>
        <row r="126">
          <cell r="F126">
            <v>10</v>
          </cell>
          <cell r="G126">
            <v>10</v>
          </cell>
        </row>
        <row r="127">
          <cell r="F127">
            <v>8.4928229665071804</v>
          </cell>
          <cell r="G127">
            <v>10</v>
          </cell>
        </row>
        <row r="128">
          <cell r="F128">
            <v>6.7942583732057402</v>
          </cell>
          <cell r="G128">
            <v>3</v>
          </cell>
        </row>
        <row r="129">
          <cell r="F129">
            <v>0</v>
          </cell>
          <cell r="G129">
            <v>3</v>
          </cell>
        </row>
        <row r="130">
          <cell r="F130">
            <v>0</v>
          </cell>
          <cell r="G130">
            <v>3</v>
          </cell>
        </row>
        <row r="131">
          <cell r="F131">
            <v>9.0430622009569408</v>
          </cell>
          <cell r="G131">
            <v>3</v>
          </cell>
        </row>
        <row r="132">
          <cell r="F132">
            <v>0</v>
          </cell>
          <cell r="G132">
            <v>0</v>
          </cell>
        </row>
        <row r="133">
          <cell r="F133">
            <v>1.84210526315789</v>
          </cell>
          <cell r="G133">
            <v>3</v>
          </cell>
        </row>
        <row r="134">
          <cell r="F134">
            <v>3.2296650717703299</v>
          </cell>
          <cell r="G134">
            <v>3</v>
          </cell>
        </row>
        <row r="135">
          <cell r="F135">
            <v>6.6267942583732102</v>
          </cell>
          <cell r="G135">
            <v>5</v>
          </cell>
        </row>
        <row r="136">
          <cell r="F136">
            <v>5.0956937799043098</v>
          </cell>
          <cell r="G136">
            <v>0</v>
          </cell>
        </row>
        <row r="137">
          <cell r="F137">
            <v>6.6507177033492804</v>
          </cell>
          <cell r="G137">
            <v>1</v>
          </cell>
        </row>
        <row r="138">
          <cell r="F138">
            <v>7.2009569377990399</v>
          </cell>
          <cell r="G138">
            <v>3</v>
          </cell>
        </row>
        <row r="139">
          <cell r="F139">
            <v>0</v>
          </cell>
          <cell r="G139">
            <v>0</v>
          </cell>
        </row>
        <row r="140">
          <cell r="F140">
            <v>10</v>
          </cell>
          <cell r="G140">
            <v>0</v>
          </cell>
        </row>
        <row r="141">
          <cell r="F141">
            <v>0.78947368421052599</v>
          </cell>
          <cell r="G141">
            <v>5</v>
          </cell>
        </row>
        <row r="142">
          <cell r="F142">
            <v>8.6363636363636402</v>
          </cell>
          <cell r="G142">
            <v>0</v>
          </cell>
        </row>
        <row r="143">
          <cell r="F143">
            <v>0</v>
          </cell>
          <cell r="G143">
            <v>3</v>
          </cell>
        </row>
        <row r="144">
          <cell r="F144">
            <v>5.2870813397129197</v>
          </cell>
          <cell r="G144">
            <v>1</v>
          </cell>
        </row>
        <row r="145">
          <cell r="F145">
            <v>0</v>
          </cell>
          <cell r="G145">
            <v>1</v>
          </cell>
        </row>
        <row r="146">
          <cell r="F146">
            <v>2.4641148325358899</v>
          </cell>
          <cell r="G146">
            <v>3</v>
          </cell>
        </row>
        <row r="147">
          <cell r="F147">
            <v>2.5837320574162699</v>
          </cell>
          <cell r="G147">
            <v>3</v>
          </cell>
        </row>
        <row r="148">
          <cell r="F148">
            <v>9.0669856459330198</v>
          </cell>
          <cell r="G148">
            <v>5</v>
          </cell>
        </row>
        <row r="149">
          <cell r="F149">
            <v>2.39234449760766</v>
          </cell>
          <cell r="G149">
            <v>5</v>
          </cell>
        </row>
        <row r="150">
          <cell r="F150">
            <v>10</v>
          </cell>
          <cell r="G150">
            <v>10</v>
          </cell>
        </row>
        <row r="151">
          <cell r="F151">
            <v>7.3923444976076604</v>
          </cell>
          <cell r="G151">
            <v>1</v>
          </cell>
        </row>
        <row r="152">
          <cell r="F152">
            <v>0</v>
          </cell>
          <cell r="G152">
            <v>1</v>
          </cell>
        </row>
        <row r="153">
          <cell r="F153">
            <v>9.1387559808612497</v>
          </cell>
          <cell r="G153">
            <v>0</v>
          </cell>
        </row>
        <row r="154">
          <cell r="F154">
            <v>9.6411483253588504</v>
          </cell>
          <cell r="G154">
            <v>10</v>
          </cell>
        </row>
        <row r="155">
          <cell r="F155">
            <v>4.9760765550239201</v>
          </cell>
          <cell r="G155">
            <v>3</v>
          </cell>
        </row>
        <row r="156">
          <cell r="F156">
            <v>10</v>
          </cell>
          <cell r="G156">
            <v>10</v>
          </cell>
        </row>
        <row r="157">
          <cell r="F157">
            <v>3.8995215311004801</v>
          </cell>
          <cell r="G157">
            <v>3</v>
          </cell>
        </row>
        <row r="158">
          <cell r="F158">
            <v>10</v>
          </cell>
          <cell r="G158">
            <v>10</v>
          </cell>
        </row>
        <row r="159">
          <cell r="F159">
            <v>8.2057416267942607</v>
          </cell>
          <cell r="G159">
            <v>0</v>
          </cell>
        </row>
        <row r="160">
          <cell r="F160">
            <v>5.5263157894736796</v>
          </cell>
          <cell r="G160">
            <v>7</v>
          </cell>
        </row>
        <row r="161">
          <cell r="F161">
            <v>0.86124401913875603</v>
          </cell>
          <cell r="G161">
            <v>3</v>
          </cell>
        </row>
        <row r="162">
          <cell r="F162">
            <v>0.21531100478469001</v>
          </cell>
          <cell r="G162">
            <v>3</v>
          </cell>
        </row>
        <row r="163">
          <cell r="F163">
            <v>1.5550239234449701</v>
          </cell>
          <cell r="G163">
            <v>3</v>
          </cell>
        </row>
        <row r="164">
          <cell r="F164">
            <v>7.9186602870813401</v>
          </cell>
          <cell r="G164">
            <v>0</v>
          </cell>
        </row>
        <row r="165">
          <cell r="F165">
            <v>2.2009569377990399</v>
          </cell>
          <cell r="G165">
            <v>3</v>
          </cell>
        </row>
        <row r="166">
          <cell r="F166">
            <v>6.1722488038277499</v>
          </cell>
          <cell r="G166">
            <v>10</v>
          </cell>
        </row>
        <row r="167">
          <cell r="F167">
            <v>10</v>
          </cell>
          <cell r="G167">
            <v>5</v>
          </cell>
        </row>
        <row r="168">
          <cell r="F168">
            <v>8.6842105263157894</v>
          </cell>
          <cell r="G168">
            <v>1</v>
          </cell>
        </row>
        <row r="169">
          <cell r="F169">
            <v>3.5645933014354099</v>
          </cell>
          <cell r="G169">
            <v>1</v>
          </cell>
        </row>
        <row r="170">
          <cell r="F170">
            <v>5.9090909090909101</v>
          </cell>
          <cell r="G170">
            <v>5</v>
          </cell>
        </row>
        <row r="171">
          <cell r="F171">
            <v>3.2775119617224902</v>
          </cell>
          <cell r="G171">
            <v>0</v>
          </cell>
        </row>
        <row r="172">
          <cell r="F172">
            <v>9.3062200956937797</v>
          </cell>
          <cell r="G172">
            <v>1</v>
          </cell>
        </row>
        <row r="173">
          <cell r="F173">
            <v>4.5215311004784704</v>
          </cell>
          <cell r="G173">
            <v>0</v>
          </cell>
        </row>
        <row r="174">
          <cell r="F174">
            <v>2.8947368421052602</v>
          </cell>
          <cell r="G174">
            <v>0</v>
          </cell>
        </row>
        <row r="175">
          <cell r="F175">
            <v>2.05741626794258</v>
          </cell>
          <cell r="G175">
            <v>3</v>
          </cell>
        </row>
        <row r="176">
          <cell r="F176">
            <v>0.45454545454545298</v>
          </cell>
          <cell r="G176">
            <v>5</v>
          </cell>
        </row>
        <row r="177">
          <cell r="F177">
            <v>0</v>
          </cell>
          <cell r="G177">
            <v>0</v>
          </cell>
        </row>
        <row r="178">
          <cell r="F178">
            <v>9.7129186602870803</v>
          </cell>
          <cell r="G178">
            <v>3</v>
          </cell>
        </row>
        <row r="179">
          <cell r="F179">
            <v>10</v>
          </cell>
          <cell r="G179">
            <v>1</v>
          </cell>
        </row>
        <row r="180">
          <cell r="F180">
            <v>2.2966507177033502</v>
          </cell>
          <cell r="G180">
            <v>3</v>
          </cell>
        </row>
        <row r="181">
          <cell r="F181">
            <v>3.1339712918660299</v>
          </cell>
          <cell r="G181">
            <v>5</v>
          </cell>
        </row>
        <row r="182">
          <cell r="F182">
            <v>0.19138755980861299</v>
          </cell>
          <cell r="G182">
            <v>3</v>
          </cell>
        </row>
        <row r="183">
          <cell r="F183">
            <v>3.2535885167464098</v>
          </cell>
          <cell r="G183">
            <v>0</v>
          </cell>
        </row>
        <row r="184">
          <cell r="F184">
            <v>4.4736842105263204</v>
          </cell>
          <cell r="G184">
            <v>0</v>
          </cell>
        </row>
        <row r="185">
          <cell r="F185">
            <v>5.0717703349282299</v>
          </cell>
          <cell r="G185">
            <v>10</v>
          </cell>
        </row>
        <row r="186">
          <cell r="F186">
            <v>5.5263157894736796</v>
          </cell>
          <cell r="G186">
            <v>3</v>
          </cell>
        </row>
        <row r="187">
          <cell r="F187">
            <v>8.2296650717703397</v>
          </cell>
          <cell r="G187">
            <v>0</v>
          </cell>
        </row>
        <row r="188">
          <cell r="F188">
            <v>3.2057416267942598</v>
          </cell>
          <cell r="G188">
            <v>3</v>
          </cell>
        </row>
        <row r="189">
          <cell r="F189">
            <v>10</v>
          </cell>
          <cell r="G189">
            <v>10</v>
          </cell>
        </row>
        <row r="190">
          <cell r="F190">
            <v>5.4306220095693796</v>
          </cell>
          <cell r="G190">
            <v>3</v>
          </cell>
        </row>
        <row r="191">
          <cell r="F191">
            <v>8.7081339712918702</v>
          </cell>
          <cell r="G191">
            <v>5</v>
          </cell>
        </row>
        <row r="192">
          <cell r="F192">
            <v>10</v>
          </cell>
          <cell r="G192">
            <v>10</v>
          </cell>
        </row>
      </sheetData>
      <sheetData sheetId="4">
        <row r="3">
          <cell r="F3">
            <v>3</v>
          </cell>
          <cell r="G3">
            <v>10</v>
          </cell>
        </row>
        <row r="4">
          <cell r="F4">
            <v>4</v>
          </cell>
          <cell r="G4">
            <v>0</v>
          </cell>
        </row>
        <row r="5">
          <cell r="F5">
            <v>5</v>
          </cell>
          <cell r="G5">
            <v>0</v>
          </cell>
        </row>
        <row r="6">
          <cell r="F6">
            <v>6</v>
          </cell>
          <cell r="G6">
            <v>0</v>
          </cell>
        </row>
        <row r="7">
          <cell r="F7">
            <v>7</v>
          </cell>
          <cell r="G7">
            <v>0</v>
          </cell>
        </row>
        <row r="8">
          <cell r="F8">
            <v>8</v>
          </cell>
          <cell r="G8">
            <v>0</v>
          </cell>
        </row>
        <row r="9">
          <cell r="F9">
            <v>9</v>
          </cell>
          <cell r="G9">
            <v>0</v>
          </cell>
        </row>
        <row r="10">
          <cell r="F10">
            <v>10</v>
          </cell>
          <cell r="G10">
            <v>0</v>
          </cell>
        </row>
        <row r="11">
          <cell r="F11">
            <v>11</v>
          </cell>
          <cell r="G11">
            <v>0</v>
          </cell>
        </row>
        <row r="12">
          <cell r="F12">
            <v>12</v>
          </cell>
          <cell r="G12">
            <v>10</v>
          </cell>
        </row>
        <row r="13">
          <cell r="F13">
            <v>13</v>
          </cell>
          <cell r="G13">
            <v>0</v>
          </cell>
        </row>
        <row r="14">
          <cell r="F14">
            <v>14</v>
          </cell>
          <cell r="G14">
            <v>0</v>
          </cell>
        </row>
        <row r="15">
          <cell r="F15">
            <v>15</v>
          </cell>
          <cell r="G15">
            <v>0</v>
          </cell>
        </row>
        <row r="16">
          <cell r="F16">
            <v>16</v>
          </cell>
          <cell r="G16">
            <v>10</v>
          </cell>
        </row>
        <row r="17">
          <cell r="F17">
            <v>17</v>
          </cell>
          <cell r="G17">
            <v>0</v>
          </cell>
        </row>
        <row r="18">
          <cell r="F18">
            <v>18</v>
          </cell>
          <cell r="G18">
            <v>0</v>
          </cell>
        </row>
        <row r="19">
          <cell r="F19">
            <v>19</v>
          </cell>
          <cell r="G19">
            <v>0</v>
          </cell>
        </row>
        <row r="20">
          <cell r="F20">
            <v>20</v>
          </cell>
          <cell r="G20">
            <v>0</v>
          </cell>
        </row>
        <row r="21">
          <cell r="F21">
            <v>21</v>
          </cell>
          <cell r="G21">
            <v>1.6952912574300001</v>
          </cell>
        </row>
        <row r="22">
          <cell r="F22">
            <v>22</v>
          </cell>
          <cell r="G22">
            <v>0</v>
          </cell>
        </row>
        <row r="23">
          <cell r="F23">
            <v>23</v>
          </cell>
          <cell r="G23">
            <v>0</v>
          </cell>
        </row>
        <row r="24">
          <cell r="F24">
            <v>24</v>
          </cell>
          <cell r="G24">
            <v>0</v>
          </cell>
        </row>
        <row r="25">
          <cell r="F25">
            <v>25</v>
          </cell>
          <cell r="G25">
            <v>0</v>
          </cell>
        </row>
        <row r="26">
          <cell r="F26">
            <v>26</v>
          </cell>
          <cell r="G26">
            <v>0</v>
          </cell>
        </row>
        <row r="27">
          <cell r="F27">
            <v>27</v>
          </cell>
          <cell r="G27">
            <v>0</v>
          </cell>
        </row>
        <row r="28">
          <cell r="F28">
            <v>28</v>
          </cell>
          <cell r="G28">
            <v>0</v>
          </cell>
        </row>
        <row r="29">
          <cell r="F29">
            <v>29</v>
          </cell>
          <cell r="G29">
            <v>0</v>
          </cell>
        </row>
        <row r="30">
          <cell r="F30">
            <v>30</v>
          </cell>
          <cell r="G30">
            <v>8.4765583773797992</v>
          </cell>
        </row>
        <row r="31">
          <cell r="F31">
            <v>31</v>
          </cell>
          <cell r="G31">
            <v>0</v>
          </cell>
        </row>
        <row r="32">
          <cell r="F32">
            <v>32</v>
          </cell>
          <cell r="G32">
            <v>0</v>
          </cell>
        </row>
        <row r="33">
          <cell r="F33">
            <v>33</v>
          </cell>
          <cell r="G33">
            <v>0</v>
          </cell>
        </row>
        <row r="34">
          <cell r="F34">
            <v>34</v>
          </cell>
          <cell r="G34">
            <v>0</v>
          </cell>
        </row>
        <row r="35">
          <cell r="F35">
            <v>35</v>
          </cell>
          <cell r="G35">
            <v>0</v>
          </cell>
        </row>
        <row r="36">
          <cell r="F36">
            <v>36</v>
          </cell>
          <cell r="G36">
            <v>10</v>
          </cell>
        </row>
        <row r="37">
          <cell r="F37">
            <v>37</v>
          </cell>
          <cell r="G37">
            <v>10</v>
          </cell>
        </row>
        <row r="38">
          <cell r="F38">
            <v>38</v>
          </cell>
          <cell r="G38">
            <v>10</v>
          </cell>
        </row>
        <row r="39">
          <cell r="F39">
            <v>39</v>
          </cell>
          <cell r="G39">
            <v>9.2561716553139295</v>
          </cell>
        </row>
        <row r="40">
          <cell r="F40">
            <v>40</v>
          </cell>
          <cell r="G40">
            <v>0</v>
          </cell>
        </row>
        <row r="41">
          <cell r="F41">
            <v>41</v>
          </cell>
          <cell r="G41">
            <v>0</v>
          </cell>
        </row>
        <row r="42">
          <cell r="F42">
            <v>42</v>
          </cell>
          <cell r="G42">
            <v>0</v>
          </cell>
        </row>
        <row r="43">
          <cell r="F43">
            <v>43</v>
          </cell>
          <cell r="G43">
            <v>0</v>
          </cell>
        </row>
        <row r="44">
          <cell r="F44">
            <v>44</v>
          </cell>
          <cell r="G44">
            <v>0</v>
          </cell>
        </row>
        <row r="45">
          <cell r="F45">
            <v>45</v>
          </cell>
          <cell r="G45">
            <v>0</v>
          </cell>
        </row>
        <row r="46">
          <cell r="F46">
            <v>46</v>
          </cell>
          <cell r="G46">
            <v>0</v>
          </cell>
        </row>
        <row r="47">
          <cell r="F47">
            <v>47</v>
          </cell>
          <cell r="G47">
            <v>0</v>
          </cell>
        </row>
        <row r="48">
          <cell r="F48">
            <v>48</v>
          </cell>
          <cell r="G48">
            <v>0</v>
          </cell>
        </row>
        <row r="49">
          <cell r="F49">
            <v>49</v>
          </cell>
          <cell r="G49">
            <v>0</v>
          </cell>
        </row>
        <row r="50">
          <cell r="F50">
            <v>50</v>
          </cell>
          <cell r="G50">
            <v>0</v>
          </cell>
        </row>
        <row r="51">
          <cell r="F51">
            <v>51</v>
          </cell>
          <cell r="G51">
            <v>0</v>
          </cell>
        </row>
        <row r="52">
          <cell r="F52">
            <v>52</v>
          </cell>
          <cell r="G52">
            <v>0</v>
          </cell>
        </row>
        <row r="53">
          <cell r="F53">
            <v>53</v>
          </cell>
          <cell r="G53">
            <v>0</v>
          </cell>
        </row>
        <row r="54">
          <cell r="F54">
            <v>54</v>
          </cell>
          <cell r="G54">
            <v>0</v>
          </cell>
        </row>
        <row r="55">
          <cell r="F55">
            <v>55</v>
          </cell>
          <cell r="G55">
            <v>0</v>
          </cell>
        </row>
        <row r="56">
          <cell r="F56">
            <v>56</v>
          </cell>
          <cell r="G56">
            <v>0</v>
          </cell>
        </row>
        <row r="57">
          <cell r="F57">
            <v>57</v>
          </cell>
          <cell r="G57">
            <v>7.5049020603200098</v>
          </cell>
        </row>
        <row r="58">
          <cell r="F58">
            <v>58</v>
          </cell>
          <cell r="G58">
            <v>0</v>
          </cell>
        </row>
        <row r="59">
          <cell r="F59">
            <v>59</v>
          </cell>
          <cell r="G59">
            <v>0</v>
          </cell>
        </row>
        <row r="60">
          <cell r="F60">
            <v>60</v>
          </cell>
          <cell r="G60">
            <v>0</v>
          </cell>
        </row>
        <row r="61">
          <cell r="F61">
            <v>61</v>
          </cell>
          <cell r="G61">
            <v>0</v>
          </cell>
        </row>
        <row r="62">
          <cell r="F62">
            <v>62</v>
          </cell>
          <cell r="G62">
            <v>0</v>
          </cell>
        </row>
        <row r="63">
          <cell r="F63">
            <v>63</v>
          </cell>
          <cell r="G63">
            <v>0</v>
          </cell>
        </row>
        <row r="64">
          <cell r="F64">
            <v>64</v>
          </cell>
          <cell r="G64">
            <v>10</v>
          </cell>
        </row>
        <row r="65">
          <cell r="F65">
            <v>65</v>
          </cell>
          <cell r="G65">
            <v>0</v>
          </cell>
        </row>
        <row r="66">
          <cell r="F66">
            <v>66</v>
          </cell>
          <cell r="G66">
            <v>0</v>
          </cell>
        </row>
        <row r="67">
          <cell r="F67">
            <v>67</v>
          </cell>
          <cell r="G67">
            <v>10</v>
          </cell>
        </row>
        <row r="68">
          <cell r="F68">
            <v>68</v>
          </cell>
          <cell r="G68">
            <v>0</v>
          </cell>
        </row>
        <row r="69">
          <cell r="F69">
            <v>69</v>
          </cell>
          <cell r="G69">
            <v>0</v>
          </cell>
        </row>
        <row r="70">
          <cell r="F70">
            <v>70</v>
          </cell>
          <cell r="G70">
            <v>0</v>
          </cell>
        </row>
        <row r="71">
          <cell r="F71">
            <v>71</v>
          </cell>
          <cell r="G71">
            <v>0</v>
          </cell>
        </row>
        <row r="72">
          <cell r="F72">
            <v>72</v>
          </cell>
          <cell r="G72">
            <v>0</v>
          </cell>
        </row>
        <row r="73">
          <cell r="F73">
            <v>73</v>
          </cell>
          <cell r="G73">
            <v>0</v>
          </cell>
        </row>
        <row r="74">
          <cell r="F74">
            <v>74</v>
          </cell>
          <cell r="G74">
            <v>10</v>
          </cell>
        </row>
        <row r="75">
          <cell r="F75">
            <v>75</v>
          </cell>
          <cell r="G75">
            <v>0</v>
          </cell>
        </row>
        <row r="76">
          <cell r="F76">
            <v>76</v>
          </cell>
          <cell r="G76">
            <v>0</v>
          </cell>
        </row>
        <row r="77">
          <cell r="F77">
            <v>77</v>
          </cell>
          <cell r="G77">
            <v>0</v>
          </cell>
        </row>
        <row r="78">
          <cell r="F78">
            <v>78</v>
          </cell>
          <cell r="G78">
            <v>0</v>
          </cell>
        </row>
        <row r="79">
          <cell r="F79">
            <v>79</v>
          </cell>
          <cell r="G79">
            <v>0</v>
          </cell>
        </row>
        <row r="80">
          <cell r="F80">
            <v>80</v>
          </cell>
          <cell r="G80">
            <v>0</v>
          </cell>
        </row>
        <row r="81">
          <cell r="F81">
            <v>81</v>
          </cell>
          <cell r="G81">
            <v>0</v>
          </cell>
        </row>
        <row r="82">
          <cell r="F82">
            <v>82</v>
          </cell>
          <cell r="G82">
            <v>10</v>
          </cell>
        </row>
        <row r="83">
          <cell r="F83">
            <v>83</v>
          </cell>
          <cell r="G83">
            <v>0</v>
          </cell>
        </row>
        <row r="84">
          <cell r="F84">
            <v>84</v>
          </cell>
          <cell r="G84">
            <v>0</v>
          </cell>
        </row>
        <row r="85">
          <cell r="F85">
            <v>85</v>
          </cell>
          <cell r="G85">
            <v>0</v>
          </cell>
        </row>
        <row r="86">
          <cell r="F86">
            <v>86</v>
          </cell>
          <cell r="G86">
            <v>0</v>
          </cell>
        </row>
        <row r="87">
          <cell r="F87">
            <v>87</v>
          </cell>
          <cell r="G87">
            <v>0</v>
          </cell>
        </row>
        <row r="88">
          <cell r="F88">
            <v>88</v>
          </cell>
          <cell r="G88">
            <v>0</v>
          </cell>
        </row>
        <row r="89">
          <cell r="F89">
            <v>89</v>
          </cell>
          <cell r="G89">
            <v>0</v>
          </cell>
        </row>
        <row r="90">
          <cell r="F90">
            <v>90</v>
          </cell>
          <cell r="G90">
            <v>0</v>
          </cell>
        </row>
        <row r="91">
          <cell r="F91">
            <v>91</v>
          </cell>
          <cell r="G91">
            <v>0</v>
          </cell>
        </row>
        <row r="92">
          <cell r="F92">
            <v>92</v>
          </cell>
          <cell r="G92">
            <v>0</v>
          </cell>
        </row>
        <row r="93">
          <cell r="F93">
            <v>93</v>
          </cell>
          <cell r="G93">
            <v>0</v>
          </cell>
        </row>
        <row r="94">
          <cell r="F94">
            <v>94</v>
          </cell>
          <cell r="G94">
            <v>0</v>
          </cell>
        </row>
        <row r="95">
          <cell r="F95">
            <v>95</v>
          </cell>
          <cell r="G95">
            <v>0</v>
          </cell>
        </row>
        <row r="96">
          <cell r="F96">
            <v>96</v>
          </cell>
          <cell r="G96">
            <v>0</v>
          </cell>
        </row>
        <row r="97">
          <cell r="F97">
            <v>97</v>
          </cell>
          <cell r="G97">
            <v>10</v>
          </cell>
        </row>
        <row r="98">
          <cell r="F98">
            <v>98</v>
          </cell>
          <cell r="G98">
            <v>0</v>
          </cell>
        </row>
        <row r="99">
          <cell r="F99">
            <v>99</v>
          </cell>
          <cell r="G99">
            <v>0</v>
          </cell>
        </row>
        <row r="100">
          <cell r="F100">
            <v>100</v>
          </cell>
          <cell r="G100">
            <v>6.4227731903056302</v>
          </cell>
        </row>
        <row r="101">
          <cell r="F101">
            <v>101</v>
          </cell>
          <cell r="G101">
            <v>0</v>
          </cell>
        </row>
        <row r="102">
          <cell r="F102">
            <v>102</v>
          </cell>
          <cell r="G102">
            <v>0</v>
          </cell>
        </row>
        <row r="103">
          <cell r="F103">
            <v>103</v>
          </cell>
          <cell r="G103">
            <v>0</v>
          </cell>
        </row>
        <row r="104">
          <cell r="F104">
            <v>104</v>
          </cell>
          <cell r="G104">
            <v>0</v>
          </cell>
        </row>
        <row r="105">
          <cell r="F105">
            <v>105</v>
          </cell>
          <cell r="G105">
            <v>0</v>
          </cell>
        </row>
        <row r="106">
          <cell r="F106">
            <v>106</v>
          </cell>
          <cell r="G106">
            <v>0</v>
          </cell>
        </row>
        <row r="107">
          <cell r="F107">
            <v>107</v>
          </cell>
          <cell r="G107">
            <v>0</v>
          </cell>
        </row>
        <row r="108">
          <cell r="F108">
            <v>108</v>
          </cell>
          <cell r="G108">
            <v>0</v>
          </cell>
        </row>
        <row r="109">
          <cell r="F109">
            <v>109</v>
          </cell>
          <cell r="G109">
            <v>0</v>
          </cell>
        </row>
        <row r="110">
          <cell r="F110">
            <v>110</v>
          </cell>
          <cell r="G110">
            <v>0</v>
          </cell>
        </row>
        <row r="111">
          <cell r="F111">
            <v>111</v>
          </cell>
          <cell r="G111">
            <v>0</v>
          </cell>
        </row>
        <row r="112">
          <cell r="F112">
            <v>112</v>
          </cell>
          <cell r="G112">
            <v>0</v>
          </cell>
        </row>
        <row r="113">
          <cell r="F113">
            <v>113</v>
          </cell>
          <cell r="G113">
            <v>0</v>
          </cell>
        </row>
        <row r="114">
          <cell r="F114">
            <v>114</v>
          </cell>
          <cell r="G114">
            <v>0</v>
          </cell>
        </row>
        <row r="115">
          <cell r="F115">
            <v>115</v>
          </cell>
          <cell r="G115">
            <v>10</v>
          </cell>
        </row>
        <row r="116">
          <cell r="F116">
            <v>116</v>
          </cell>
          <cell r="G116">
            <v>0</v>
          </cell>
        </row>
        <row r="117">
          <cell r="F117">
            <v>117</v>
          </cell>
          <cell r="G117">
            <v>10</v>
          </cell>
        </row>
        <row r="118">
          <cell r="F118">
            <v>118</v>
          </cell>
          <cell r="G118">
            <v>0</v>
          </cell>
        </row>
        <row r="119">
          <cell r="F119">
            <v>119</v>
          </cell>
          <cell r="G119">
            <v>0</v>
          </cell>
        </row>
        <row r="120">
          <cell r="F120">
            <v>120</v>
          </cell>
          <cell r="G120">
            <v>10</v>
          </cell>
        </row>
        <row r="121">
          <cell r="F121">
            <v>121</v>
          </cell>
          <cell r="G121">
            <v>0</v>
          </cell>
        </row>
        <row r="122">
          <cell r="F122">
            <v>122</v>
          </cell>
          <cell r="G122">
            <v>0</v>
          </cell>
        </row>
        <row r="123">
          <cell r="F123">
            <v>123</v>
          </cell>
          <cell r="G123">
            <v>0</v>
          </cell>
        </row>
        <row r="124">
          <cell r="F124">
            <v>124</v>
          </cell>
          <cell r="G124">
            <v>0</v>
          </cell>
        </row>
        <row r="125">
          <cell r="F125">
            <v>125</v>
          </cell>
          <cell r="G125">
            <v>0</v>
          </cell>
        </row>
        <row r="126">
          <cell r="F126">
            <v>126</v>
          </cell>
          <cell r="G126">
            <v>10</v>
          </cell>
        </row>
        <row r="127">
          <cell r="F127">
            <v>127</v>
          </cell>
          <cell r="G127">
            <v>6.0994717079986902</v>
          </cell>
        </row>
        <row r="128">
          <cell r="F128">
            <v>128</v>
          </cell>
          <cell r="G128">
            <v>0</v>
          </cell>
        </row>
        <row r="129">
          <cell r="F129">
            <v>129</v>
          </cell>
          <cell r="G129">
            <v>0</v>
          </cell>
        </row>
        <row r="130">
          <cell r="F130">
            <v>130</v>
          </cell>
          <cell r="G130">
            <v>0</v>
          </cell>
        </row>
        <row r="131">
          <cell r="F131">
            <v>131</v>
          </cell>
          <cell r="G131">
            <v>0</v>
          </cell>
        </row>
        <row r="132">
          <cell r="F132">
            <v>132</v>
          </cell>
          <cell r="G132">
            <v>0</v>
          </cell>
        </row>
        <row r="133">
          <cell r="F133">
            <v>133</v>
          </cell>
          <cell r="G133">
            <v>0</v>
          </cell>
        </row>
        <row r="134">
          <cell r="F134">
            <v>134</v>
          </cell>
          <cell r="G134">
            <v>0</v>
          </cell>
        </row>
        <row r="135">
          <cell r="F135">
            <v>135</v>
          </cell>
          <cell r="G135">
            <v>0</v>
          </cell>
        </row>
        <row r="136">
          <cell r="F136">
            <v>136</v>
          </cell>
          <cell r="G136">
            <v>0</v>
          </cell>
        </row>
        <row r="137">
          <cell r="F137">
            <v>137</v>
          </cell>
          <cell r="G137">
            <v>0</v>
          </cell>
        </row>
        <row r="138">
          <cell r="F138">
            <v>138</v>
          </cell>
          <cell r="G138">
            <v>3.7831541634821599</v>
          </cell>
        </row>
        <row r="139">
          <cell r="F139">
            <v>139</v>
          </cell>
          <cell r="G139">
            <v>0</v>
          </cell>
        </row>
        <row r="140">
          <cell r="F140">
            <v>140</v>
          </cell>
          <cell r="G140">
            <v>0</v>
          </cell>
        </row>
        <row r="141">
          <cell r="F141">
            <v>141</v>
          </cell>
          <cell r="G141">
            <v>0</v>
          </cell>
        </row>
        <row r="142">
          <cell r="F142">
            <v>142</v>
          </cell>
          <cell r="G142">
            <v>0</v>
          </cell>
        </row>
        <row r="143">
          <cell r="F143">
            <v>143</v>
          </cell>
          <cell r="G143">
            <v>0</v>
          </cell>
        </row>
        <row r="144">
          <cell r="F144">
            <v>144</v>
          </cell>
          <cell r="G144">
            <v>0</v>
          </cell>
        </row>
        <row r="145">
          <cell r="F145">
            <v>145</v>
          </cell>
          <cell r="G145">
            <v>0</v>
          </cell>
        </row>
        <row r="146">
          <cell r="F146">
            <v>146</v>
          </cell>
          <cell r="G146">
            <v>0</v>
          </cell>
        </row>
        <row r="147">
          <cell r="F147">
            <v>147</v>
          </cell>
          <cell r="G147">
            <v>0</v>
          </cell>
        </row>
        <row r="148">
          <cell r="F148">
            <v>148</v>
          </cell>
          <cell r="G148">
            <v>0</v>
          </cell>
        </row>
        <row r="149">
          <cell r="F149">
            <v>149</v>
          </cell>
          <cell r="G149">
            <v>0</v>
          </cell>
        </row>
        <row r="150">
          <cell r="F150">
            <v>150</v>
          </cell>
          <cell r="G150">
            <v>0</v>
          </cell>
        </row>
        <row r="151">
          <cell r="F151">
            <v>151</v>
          </cell>
          <cell r="G151">
            <v>0</v>
          </cell>
        </row>
        <row r="152">
          <cell r="F152">
            <v>152</v>
          </cell>
          <cell r="G152">
            <v>0</v>
          </cell>
        </row>
        <row r="153">
          <cell r="F153">
            <v>153</v>
          </cell>
          <cell r="G153">
            <v>0</v>
          </cell>
        </row>
        <row r="154">
          <cell r="F154">
            <v>154</v>
          </cell>
          <cell r="G154">
            <v>0</v>
          </cell>
        </row>
        <row r="155">
          <cell r="F155">
            <v>155</v>
          </cell>
          <cell r="G155">
            <v>9.1286241755822193</v>
          </cell>
        </row>
        <row r="156">
          <cell r="F156">
            <v>156</v>
          </cell>
          <cell r="G156">
            <v>10</v>
          </cell>
        </row>
        <row r="157">
          <cell r="F157">
            <v>157</v>
          </cell>
          <cell r="G157">
            <v>0</v>
          </cell>
        </row>
        <row r="158">
          <cell r="F158">
            <v>158</v>
          </cell>
          <cell r="G158">
            <v>10</v>
          </cell>
        </row>
        <row r="159">
          <cell r="F159">
            <v>159</v>
          </cell>
          <cell r="G159">
            <v>0</v>
          </cell>
        </row>
        <row r="160">
          <cell r="F160">
            <v>160</v>
          </cell>
          <cell r="G160">
            <v>0</v>
          </cell>
        </row>
        <row r="161">
          <cell r="F161">
            <v>161</v>
          </cell>
          <cell r="G161">
            <v>0</v>
          </cell>
        </row>
        <row r="162">
          <cell r="F162">
            <v>162</v>
          </cell>
          <cell r="G162">
            <v>0</v>
          </cell>
        </row>
        <row r="163">
          <cell r="F163">
            <v>163</v>
          </cell>
          <cell r="G163">
            <v>0</v>
          </cell>
        </row>
        <row r="164">
          <cell r="F164">
            <v>164</v>
          </cell>
          <cell r="G164">
            <v>0</v>
          </cell>
        </row>
        <row r="165">
          <cell r="F165">
            <v>165</v>
          </cell>
          <cell r="G165">
            <v>0</v>
          </cell>
        </row>
        <row r="166">
          <cell r="F166">
            <v>166</v>
          </cell>
          <cell r="G166">
            <v>10</v>
          </cell>
        </row>
        <row r="167">
          <cell r="F167">
            <v>167</v>
          </cell>
          <cell r="G167">
            <v>10</v>
          </cell>
        </row>
        <row r="168">
          <cell r="F168">
            <v>168</v>
          </cell>
          <cell r="G168">
            <v>0</v>
          </cell>
        </row>
        <row r="169">
          <cell r="F169">
            <v>169</v>
          </cell>
          <cell r="G169">
            <v>0</v>
          </cell>
        </row>
        <row r="170">
          <cell r="F170">
            <v>170</v>
          </cell>
          <cell r="G170">
            <v>0</v>
          </cell>
        </row>
        <row r="171">
          <cell r="F171">
            <v>171</v>
          </cell>
          <cell r="G171">
            <v>0</v>
          </cell>
        </row>
        <row r="172">
          <cell r="F172">
            <v>172</v>
          </cell>
          <cell r="G172">
            <v>0</v>
          </cell>
        </row>
        <row r="173">
          <cell r="F173">
            <v>173</v>
          </cell>
          <cell r="G173">
            <v>0</v>
          </cell>
        </row>
        <row r="174">
          <cell r="F174">
            <v>174</v>
          </cell>
          <cell r="G174">
            <v>0</v>
          </cell>
        </row>
        <row r="175">
          <cell r="F175">
            <v>175</v>
          </cell>
          <cell r="G175">
            <v>0</v>
          </cell>
        </row>
        <row r="176">
          <cell r="F176">
            <v>176</v>
          </cell>
          <cell r="G176">
            <v>0</v>
          </cell>
        </row>
        <row r="177">
          <cell r="F177">
            <v>177</v>
          </cell>
          <cell r="G177">
            <v>0</v>
          </cell>
        </row>
        <row r="178">
          <cell r="F178">
            <v>178</v>
          </cell>
          <cell r="G178">
            <v>0</v>
          </cell>
        </row>
        <row r="179">
          <cell r="F179">
            <v>179</v>
          </cell>
          <cell r="G179">
            <v>0</v>
          </cell>
        </row>
        <row r="180">
          <cell r="F180">
            <v>180</v>
          </cell>
          <cell r="G180">
            <v>0</v>
          </cell>
        </row>
        <row r="181">
          <cell r="F181">
            <v>181</v>
          </cell>
          <cell r="G181">
            <v>0</v>
          </cell>
        </row>
        <row r="182">
          <cell r="F182">
            <v>182</v>
          </cell>
          <cell r="G182">
            <v>0</v>
          </cell>
        </row>
        <row r="183">
          <cell r="F183">
            <v>183</v>
          </cell>
          <cell r="G183">
            <v>0</v>
          </cell>
        </row>
        <row r="184">
          <cell r="F184">
            <v>184</v>
          </cell>
          <cell r="G184">
            <v>0</v>
          </cell>
        </row>
        <row r="185">
          <cell r="F185">
            <v>185</v>
          </cell>
          <cell r="G185">
            <v>0</v>
          </cell>
        </row>
        <row r="186">
          <cell r="F186">
            <v>186</v>
          </cell>
          <cell r="G186">
            <v>0</v>
          </cell>
        </row>
        <row r="187">
          <cell r="F187">
            <v>187</v>
          </cell>
          <cell r="G187">
            <v>0</v>
          </cell>
        </row>
        <row r="188">
          <cell r="F188">
            <v>188</v>
          </cell>
          <cell r="G188">
            <v>0</v>
          </cell>
        </row>
        <row r="189">
          <cell r="F189">
            <v>189</v>
          </cell>
          <cell r="G189">
            <v>10</v>
          </cell>
        </row>
        <row r="190">
          <cell r="F190">
            <v>190</v>
          </cell>
          <cell r="G190">
            <v>0</v>
          </cell>
        </row>
        <row r="191">
          <cell r="F191">
            <v>191</v>
          </cell>
          <cell r="G191">
            <v>0</v>
          </cell>
        </row>
        <row r="192">
          <cell r="F192">
            <v>192</v>
          </cell>
          <cell r="G192">
            <v>10</v>
          </cell>
        </row>
      </sheetData>
      <sheetData sheetId="5">
        <row r="3">
          <cell r="F3">
            <v>9.9338842975206596</v>
          </cell>
          <cell r="G3">
            <v>3.4090909090908998</v>
          </cell>
        </row>
        <row r="4">
          <cell r="F4">
            <v>8.7272727272727302</v>
          </cell>
          <cell r="G4">
            <v>5</v>
          </cell>
        </row>
        <row r="5">
          <cell r="F5">
            <v>6.3636363636363598</v>
          </cell>
          <cell r="G5">
            <v>2.5</v>
          </cell>
        </row>
        <row r="6">
          <cell r="F6">
            <v>3.2727272727272698</v>
          </cell>
          <cell r="G6">
            <v>5</v>
          </cell>
        </row>
        <row r="7">
          <cell r="F7">
            <v>7.8677685950413201</v>
          </cell>
          <cell r="G7">
            <v>1.8181818181818199</v>
          </cell>
        </row>
        <row r="8">
          <cell r="F8">
            <v>6.1487603305785097</v>
          </cell>
          <cell r="G8">
            <v>2.9545454545454501</v>
          </cell>
        </row>
        <row r="9">
          <cell r="F9">
            <v>0</v>
          </cell>
          <cell r="G9">
            <v>0</v>
          </cell>
        </row>
        <row r="10">
          <cell r="F10">
            <v>0.34710743801652899</v>
          </cell>
          <cell r="G10">
            <v>7.7272727272727204</v>
          </cell>
        </row>
        <row r="11">
          <cell r="F11">
            <v>1.00826446280992</v>
          </cell>
          <cell r="G11">
            <v>6.1363636363636296</v>
          </cell>
        </row>
        <row r="12">
          <cell r="F12">
            <v>7.1404958677685997</v>
          </cell>
          <cell r="G12">
            <v>6.8181818181818201</v>
          </cell>
        </row>
        <row r="13">
          <cell r="F13">
            <v>10</v>
          </cell>
          <cell r="G13">
            <v>1.13636363636363</v>
          </cell>
        </row>
        <row r="14">
          <cell r="F14">
            <v>2.1487603305785101</v>
          </cell>
          <cell r="G14">
            <v>5.4545454545454604</v>
          </cell>
        </row>
        <row r="15">
          <cell r="F15">
            <v>8.2148760330578501</v>
          </cell>
          <cell r="G15">
            <v>0</v>
          </cell>
        </row>
        <row r="16">
          <cell r="F16">
            <v>7.7851239669421499</v>
          </cell>
          <cell r="G16">
            <v>0.45454545454544998</v>
          </cell>
        </row>
        <row r="17">
          <cell r="F17">
            <v>6.4297520661157002</v>
          </cell>
          <cell r="G17">
            <v>6.5909090909090802</v>
          </cell>
        </row>
        <row r="18">
          <cell r="F18">
            <v>3.93388429752066</v>
          </cell>
          <cell r="G18">
            <v>3.4090909090909198</v>
          </cell>
        </row>
        <row r="19">
          <cell r="F19">
            <v>5.5867768595041296</v>
          </cell>
          <cell r="G19">
            <v>8.1818181818181799</v>
          </cell>
        </row>
        <row r="20">
          <cell r="F20">
            <v>4.8429752066115697</v>
          </cell>
          <cell r="G20">
            <v>0.90909090909091705</v>
          </cell>
        </row>
        <row r="21">
          <cell r="F21">
            <v>6.7603305785124004</v>
          </cell>
          <cell r="G21">
            <v>7.0454545454545503</v>
          </cell>
        </row>
        <row r="22">
          <cell r="F22">
            <v>8.7768595041322293</v>
          </cell>
          <cell r="G22">
            <v>10</v>
          </cell>
        </row>
        <row r="23">
          <cell r="F23">
            <v>7.1239669421487601</v>
          </cell>
          <cell r="G23">
            <v>2.0454545454545499</v>
          </cell>
        </row>
        <row r="24">
          <cell r="F24">
            <v>8.6611570247933898</v>
          </cell>
          <cell r="G24">
            <v>3.4090909090909198</v>
          </cell>
        </row>
        <row r="25">
          <cell r="F25">
            <v>6.4462809917355397</v>
          </cell>
          <cell r="G25">
            <v>0</v>
          </cell>
        </row>
        <row r="26">
          <cell r="F26">
            <v>3.7851239669421499</v>
          </cell>
          <cell r="G26">
            <v>5.4545454545454497</v>
          </cell>
        </row>
        <row r="27">
          <cell r="F27">
            <v>2.4297520661157002</v>
          </cell>
          <cell r="G27">
            <v>0</v>
          </cell>
        </row>
        <row r="28">
          <cell r="F28">
            <v>4.0495867768595</v>
          </cell>
          <cell r="G28">
            <v>6.8181818181818201</v>
          </cell>
        </row>
        <row r="29">
          <cell r="F29">
            <v>3.1735537190082601</v>
          </cell>
          <cell r="G29">
            <v>3.86363636363637</v>
          </cell>
        </row>
        <row r="30">
          <cell r="F30">
            <v>10</v>
          </cell>
          <cell r="G30">
            <v>5.9090909090909003</v>
          </cell>
        </row>
        <row r="31">
          <cell r="F31">
            <v>0.34710743801652899</v>
          </cell>
          <cell r="G31">
            <v>5.2272727272727204</v>
          </cell>
        </row>
        <row r="32">
          <cell r="F32">
            <v>0</v>
          </cell>
          <cell r="G32">
            <v>0</v>
          </cell>
        </row>
        <row r="33">
          <cell r="F33">
            <v>1.8181818181818199</v>
          </cell>
          <cell r="G33">
            <v>5</v>
          </cell>
        </row>
        <row r="34">
          <cell r="F34">
            <v>5.4214876033057902</v>
          </cell>
          <cell r="G34">
            <v>0</v>
          </cell>
        </row>
        <row r="35">
          <cell r="F35">
            <v>6.9090909090909101</v>
          </cell>
          <cell r="G35">
            <v>5</v>
          </cell>
        </row>
        <row r="36">
          <cell r="F36">
            <v>8.7603305785124004</v>
          </cell>
          <cell r="G36">
            <v>4.5454545454545503</v>
          </cell>
        </row>
        <row r="37">
          <cell r="F37">
            <v>10</v>
          </cell>
          <cell r="G37">
            <v>5.9090909090909003</v>
          </cell>
        </row>
        <row r="38">
          <cell r="F38">
            <v>9.1735537190082592</v>
          </cell>
          <cell r="G38">
            <v>6.3636363636363704</v>
          </cell>
        </row>
        <row r="39">
          <cell r="F39">
            <v>5.2066115702479303</v>
          </cell>
          <cell r="G39">
            <v>0.90909090909091705</v>
          </cell>
        </row>
        <row r="40">
          <cell r="F40">
            <v>0</v>
          </cell>
          <cell r="G40">
            <v>0</v>
          </cell>
        </row>
        <row r="41">
          <cell r="F41">
            <v>4.4628099173553704</v>
          </cell>
          <cell r="G41">
            <v>3.63636363636363</v>
          </cell>
        </row>
        <row r="42">
          <cell r="F42">
            <v>3.2066115702479299</v>
          </cell>
          <cell r="G42">
            <v>5.9090909090909198</v>
          </cell>
        </row>
        <row r="43">
          <cell r="F43">
            <v>8.0661157024793404</v>
          </cell>
          <cell r="G43">
            <v>4.0909090909090802</v>
          </cell>
        </row>
        <row r="44">
          <cell r="F44">
            <v>3.3553719008264502</v>
          </cell>
          <cell r="G44">
            <v>6.3636363636363704</v>
          </cell>
        </row>
        <row r="45">
          <cell r="F45">
            <v>3.0578512396694202</v>
          </cell>
          <cell r="G45">
            <v>0</v>
          </cell>
        </row>
        <row r="46">
          <cell r="F46">
            <v>1.2066115702479301</v>
          </cell>
          <cell r="G46">
            <v>0</v>
          </cell>
        </row>
        <row r="47">
          <cell r="F47">
            <v>7.0082644628099198</v>
          </cell>
          <cell r="G47">
            <v>3.63636363636363</v>
          </cell>
        </row>
        <row r="48">
          <cell r="F48">
            <v>0</v>
          </cell>
          <cell r="G48">
            <v>0</v>
          </cell>
        </row>
        <row r="49">
          <cell r="F49">
            <v>8.2644628099172807E-2</v>
          </cell>
          <cell r="G49">
            <v>6.3636363636363598</v>
          </cell>
        </row>
        <row r="50">
          <cell r="F50">
            <v>5.7190082644628104</v>
          </cell>
          <cell r="G50">
            <v>6.3636363636363704</v>
          </cell>
        </row>
        <row r="51">
          <cell r="F51">
            <v>9.0743801652892593</v>
          </cell>
          <cell r="G51">
            <v>5.2272727272727302</v>
          </cell>
        </row>
        <row r="52">
          <cell r="F52">
            <v>7.1900826446280997</v>
          </cell>
          <cell r="G52">
            <v>3.63636363636363</v>
          </cell>
        </row>
        <row r="53">
          <cell r="F53">
            <v>6.6280991735537196</v>
          </cell>
          <cell r="G53">
            <v>3.86363636363637</v>
          </cell>
        </row>
        <row r="54">
          <cell r="F54">
            <v>10</v>
          </cell>
          <cell r="G54">
            <v>3.63636363636363</v>
          </cell>
        </row>
        <row r="55">
          <cell r="F55">
            <v>2.7272727272727302</v>
          </cell>
          <cell r="G55">
            <v>10</v>
          </cell>
        </row>
        <row r="56">
          <cell r="F56">
            <v>1.8842975206611601</v>
          </cell>
          <cell r="G56">
            <v>1.5909090909090899</v>
          </cell>
        </row>
        <row r="57">
          <cell r="F57">
            <v>8.9090909090909101</v>
          </cell>
          <cell r="G57">
            <v>7.5</v>
          </cell>
        </row>
        <row r="58">
          <cell r="F58">
            <v>0.34710743801652899</v>
          </cell>
          <cell r="G58">
            <v>7.7272727272727204</v>
          </cell>
        </row>
        <row r="59">
          <cell r="F59">
            <v>0</v>
          </cell>
          <cell r="G59">
            <v>0</v>
          </cell>
        </row>
        <row r="60">
          <cell r="F60">
            <v>1.8842975206611601</v>
          </cell>
          <cell r="G60">
            <v>1.5909090909090899</v>
          </cell>
        </row>
        <row r="61">
          <cell r="F61">
            <v>0</v>
          </cell>
          <cell r="G61">
            <v>0</v>
          </cell>
        </row>
        <row r="62">
          <cell r="F62">
            <v>7.8347107438016499</v>
          </cell>
          <cell r="G62">
            <v>2.2727272727272698</v>
          </cell>
        </row>
        <row r="63">
          <cell r="F63">
            <v>1.5041322314049601</v>
          </cell>
          <cell r="G63">
            <v>6.8181818181818201</v>
          </cell>
        </row>
        <row r="64">
          <cell r="F64">
            <v>4.1157024793388404</v>
          </cell>
          <cell r="G64">
            <v>0.90909090909091705</v>
          </cell>
        </row>
        <row r="65">
          <cell r="F65">
            <v>5.9834710743801596</v>
          </cell>
          <cell r="G65">
            <v>7.7272727272727302</v>
          </cell>
        </row>
        <row r="66">
          <cell r="F66">
            <v>10</v>
          </cell>
          <cell r="G66">
            <v>1.5909090909090999</v>
          </cell>
        </row>
        <row r="67">
          <cell r="F67">
            <v>7.0247933884297504</v>
          </cell>
          <cell r="G67">
            <v>5.9090909090909198</v>
          </cell>
        </row>
        <row r="68">
          <cell r="F68">
            <v>0</v>
          </cell>
          <cell r="G68">
            <v>0</v>
          </cell>
        </row>
        <row r="69">
          <cell r="F69">
            <v>9.1239669421487601</v>
          </cell>
          <cell r="G69">
            <v>7.0454545454545299</v>
          </cell>
        </row>
        <row r="70">
          <cell r="F70">
            <v>4.9752066115702496</v>
          </cell>
          <cell r="G70">
            <v>1.5909090909090799</v>
          </cell>
        </row>
        <row r="71">
          <cell r="F71">
            <v>0</v>
          </cell>
          <cell r="G71">
            <v>0</v>
          </cell>
        </row>
        <row r="72">
          <cell r="F72">
            <v>7.1570247933884303</v>
          </cell>
          <cell r="G72">
            <v>4.0909090909090802</v>
          </cell>
        </row>
        <row r="73">
          <cell r="F73">
            <v>6.2975206611570202</v>
          </cell>
          <cell r="G73">
            <v>3.4090909090909198</v>
          </cell>
        </row>
        <row r="74">
          <cell r="F74">
            <v>7.5702479338842998</v>
          </cell>
          <cell r="G74">
            <v>5.9090909090909198</v>
          </cell>
        </row>
        <row r="75">
          <cell r="F75">
            <v>3.7520661157024802</v>
          </cell>
          <cell r="G75">
            <v>8.4090909090909207</v>
          </cell>
        </row>
        <row r="76">
          <cell r="F76">
            <v>8.8099173553718995</v>
          </cell>
          <cell r="G76">
            <v>3.86363636363637</v>
          </cell>
        </row>
        <row r="77">
          <cell r="F77">
            <v>3.4876033057851199</v>
          </cell>
          <cell r="G77">
            <v>2.0454545454545499</v>
          </cell>
        </row>
        <row r="78">
          <cell r="F78">
            <v>6.0991735537190097</v>
          </cell>
          <cell r="G78">
            <v>1.13636363636363</v>
          </cell>
        </row>
        <row r="79">
          <cell r="F79">
            <v>6.0991735537190097</v>
          </cell>
          <cell r="G79">
            <v>0</v>
          </cell>
        </row>
        <row r="80">
          <cell r="F80">
            <v>1.60330578512397</v>
          </cell>
          <cell r="G80">
            <v>2.9545454545454599</v>
          </cell>
        </row>
        <row r="81">
          <cell r="F81">
            <v>10</v>
          </cell>
          <cell r="G81">
            <v>10</v>
          </cell>
        </row>
        <row r="82">
          <cell r="F82">
            <v>10</v>
          </cell>
          <cell r="G82">
            <v>3.86363636363637</v>
          </cell>
        </row>
        <row r="83">
          <cell r="F83">
            <v>1.8347107438016499</v>
          </cell>
          <cell r="G83">
            <v>2.27272727272728</v>
          </cell>
        </row>
        <row r="84">
          <cell r="F84">
            <v>3.1074380165289299</v>
          </cell>
          <cell r="G84">
            <v>2.2727272727272698</v>
          </cell>
        </row>
        <row r="85">
          <cell r="F85">
            <v>3.7520661157024802</v>
          </cell>
          <cell r="G85">
            <v>3.4090909090909198</v>
          </cell>
        </row>
        <row r="86">
          <cell r="F86">
            <v>5.1239669421487601</v>
          </cell>
          <cell r="G86">
            <v>0</v>
          </cell>
        </row>
        <row r="87">
          <cell r="F87">
            <v>5.1570247933884303</v>
          </cell>
          <cell r="G87">
            <v>6.5909090909090802</v>
          </cell>
        </row>
        <row r="88">
          <cell r="F88">
            <v>1.27272727272727</v>
          </cell>
          <cell r="G88">
            <v>0</v>
          </cell>
        </row>
        <row r="89">
          <cell r="F89">
            <v>6.6776859504132204</v>
          </cell>
          <cell r="G89">
            <v>5.6818181818181799</v>
          </cell>
        </row>
        <row r="90">
          <cell r="F90">
            <v>8.4132231404958695</v>
          </cell>
          <cell r="G90">
            <v>4.3181818181818201</v>
          </cell>
        </row>
        <row r="91">
          <cell r="F91">
            <v>7.7190082644628104</v>
          </cell>
          <cell r="G91">
            <v>3.86363636363637</v>
          </cell>
        </row>
        <row r="92">
          <cell r="F92">
            <v>7.5537190082644603</v>
          </cell>
          <cell r="G92">
            <v>3.63636363636363</v>
          </cell>
        </row>
        <row r="93">
          <cell r="F93">
            <v>0</v>
          </cell>
          <cell r="G93">
            <v>0</v>
          </cell>
        </row>
        <row r="94">
          <cell r="F94">
            <v>0</v>
          </cell>
          <cell r="G94">
            <v>0</v>
          </cell>
        </row>
        <row r="95">
          <cell r="F95">
            <v>2.9256198347107398</v>
          </cell>
          <cell r="G95">
            <v>0</v>
          </cell>
        </row>
        <row r="96">
          <cell r="F96">
            <v>4.2644628099173598</v>
          </cell>
          <cell r="G96">
            <v>1.36363636363637</v>
          </cell>
        </row>
        <row r="97">
          <cell r="F97">
            <v>7.8181818181818201</v>
          </cell>
          <cell r="G97">
            <v>7.5</v>
          </cell>
        </row>
        <row r="98">
          <cell r="F98">
            <v>9.3388429752066102</v>
          </cell>
          <cell r="G98">
            <v>10</v>
          </cell>
        </row>
        <row r="99">
          <cell r="F99">
            <v>9.1900826446281005</v>
          </cell>
          <cell r="G99">
            <v>6.1363636363636296</v>
          </cell>
        </row>
        <row r="100">
          <cell r="F100">
            <v>10</v>
          </cell>
          <cell r="G100">
            <v>2.2727272727272698</v>
          </cell>
        </row>
        <row r="101">
          <cell r="F101">
            <v>0</v>
          </cell>
          <cell r="G101">
            <v>0</v>
          </cell>
        </row>
        <row r="102">
          <cell r="F102">
            <v>0</v>
          </cell>
          <cell r="G102">
            <v>5.2272727272727302</v>
          </cell>
        </row>
        <row r="103">
          <cell r="F103">
            <v>5.8677685950413201</v>
          </cell>
          <cell r="G103">
            <v>0</v>
          </cell>
        </row>
        <row r="104">
          <cell r="F104">
            <v>6.7107438016528898</v>
          </cell>
          <cell r="G104">
            <v>2.7272727272727302</v>
          </cell>
        </row>
        <row r="105">
          <cell r="F105">
            <v>2.5454545454545401</v>
          </cell>
          <cell r="G105">
            <v>0</v>
          </cell>
        </row>
        <row r="106">
          <cell r="F106">
            <v>0.214876033057852</v>
          </cell>
          <cell r="G106">
            <v>7.0454545454545396</v>
          </cell>
        </row>
        <row r="107">
          <cell r="F107">
            <v>3.1735537190082601</v>
          </cell>
          <cell r="G107">
            <v>6.3636363636363704</v>
          </cell>
        </row>
        <row r="108">
          <cell r="F108">
            <v>6.4793388429752099</v>
          </cell>
          <cell r="G108">
            <v>0.90909090909091705</v>
          </cell>
        </row>
        <row r="109">
          <cell r="F109">
            <v>7.5702479338842998</v>
          </cell>
          <cell r="G109">
            <v>3.4090909090909198</v>
          </cell>
        </row>
        <row r="110">
          <cell r="F110">
            <v>7.9834710743801596</v>
          </cell>
          <cell r="G110">
            <v>2.7272727272727302</v>
          </cell>
        </row>
        <row r="111">
          <cell r="F111">
            <v>0</v>
          </cell>
          <cell r="G111">
            <v>0</v>
          </cell>
        </row>
        <row r="112">
          <cell r="F112">
            <v>5.25619834710744</v>
          </cell>
          <cell r="G112">
            <v>5.2272727272727302</v>
          </cell>
        </row>
        <row r="113">
          <cell r="F113">
            <v>0</v>
          </cell>
          <cell r="G113">
            <v>0</v>
          </cell>
        </row>
        <row r="114">
          <cell r="F114">
            <v>5.1074380165289304</v>
          </cell>
          <cell r="G114">
            <v>4.7727272727272698</v>
          </cell>
        </row>
        <row r="115">
          <cell r="F115">
            <v>8.4958677685950406</v>
          </cell>
          <cell r="G115">
            <v>5.6818181818181799</v>
          </cell>
        </row>
        <row r="116">
          <cell r="F116">
            <v>1.8677685950413201</v>
          </cell>
          <cell r="G116">
            <v>6.8181818181818201</v>
          </cell>
        </row>
        <row r="117">
          <cell r="F117">
            <v>8.8429752066115697</v>
          </cell>
          <cell r="G117">
            <v>5.9090909090909198</v>
          </cell>
        </row>
        <row r="118">
          <cell r="F118">
            <v>6.2148760330578501</v>
          </cell>
          <cell r="G118">
            <v>7.0454545454545503</v>
          </cell>
        </row>
        <row r="119">
          <cell r="F119">
            <v>5.9173553719008298</v>
          </cell>
          <cell r="G119">
            <v>1.13636363636363</v>
          </cell>
        </row>
        <row r="120">
          <cell r="F120">
            <v>8.1818181818181799</v>
          </cell>
          <cell r="G120">
            <v>5</v>
          </cell>
        </row>
        <row r="121">
          <cell r="F121">
            <v>8.3305785123966896</v>
          </cell>
          <cell r="G121">
            <v>0.45454545454544998</v>
          </cell>
        </row>
        <row r="122">
          <cell r="F122">
            <v>2.8760330578512399</v>
          </cell>
          <cell r="G122">
            <v>5.4545454545454604</v>
          </cell>
        </row>
        <row r="123">
          <cell r="F123">
            <v>8.0330578512396702</v>
          </cell>
          <cell r="G123">
            <v>4.5454545454545503</v>
          </cell>
        </row>
        <row r="124">
          <cell r="F124">
            <v>2.7933884297520701</v>
          </cell>
          <cell r="G124">
            <v>1.5909090909090899</v>
          </cell>
        </row>
        <row r="125">
          <cell r="F125">
            <v>4.9421487603305803</v>
          </cell>
          <cell r="G125">
            <v>4.5454545454545503</v>
          </cell>
        </row>
        <row r="126">
          <cell r="F126">
            <v>9.0909090909090899</v>
          </cell>
          <cell r="G126">
            <v>0</v>
          </cell>
        </row>
        <row r="127">
          <cell r="F127">
            <v>9.60330578512397</v>
          </cell>
          <cell r="G127">
            <v>5.4545454545454701</v>
          </cell>
        </row>
        <row r="128">
          <cell r="F128">
            <v>9.0743801652892593</v>
          </cell>
          <cell r="G128">
            <v>5.2272727272727302</v>
          </cell>
        </row>
        <row r="129">
          <cell r="F129">
            <v>0.87603305785123797</v>
          </cell>
          <cell r="G129">
            <v>5.4545454545454604</v>
          </cell>
        </row>
        <row r="130">
          <cell r="F130">
            <v>0.26446280991735399</v>
          </cell>
          <cell r="G130">
            <v>6.3636363636363704</v>
          </cell>
        </row>
        <row r="131">
          <cell r="F131">
            <v>7.0743801652892602</v>
          </cell>
          <cell r="G131">
            <v>5.2272727272727302</v>
          </cell>
        </row>
        <row r="132">
          <cell r="F132">
            <v>0</v>
          </cell>
          <cell r="G132">
            <v>0</v>
          </cell>
        </row>
        <row r="133">
          <cell r="F133">
            <v>0.36363636363636298</v>
          </cell>
          <cell r="G133">
            <v>0</v>
          </cell>
        </row>
        <row r="134">
          <cell r="F134">
            <v>4.2809917355371896</v>
          </cell>
          <cell r="G134">
            <v>8.6363636363636296</v>
          </cell>
        </row>
        <row r="135">
          <cell r="F135">
            <v>9.0578512396694197</v>
          </cell>
          <cell r="G135">
            <v>0.45454545454546702</v>
          </cell>
        </row>
        <row r="136">
          <cell r="F136">
            <v>4.1652892561983501</v>
          </cell>
          <cell r="G136">
            <v>0</v>
          </cell>
        </row>
        <row r="137">
          <cell r="F137">
            <v>4.2975206611570202</v>
          </cell>
          <cell r="G137">
            <v>0.90909090909091705</v>
          </cell>
        </row>
        <row r="138">
          <cell r="F138">
            <v>6.5123966942148801</v>
          </cell>
          <cell r="G138">
            <v>2.9545454545454501</v>
          </cell>
        </row>
        <row r="139">
          <cell r="F139">
            <v>0</v>
          </cell>
          <cell r="G139">
            <v>0</v>
          </cell>
        </row>
        <row r="140">
          <cell r="F140">
            <v>7.65289256198347</v>
          </cell>
          <cell r="G140">
            <v>7.2727272727272698</v>
          </cell>
        </row>
        <row r="141">
          <cell r="F141">
            <v>3.30578512396694</v>
          </cell>
          <cell r="G141">
            <v>0</v>
          </cell>
        </row>
        <row r="142">
          <cell r="F142">
            <v>10</v>
          </cell>
          <cell r="G142">
            <v>4.5454545454545299</v>
          </cell>
        </row>
        <row r="143">
          <cell r="F143">
            <v>2.5289256198347099</v>
          </cell>
          <cell r="G143">
            <v>7.7272727272727204</v>
          </cell>
        </row>
        <row r="144">
          <cell r="F144">
            <v>5.7024793388429798</v>
          </cell>
          <cell r="G144">
            <v>6.5909090909090802</v>
          </cell>
        </row>
        <row r="145">
          <cell r="F145">
            <v>3.5041322314049599</v>
          </cell>
          <cell r="G145">
            <v>0</v>
          </cell>
        </row>
        <row r="146">
          <cell r="F146">
            <v>4.69421487603306</v>
          </cell>
          <cell r="G146">
            <v>2.9545454545454501</v>
          </cell>
        </row>
        <row r="147">
          <cell r="F147">
            <v>7.1239669421487601</v>
          </cell>
          <cell r="G147">
            <v>2.0454545454545499</v>
          </cell>
        </row>
        <row r="148">
          <cell r="F148">
            <v>6.6611570247933898</v>
          </cell>
          <cell r="G148">
            <v>8.4090909090909207</v>
          </cell>
        </row>
        <row r="149">
          <cell r="F149">
            <v>4.9917355371900802</v>
          </cell>
          <cell r="G149">
            <v>3.86363636363637</v>
          </cell>
        </row>
        <row r="150">
          <cell r="F150">
            <v>10</v>
          </cell>
          <cell r="G150">
            <v>7.5</v>
          </cell>
        </row>
        <row r="151">
          <cell r="F151">
            <v>6.2975206611570202</v>
          </cell>
          <cell r="G151">
            <v>3.4090909090909198</v>
          </cell>
        </row>
        <row r="152">
          <cell r="F152">
            <v>0</v>
          </cell>
          <cell r="G152">
            <v>1.36363636363636</v>
          </cell>
        </row>
        <row r="153">
          <cell r="F153">
            <v>0</v>
          </cell>
          <cell r="G153">
            <v>0</v>
          </cell>
        </row>
        <row r="154">
          <cell r="F154">
            <v>8.2479338842975203</v>
          </cell>
          <cell r="G154">
            <v>1.5909090909090799</v>
          </cell>
        </row>
        <row r="155">
          <cell r="F155">
            <v>5.4049586776859497</v>
          </cell>
          <cell r="G155">
            <v>0.68181818181818299</v>
          </cell>
        </row>
        <row r="156">
          <cell r="F156">
            <v>10</v>
          </cell>
          <cell r="G156">
            <v>7.0454545454545299</v>
          </cell>
        </row>
        <row r="157">
          <cell r="F157">
            <v>5.8347107438016499</v>
          </cell>
          <cell r="G157">
            <v>2.2727272727272698</v>
          </cell>
        </row>
        <row r="158">
          <cell r="F158">
            <v>0</v>
          </cell>
          <cell r="G158">
            <v>0</v>
          </cell>
        </row>
        <row r="159">
          <cell r="F159">
            <v>7.5206611570247901</v>
          </cell>
          <cell r="G159">
            <v>1.5909090909090799</v>
          </cell>
        </row>
        <row r="160">
          <cell r="F160">
            <v>6.9421487603305803</v>
          </cell>
          <cell r="G160">
            <v>2.0454545454545499</v>
          </cell>
        </row>
        <row r="161">
          <cell r="F161">
            <v>3.0743801652892602</v>
          </cell>
          <cell r="G161">
            <v>7.7272727272727204</v>
          </cell>
        </row>
        <row r="162">
          <cell r="F162">
            <v>2.2314049586776901</v>
          </cell>
          <cell r="G162">
            <v>0</v>
          </cell>
        </row>
        <row r="163">
          <cell r="F163">
            <v>0.413223140495868</v>
          </cell>
          <cell r="G163">
            <v>1.8181818181818199</v>
          </cell>
        </row>
        <row r="164">
          <cell r="F164">
            <v>7.2396694214875996</v>
          </cell>
          <cell r="G164">
            <v>0.45454545454544998</v>
          </cell>
        </row>
        <row r="165">
          <cell r="F165">
            <v>4.0661157024793404</v>
          </cell>
          <cell r="G165">
            <v>1.5909090909090799</v>
          </cell>
        </row>
        <row r="166">
          <cell r="F166">
            <v>10</v>
          </cell>
          <cell r="G166">
            <v>4.5454545454545299</v>
          </cell>
        </row>
        <row r="167">
          <cell r="F167">
            <v>9.8677685950413192</v>
          </cell>
          <cell r="G167">
            <v>4.3181818181818299</v>
          </cell>
        </row>
        <row r="168">
          <cell r="F168">
            <v>7.8016528925619797</v>
          </cell>
          <cell r="G168">
            <v>5.2272727272727302</v>
          </cell>
        </row>
        <row r="169">
          <cell r="F169">
            <v>4.8925619834710696</v>
          </cell>
          <cell r="G169">
            <v>2.7272727272727302</v>
          </cell>
        </row>
        <row r="170">
          <cell r="F170">
            <v>10</v>
          </cell>
          <cell r="G170">
            <v>2.2727272727272698</v>
          </cell>
        </row>
        <row r="171">
          <cell r="F171">
            <v>10</v>
          </cell>
          <cell r="G171">
            <v>0</v>
          </cell>
        </row>
        <row r="172">
          <cell r="F172">
            <v>6.5785123966942098</v>
          </cell>
          <cell r="G172">
            <v>2.0454545454545499</v>
          </cell>
        </row>
        <row r="173">
          <cell r="F173">
            <v>0</v>
          </cell>
          <cell r="G173">
            <v>0</v>
          </cell>
        </row>
        <row r="174">
          <cell r="F174">
            <v>5.3553719008264498</v>
          </cell>
          <cell r="G174">
            <v>1.36363636363637</v>
          </cell>
        </row>
        <row r="175">
          <cell r="F175">
            <v>6.74380165289256</v>
          </cell>
          <cell r="G175">
            <v>4.7727272727272698</v>
          </cell>
        </row>
        <row r="176">
          <cell r="F176">
            <v>7.1735537190082601</v>
          </cell>
          <cell r="G176">
            <v>6.3636363636363704</v>
          </cell>
        </row>
        <row r="177">
          <cell r="F177">
            <v>0</v>
          </cell>
          <cell r="G177">
            <v>0</v>
          </cell>
        </row>
        <row r="178">
          <cell r="F178">
            <v>8.0330578512396702</v>
          </cell>
          <cell r="G178">
            <v>4.5454545454545503</v>
          </cell>
        </row>
        <row r="179">
          <cell r="F179">
            <v>7.8512396694214903</v>
          </cell>
          <cell r="G179">
            <v>7.0454545454545503</v>
          </cell>
        </row>
        <row r="180">
          <cell r="F180">
            <v>8.4297520661157002</v>
          </cell>
          <cell r="G180">
            <v>4.0909090909090802</v>
          </cell>
        </row>
        <row r="181">
          <cell r="F181">
            <v>4.6115702479338898</v>
          </cell>
          <cell r="G181">
            <v>1.5909090909090799</v>
          </cell>
        </row>
        <row r="182">
          <cell r="F182">
            <v>2.06611570247934</v>
          </cell>
          <cell r="G182">
            <v>1.5909090909090899</v>
          </cell>
        </row>
        <row r="183">
          <cell r="F183">
            <v>9.7024793388429806</v>
          </cell>
          <cell r="G183">
            <v>4.0909090909090997</v>
          </cell>
        </row>
        <row r="184">
          <cell r="F184">
            <v>0</v>
          </cell>
          <cell r="G184">
            <v>0</v>
          </cell>
        </row>
        <row r="185">
          <cell r="F185">
            <v>10</v>
          </cell>
          <cell r="G185">
            <v>5</v>
          </cell>
        </row>
        <row r="186">
          <cell r="F186">
            <v>5.9834710743801596</v>
          </cell>
          <cell r="G186">
            <v>5.2272727272727302</v>
          </cell>
        </row>
        <row r="187">
          <cell r="F187">
            <v>0</v>
          </cell>
          <cell r="G187">
            <v>0</v>
          </cell>
        </row>
        <row r="188">
          <cell r="F188">
            <v>0</v>
          </cell>
          <cell r="G188">
            <v>0</v>
          </cell>
        </row>
        <row r="189">
          <cell r="F189">
            <v>10</v>
          </cell>
          <cell r="G189">
            <v>7.0454545454545299</v>
          </cell>
        </row>
        <row r="190">
          <cell r="F190">
            <v>5.0743801652892602</v>
          </cell>
          <cell r="G190">
            <v>5.2272727272727302</v>
          </cell>
        </row>
        <row r="191">
          <cell r="F191">
            <v>8.0826446280991693</v>
          </cell>
          <cell r="G191">
            <v>8.8636363636363704</v>
          </cell>
        </row>
        <row r="192">
          <cell r="F192">
            <v>10</v>
          </cell>
          <cell r="G192">
            <v>5</v>
          </cell>
        </row>
      </sheetData>
      <sheetData sheetId="6">
        <row r="3">
          <cell r="F3">
            <v>9.5</v>
          </cell>
          <cell r="G3">
            <v>7</v>
          </cell>
        </row>
        <row r="4">
          <cell r="F4">
            <v>3.5</v>
          </cell>
          <cell r="G4">
            <v>10</v>
          </cell>
        </row>
        <row r="5">
          <cell r="F5">
            <v>9</v>
          </cell>
          <cell r="G5">
            <v>0</v>
          </cell>
        </row>
        <row r="6">
          <cell r="F6">
            <v>5.3333333333333304</v>
          </cell>
          <cell r="G6">
            <v>0</v>
          </cell>
        </row>
        <row r="7">
          <cell r="F7">
            <v>5</v>
          </cell>
          <cell r="G7">
            <v>0</v>
          </cell>
        </row>
        <row r="8">
          <cell r="F8">
            <v>5.8333333333333304</v>
          </cell>
          <cell r="G8">
            <v>0</v>
          </cell>
        </row>
        <row r="9">
          <cell r="F9">
            <v>4.5</v>
          </cell>
          <cell r="G9">
            <v>0</v>
          </cell>
        </row>
        <row r="10">
          <cell r="F10">
            <v>6.3333333333333304</v>
          </cell>
          <cell r="G10">
            <v>0</v>
          </cell>
        </row>
        <row r="11">
          <cell r="F11">
            <v>2.5</v>
          </cell>
          <cell r="G11">
            <v>0</v>
          </cell>
        </row>
        <row r="12">
          <cell r="F12">
            <v>6.5</v>
          </cell>
          <cell r="G12">
            <v>7</v>
          </cell>
        </row>
        <row r="13">
          <cell r="F13">
            <v>4.3333333333333304</v>
          </cell>
          <cell r="G13">
            <v>0</v>
          </cell>
        </row>
        <row r="14">
          <cell r="F14">
            <v>1.3333333333333299</v>
          </cell>
          <cell r="G14">
            <v>0</v>
          </cell>
        </row>
        <row r="15">
          <cell r="F15">
            <v>3.1666666666666701</v>
          </cell>
          <cell r="G15">
            <v>0</v>
          </cell>
        </row>
        <row r="16">
          <cell r="F16">
            <v>4.5</v>
          </cell>
          <cell r="G16">
            <v>0</v>
          </cell>
        </row>
        <row r="17">
          <cell r="F17">
            <v>10</v>
          </cell>
          <cell r="G17">
            <v>0</v>
          </cell>
        </row>
        <row r="18">
          <cell r="F18">
            <v>4.3333333333333304</v>
          </cell>
          <cell r="G18">
            <v>0</v>
          </cell>
        </row>
        <row r="19">
          <cell r="F19">
            <v>0</v>
          </cell>
          <cell r="G19">
            <v>0</v>
          </cell>
        </row>
        <row r="20">
          <cell r="F20">
            <v>4</v>
          </cell>
          <cell r="G20">
            <v>10</v>
          </cell>
        </row>
        <row r="21">
          <cell r="F21">
            <v>5.1666666666666696</v>
          </cell>
          <cell r="G21">
            <v>0</v>
          </cell>
        </row>
        <row r="22">
          <cell r="F22">
            <v>2</v>
          </cell>
          <cell r="G22">
            <v>0</v>
          </cell>
        </row>
        <row r="23">
          <cell r="F23">
            <v>7.5</v>
          </cell>
          <cell r="G23">
            <v>0</v>
          </cell>
        </row>
        <row r="24">
          <cell r="F24">
            <v>6.1666666666666696</v>
          </cell>
          <cell r="G24">
            <v>0</v>
          </cell>
        </row>
        <row r="25">
          <cell r="F25">
            <v>5</v>
          </cell>
          <cell r="G25">
            <v>7</v>
          </cell>
        </row>
        <row r="26">
          <cell r="F26">
            <v>4.6666666666666696</v>
          </cell>
          <cell r="G26">
            <v>0</v>
          </cell>
        </row>
        <row r="27">
          <cell r="F27">
            <v>3</v>
          </cell>
          <cell r="G27">
            <v>10</v>
          </cell>
        </row>
        <row r="28">
          <cell r="F28">
            <v>4.1666666666666696</v>
          </cell>
          <cell r="G28">
            <v>0</v>
          </cell>
        </row>
        <row r="29">
          <cell r="F29">
            <v>2.8333333333333299</v>
          </cell>
          <cell r="G29">
            <v>0</v>
          </cell>
        </row>
        <row r="30">
          <cell r="F30">
            <v>3.5</v>
          </cell>
          <cell r="G30">
            <v>0</v>
          </cell>
        </row>
        <row r="31">
          <cell r="F31">
            <v>5.6666666666666696</v>
          </cell>
          <cell r="G31">
            <v>0</v>
          </cell>
        </row>
        <row r="32">
          <cell r="F32">
            <v>2.1666666666666701</v>
          </cell>
          <cell r="G32">
            <v>0</v>
          </cell>
        </row>
        <row r="33">
          <cell r="F33">
            <v>8.6666666666666696</v>
          </cell>
          <cell r="G33">
            <v>0</v>
          </cell>
        </row>
        <row r="34">
          <cell r="F34">
            <v>10</v>
          </cell>
          <cell r="G34">
            <v>0</v>
          </cell>
        </row>
        <row r="35">
          <cell r="F35">
            <v>4.6666666666666696</v>
          </cell>
          <cell r="G35">
            <v>0</v>
          </cell>
        </row>
        <row r="36">
          <cell r="F36">
            <v>4.3333333333333304</v>
          </cell>
          <cell r="G36">
            <v>0</v>
          </cell>
        </row>
        <row r="37">
          <cell r="F37">
            <v>5.8333333333333304</v>
          </cell>
          <cell r="G37">
            <v>0</v>
          </cell>
        </row>
        <row r="38">
          <cell r="F38">
            <v>4.8333333333333304</v>
          </cell>
          <cell r="G38">
            <v>0</v>
          </cell>
        </row>
        <row r="39">
          <cell r="F39">
            <v>9.5</v>
          </cell>
          <cell r="G39">
            <v>7</v>
          </cell>
        </row>
        <row r="40">
          <cell r="F40">
            <v>2.8333333333333299</v>
          </cell>
          <cell r="G40">
            <v>0</v>
          </cell>
        </row>
        <row r="41">
          <cell r="F41">
            <v>0.83333333333333404</v>
          </cell>
          <cell r="G41">
            <v>0</v>
          </cell>
        </row>
        <row r="42">
          <cell r="F42">
            <v>8.3333333333333304</v>
          </cell>
          <cell r="G42">
            <v>0</v>
          </cell>
        </row>
        <row r="43">
          <cell r="F43">
            <v>7.6666666666666696</v>
          </cell>
          <cell r="G43">
            <v>10</v>
          </cell>
        </row>
        <row r="44">
          <cell r="F44">
            <v>5.5</v>
          </cell>
          <cell r="G44">
            <v>0</v>
          </cell>
        </row>
        <row r="45">
          <cell r="F45">
            <v>1.1666666666666701</v>
          </cell>
          <cell r="G45">
            <v>0</v>
          </cell>
        </row>
        <row r="46">
          <cell r="F46">
            <v>2.5</v>
          </cell>
          <cell r="G46">
            <v>0</v>
          </cell>
        </row>
        <row r="47">
          <cell r="F47">
            <v>7.3333333333333304</v>
          </cell>
          <cell r="G47">
            <v>7</v>
          </cell>
        </row>
        <row r="48">
          <cell r="F48">
            <v>6.5</v>
          </cell>
          <cell r="G48">
            <v>0</v>
          </cell>
        </row>
        <row r="49">
          <cell r="F49">
            <v>0.66666666666666796</v>
          </cell>
          <cell r="G49">
            <v>0</v>
          </cell>
        </row>
        <row r="50">
          <cell r="F50">
            <v>9.5</v>
          </cell>
          <cell r="G50">
            <v>0</v>
          </cell>
        </row>
        <row r="51">
          <cell r="F51">
            <v>6.1666666666666696</v>
          </cell>
          <cell r="G51">
            <v>0</v>
          </cell>
        </row>
        <row r="52">
          <cell r="F52">
            <v>9.8333333333333304</v>
          </cell>
          <cell r="G52">
            <v>0</v>
          </cell>
        </row>
        <row r="53">
          <cell r="F53">
            <v>6.5</v>
          </cell>
          <cell r="G53">
            <v>0</v>
          </cell>
        </row>
        <row r="54">
          <cell r="F54">
            <v>4.5</v>
          </cell>
          <cell r="G54">
            <v>10</v>
          </cell>
        </row>
        <row r="55">
          <cell r="F55">
            <v>5.1666666666666696</v>
          </cell>
          <cell r="G55">
            <v>0</v>
          </cell>
        </row>
        <row r="56">
          <cell r="F56">
            <v>0</v>
          </cell>
          <cell r="G56">
            <v>0</v>
          </cell>
        </row>
        <row r="57">
          <cell r="F57">
            <v>5.6666666666666696</v>
          </cell>
          <cell r="G57">
            <v>10</v>
          </cell>
        </row>
        <row r="58">
          <cell r="F58">
            <v>0</v>
          </cell>
          <cell r="G58">
            <v>0</v>
          </cell>
        </row>
        <row r="59">
          <cell r="F59">
            <v>4.8333333333333304</v>
          </cell>
          <cell r="G59">
            <v>10</v>
          </cell>
        </row>
        <row r="60">
          <cell r="F60">
            <v>4</v>
          </cell>
          <cell r="G60">
            <v>0</v>
          </cell>
        </row>
        <row r="61">
          <cell r="F61">
            <v>5.3333333333333304</v>
          </cell>
          <cell r="G61">
            <v>10</v>
          </cell>
        </row>
        <row r="62">
          <cell r="F62">
            <v>2.5</v>
          </cell>
          <cell r="G62">
            <v>0</v>
          </cell>
        </row>
        <row r="63">
          <cell r="F63">
            <v>2.3333333333333299</v>
          </cell>
          <cell r="G63">
            <v>0</v>
          </cell>
        </row>
        <row r="64">
          <cell r="F64">
            <v>5.8333333333333304</v>
          </cell>
          <cell r="G64">
            <v>0</v>
          </cell>
        </row>
        <row r="65">
          <cell r="F65">
            <v>4.5</v>
          </cell>
          <cell r="G65">
            <v>0</v>
          </cell>
        </row>
        <row r="66">
          <cell r="F66">
            <v>4.8333333333333304</v>
          </cell>
          <cell r="G66">
            <v>0</v>
          </cell>
        </row>
        <row r="67">
          <cell r="F67">
            <v>3.5</v>
          </cell>
          <cell r="G67">
            <v>0</v>
          </cell>
        </row>
        <row r="68">
          <cell r="F68">
            <v>2.8333333333333299</v>
          </cell>
          <cell r="G68">
            <v>0</v>
          </cell>
        </row>
        <row r="69">
          <cell r="F69">
            <v>3.1666666666666701</v>
          </cell>
          <cell r="G69">
            <v>0</v>
          </cell>
        </row>
        <row r="70">
          <cell r="F70">
            <v>8.1666666666666696</v>
          </cell>
          <cell r="G70">
            <v>0</v>
          </cell>
        </row>
        <row r="71">
          <cell r="F71">
            <v>1.1666666666666701</v>
          </cell>
          <cell r="G71">
            <v>10</v>
          </cell>
        </row>
        <row r="72">
          <cell r="F72">
            <v>9.5</v>
          </cell>
          <cell r="G72">
            <v>0</v>
          </cell>
        </row>
        <row r="73">
          <cell r="F73">
            <v>4.6666666666666696</v>
          </cell>
          <cell r="G73">
            <v>10</v>
          </cell>
        </row>
        <row r="74">
          <cell r="F74">
            <v>9.1666666666666696</v>
          </cell>
          <cell r="G74">
            <v>0</v>
          </cell>
        </row>
        <row r="75">
          <cell r="F75">
            <v>6.3333333333333304</v>
          </cell>
          <cell r="G75">
            <v>0</v>
          </cell>
        </row>
        <row r="76">
          <cell r="F76">
            <v>10</v>
          </cell>
          <cell r="G76">
            <v>0</v>
          </cell>
        </row>
        <row r="77">
          <cell r="F77">
            <v>4.3333333333333304</v>
          </cell>
          <cell r="G77">
            <v>0</v>
          </cell>
        </row>
        <row r="78">
          <cell r="F78">
            <v>10</v>
          </cell>
          <cell r="G78">
            <v>0</v>
          </cell>
        </row>
        <row r="79">
          <cell r="F79">
            <v>10</v>
          </cell>
          <cell r="G79">
            <v>0</v>
          </cell>
        </row>
        <row r="80">
          <cell r="F80">
            <v>2</v>
          </cell>
          <cell r="G80">
            <v>0</v>
          </cell>
        </row>
        <row r="81">
          <cell r="F81">
            <v>9.6666666666666696</v>
          </cell>
          <cell r="G81">
            <v>0</v>
          </cell>
        </row>
        <row r="82">
          <cell r="F82">
            <v>7.6666666666666696</v>
          </cell>
          <cell r="G82">
            <v>0</v>
          </cell>
        </row>
        <row r="83">
          <cell r="F83">
            <v>2</v>
          </cell>
          <cell r="G83">
            <v>0</v>
          </cell>
        </row>
        <row r="84">
          <cell r="F84">
            <v>6</v>
          </cell>
          <cell r="G84">
            <v>0</v>
          </cell>
        </row>
        <row r="85">
          <cell r="F85">
            <v>6.8333333333333304</v>
          </cell>
          <cell r="G85">
            <v>0</v>
          </cell>
        </row>
        <row r="86">
          <cell r="F86">
            <v>7.3333333333333304</v>
          </cell>
          <cell r="G86">
            <v>0</v>
          </cell>
        </row>
        <row r="87">
          <cell r="F87">
            <v>5.3333333333333304</v>
          </cell>
          <cell r="G87">
            <v>0</v>
          </cell>
        </row>
        <row r="88">
          <cell r="F88">
            <v>10</v>
          </cell>
          <cell r="G88">
            <v>7</v>
          </cell>
        </row>
        <row r="89">
          <cell r="F89">
            <v>5</v>
          </cell>
          <cell r="G89">
            <v>0</v>
          </cell>
        </row>
        <row r="90">
          <cell r="F90">
            <v>6.8333333333333304</v>
          </cell>
          <cell r="G90">
            <v>10</v>
          </cell>
        </row>
        <row r="91">
          <cell r="F91">
            <v>6.8333333333333304</v>
          </cell>
          <cell r="G91">
            <v>7</v>
          </cell>
        </row>
        <row r="92">
          <cell r="F92">
            <v>8</v>
          </cell>
          <cell r="G92">
            <v>10</v>
          </cell>
        </row>
        <row r="93">
          <cell r="F93">
            <v>4.6666666666666696</v>
          </cell>
          <cell r="G93">
            <v>10</v>
          </cell>
        </row>
        <row r="94">
          <cell r="F94">
            <v>3</v>
          </cell>
          <cell r="G94">
            <v>0</v>
          </cell>
        </row>
        <row r="95">
          <cell r="F95">
            <v>8.1666666666666696</v>
          </cell>
          <cell r="G95">
            <v>0</v>
          </cell>
        </row>
        <row r="96">
          <cell r="F96">
            <v>1</v>
          </cell>
          <cell r="G96">
            <v>0</v>
          </cell>
        </row>
        <row r="97">
          <cell r="F97">
            <v>6.5</v>
          </cell>
          <cell r="G97">
            <v>7</v>
          </cell>
        </row>
        <row r="98">
          <cell r="F98">
            <v>7</v>
          </cell>
          <cell r="G98">
            <v>0</v>
          </cell>
        </row>
        <row r="99">
          <cell r="F99">
            <v>5</v>
          </cell>
          <cell r="G99">
            <v>0</v>
          </cell>
        </row>
        <row r="100">
          <cell r="F100">
            <v>4.5</v>
          </cell>
          <cell r="G100">
            <v>0</v>
          </cell>
        </row>
        <row r="101">
          <cell r="F101">
            <v>2.6666666666666701</v>
          </cell>
          <cell r="G101">
            <v>0</v>
          </cell>
        </row>
        <row r="102">
          <cell r="F102">
            <v>0.5</v>
          </cell>
          <cell r="G102">
            <v>0</v>
          </cell>
        </row>
        <row r="103">
          <cell r="F103">
            <v>7</v>
          </cell>
          <cell r="G103">
            <v>10</v>
          </cell>
        </row>
        <row r="104">
          <cell r="F104">
            <v>2.5</v>
          </cell>
          <cell r="G104">
            <v>0</v>
          </cell>
        </row>
        <row r="105">
          <cell r="F105">
            <v>1.1666666666666701</v>
          </cell>
          <cell r="G105">
            <v>0</v>
          </cell>
        </row>
        <row r="106">
          <cell r="F106">
            <v>0</v>
          </cell>
          <cell r="G106">
            <v>0</v>
          </cell>
        </row>
        <row r="107">
          <cell r="F107">
            <v>1.8333333333333299</v>
          </cell>
          <cell r="G107">
            <v>0</v>
          </cell>
        </row>
        <row r="108">
          <cell r="F108">
            <v>6.1666666666666696</v>
          </cell>
          <cell r="G108">
            <v>0</v>
          </cell>
        </row>
        <row r="109">
          <cell r="F109">
            <v>5.1666666666666696</v>
          </cell>
          <cell r="G109">
            <v>0</v>
          </cell>
        </row>
        <row r="110">
          <cell r="F110">
            <v>8.5</v>
          </cell>
          <cell r="G110">
            <v>0</v>
          </cell>
        </row>
        <row r="111">
          <cell r="F111">
            <v>3.6666666666666701</v>
          </cell>
          <cell r="G111">
            <v>7</v>
          </cell>
        </row>
        <row r="112">
          <cell r="F112">
            <v>9.5</v>
          </cell>
          <cell r="G112">
            <v>7</v>
          </cell>
        </row>
        <row r="113">
          <cell r="F113">
            <v>4.3333333333333304</v>
          </cell>
          <cell r="G113">
            <v>0</v>
          </cell>
        </row>
        <row r="114">
          <cell r="F114">
            <v>4.6666666666666696</v>
          </cell>
          <cell r="G114">
            <v>0</v>
          </cell>
        </row>
        <row r="115">
          <cell r="F115">
            <v>5.6666666666666696</v>
          </cell>
          <cell r="G115">
            <v>0</v>
          </cell>
        </row>
        <row r="116">
          <cell r="F116">
            <v>2.5</v>
          </cell>
          <cell r="G116">
            <v>0</v>
          </cell>
        </row>
        <row r="117">
          <cell r="F117">
            <v>10</v>
          </cell>
          <cell r="G117">
            <v>7</v>
          </cell>
        </row>
        <row r="118">
          <cell r="F118">
            <v>5.5</v>
          </cell>
          <cell r="G118">
            <v>0</v>
          </cell>
        </row>
        <row r="119">
          <cell r="F119">
            <v>3.1666666666666701</v>
          </cell>
          <cell r="G119">
            <v>0</v>
          </cell>
        </row>
        <row r="120">
          <cell r="F120">
            <v>8</v>
          </cell>
          <cell r="G120">
            <v>0</v>
          </cell>
        </row>
        <row r="121">
          <cell r="F121">
            <v>7.6666666666666696</v>
          </cell>
          <cell r="G121">
            <v>0</v>
          </cell>
        </row>
        <row r="122">
          <cell r="F122">
            <v>4.5</v>
          </cell>
          <cell r="G122">
            <v>7</v>
          </cell>
        </row>
        <row r="123">
          <cell r="F123">
            <v>5.8333333333333304</v>
          </cell>
          <cell r="G123">
            <v>0</v>
          </cell>
        </row>
        <row r="124">
          <cell r="F124">
            <v>6.5</v>
          </cell>
          <cell r="G124">
            <v>10</v>
          </cell>
        </row>
        <row r="125">
          <cell r="F125">
            <v>5.5</v>
          </cell>
          <cell r="G125">
            <v>10</v>
          </cell>
        </row>
        <row r="126">
          <cell r="F126">
            <v>5.8333333333333304</v>
          </cell>
          <cell r="G126">
            <v>0</v>
          </cell>
        </row>
        <row r="127">
          <cell r="F127">
            <v>5</v>
          </cell>
          <cell r="G127">
            <v>0</v>
          </cell>
        </row>
        <row r="128">
          <cell r="F128">
            <v>9.3333333333333304</v>
          </cell>
          <cell r="G128">
            <v>0</v>
          </cell>
        </row>
        <row r="129">
          <cell r="F129">
            <v>1.6666666666666701</v>
          </cell>
          <cell r="G129">
            <v>0</v>
          </cell>
        </row>
        <row r="130">
          <cell r="F130">
            <v>0</v>
          </cell>
          <cell r="G130">
            <v>0</v>
          </cell>
        </row>
        <row r="131">
          <cell r="F131">
            <v>8</v>
          </cell>
          <cell r="G131">
            <v>0</v>
          </cell>
        </row>
        <row r="132">
          <cell r="F132">
            <v>3</v>
          </cell>
          <cell r="G132">
            <v>10</v>
          </cell>
        </row>
        <row r="133">
          <cell r="F133">
            <v>5.8333333333333304</v>
          </cell>
          <cell r="G133">
            <v>0</v>
          </cell>
        </row>
        <row r="134">
          <cell r="F134">
            <v>6.6666666666666696</v>
          </cell>
          <cell r="G134">
            <v>0</v>
          </cell>
        </row>
        <row r="135">
          <cell r="F135">
            <v>10</v>
          </cell>
          <cell r="G135">
            <v>0</v>
          </cell>
        </row>
        <row r="136">
          <cell r="F136">
            <v>8.6666666666666696</v>
          </cell>
          <cell r="G136">
            <v>10</v>
          </cell>
        </row>
        <row r="137">
          <cell r="F137">
            <v>10</v>
          </cell>
          <cell r="G137">
            <v>0</v>
          </cell>
        </row>
        <row r="138">
          <cell r="F138">
            <v>10</v>
          </cell>
          <cell r="G138">
            <v>10</v>
          </cell>
        </row>
        <row r="139">
          <cell r="F139">
            <v>3.6666666666666701</v>
          </cell>
          <cell r="G139">
            <v>10</v>
          </cell>
        </row>
        <row r="140">
          <cell r="F140">
            <v>9.5</v>
          </cell>
          <cell r="G140">
            <v>0</v>
          </cell>
        </row>
        <row r="141">
          <cell r="F141">
            <v>2.1666666666666701</v>
          </cell>
          <cell r="G141">
            <v>0</v>
          </cell>
        </row>
        <row r="142">
          <cell r="F142">
            <v>7</v>
          </cell>
          <cell r="G142">
            <v>0</v>
          </cell>
        </row>
        <row r="143">
          <cell r="F143">
            <v>4</v>
          </cell>
          <cell r="G143">
            <v>0</v>
          </cell>
        </row>
        <row r="144">
          <cell r="F144">
            <v>2.6666666666666701</v>
          </cell>
          <cell r="G144">
            <v>0</v>
          </cell>
        </row>
        <row r="145">
          <cell r="F145">
            <v>0.83333333333333404</v>
          </cell>
          <cell r="G145">
            <v>0</v>
          </cell>
        </row>
        <row r="146">
          <cell r="F146">
            <v>5.1666666666666696</v>
          </cell>
          <cell r="G146">
            <v>0</v>
          </cell>
        </row>
        <row r="147">
          <cell r="F147">
            <v>7.8333333333333304</v>
          </cell>
          <cell r="G147">
            <v>0</v>
          </cell>
        </row>
        <row r="148">
          <cell r="F148">
            <v>4.1666666666666696</v>
          </cell>
          <cell r="G148">
            <v>0</v>
          </cell>
        </row>
        <row r="149">
          <cell r="F149">
            <v>3.5</v>
          </cell>
          <cell r="G149">
            <v>10</v>
          </cell>
        </row>
        <row r="150">
          <cell r="F150">
            <v>5.3333333333333304</v>
          </cell>
          <cell r="G150">
            <v>0</v>
          </cell>
        </row>
        <row r="151">
          <cell r="F151">
            <v>5.8333333333333304</v>
          </cell>
          <cell r="G151">
            <v>0</v>
          </cell>
        </row>
        <row r="152">
          <cell r="F152">
            <v>0</v>
          </cell>
          <cell r="G152">
            <v>0</v>
          </cell>
        </row>
        <row r="153">
          <cell r="F153">
            <v>8</v>
          </cell>
          <cell r="G153">
            <v>10</v>
          </cell>
        </row>
        <row r="154">
          <cell r="F154">
            <v>4.8333333333333304</v>
          </cell>
          <cell r="G154">
            <v>0</v>
          </cell>
        </row>
        <row r="155">
          <cell r="F155">
            <v>9.1666666666666696</v>
          </cell>
          <cell r="G155">
            <v>0</v>
          </cell>
        </row>
        <row r="156">
          <cell r="F156">
            <v>9.8333333333333304</v>
          </cell>
          <cell r="G156">
            <v>10</v>
          </cell>
        </row>
        <row r="157">
          <cell r="F157">
            <v>5.8333333333333304</v>
          </cell>
          <cell r="G157">
            <v>0</v>
          </cell>
        </row>
        <row r="158">
          <cell r="F158">
            <v>5</v>
          </cell>
          <cell r="G158">
            <v>7</v>
          </cell>
        </row>
        <row r="159">
          <cell r="F159">
            <v>0.5</v>
          </cell>
          <cell r="G159">
            <v>0</v>
          </cell>
        </row>
        <row r="160">
          <cell r="F160">
            <v>4.8333333333333304</v>
          </cell>
          <cell r="G160">
            <v>10</v>
          </cell>
        </row>
        <row r="161">
          <cell r="F161">
            <v>3</v>
          </cell>
          <cell r="G161">
            <v>0</v>
          </cell>
        </row>
        <row r="162">
          <cell r="F162">
            <v>4</v>
          </cell>
          <cell r="G162">
            <v>0</v>
          </cell>
        </row>
        <row r="163">
          <cell r="F163">
            <v>0.16666666666666599</v>
          </cell>
          <cell r="G163">
            <v>0</v>
          </cell>
        </row>
        <row r="164">
          <cell r="F164">
            <v>2.5</v>
          </cell>
          <cell r="G164">
            <v>0</v>
          </cell>
        </row>
        <row r="165">
          <cell r="F165">
            <v>3</v>
          </cell>
          <cell r="G165">
            <v>7</v>
          </cell>
        </row>
        <row r="166">
          <cell r="F166">
            <v>7.8333333333333304</v>
          </cell>
          <cell r="G166">
            <v>0</v>
          </cell>
        </row>
        <row r="167">
          <cell r="F167">
            <v>5.3333333333333304</v>
          </cell>
          <cell r="G167">
            <v>0</v>
          </cell>
        </row>
        <row r="168">
          <cell r="F168">
            <v>3.3333333333333299</v>
          </cell>
          <cell r="G168">
            <v>0</v>
          </cell>
        </row>
        <row r="169">
          <cell r="F169">
            <v>8.6666666666666696</v>
          </cell>
          <cell r="G169">
            <v>10</v>
          </cell>
        </row>
        <row r="170">
          <cell r="F170">
            <v>8</v>
          </cell>
          <cell r="G170">
            <v>7</v>
          </cell>
        </row>
        <row r="171">
          <cell r="F171">
            <v>4.5</v>
          </cell>
          <cell r="G171">
            <v>7</v>
          </cell>
        </row>
        <row r="172">
          <cell r="F172">
            <v>6</v>
          </cell>
          <cell r="G172">
            <v>0</v>
          </cell>
        </row>
        <row r="173">
          <cell r="F173">
            <v>7</v>
          </cell>
          <cell r="G173">
            <v>10</v>
          </cell>
        </row>
        <row r="174">
          <cell r="F174">
            <v>3.6666666666666701</v>
          </cell>
          <cell r="G174">
            <v>10</v>
          </cell>
        </row>
        <row r="175">
          <cell r="F175">
            <v>5.6666666666666696</v>
          </cell>
          <cell r="G175">
            <v>0</v>
          </cell>
        </row>
        <row r="176">
          <cell r="F176">
            <v>8.6666666666666696</v>
          </cell>
          <cell r="G176">
            <v>0</v>
          </cell>
        </row>
        <row r="177">
          <cell r="F177">
            <v>3.3333333333333299</v>
          </cell>
          <cell r="G177">
            <v>10</v>
          </cell>
        </row>
        <row r="178">
          <cell r="F178">
            <v>6.8333333333333304</v>
          </cell>
          <cell r="G178">
            <v>7</v>
          </cell>
        </row>
        <row r="179">
          <cell r="F179">
            <v>5.6666666666666696</v>
          </cell>
          <cell r="G179">
            <v>7</v>
          </cell>
        </row>
        <row r="180">
          <cell r="F180">
            <v>3.6666666666666701</v>
          </cell>
          <cell r="G180">
            <v>0</v>
          </cell>
        </row>
        <row r="181">
          <cell r="F181">
            <v>1.1666666666666701</v>
          </cell>
          <cell r="G181">
            <v>0</v>
          </cell>
        </row>
        <row r="182">
          <cell r="F182">
            <v>9.3333333333333304</v>
          </cell>
          <cell r="G182">
            <v>7</v>
          </cell>
        </row>
        <row r="183">
          <cell r="F183">
            <v>7</v>
          </cell>
          <cell r="G183">
            <v>7</v>
          </cell>
        </row>
        <row r="184">
          <cell r="F184">
            <v>2.6666666666666701</v>
          </cell>
          <cell r="G184">
            <v>10</v>
          </cell>
        </row>
        <row r="185">
          <cell r="F185">
            <v>8.5</v>
          </cell>
          <cell r="G185">
            <v>7</v>
          </cell>
        </row>
        <row r="186">
          <cell r="F186">
            <v>10</v>
          </cell>
          <cell r="G186">
            <v>7</v>
          </cell>
        </row>
        <row r="187">
          <cell r="F187">
            <v>7.6666666666666696</v>
          </cell>
          <cell r="G187">
            <v>10</v>
          </cell>
        </row>
        <row r="188">
          <cell r="F188">
            <v>4.1666666666666696</v>
          </cell>
          <cell r="G188">
            <v>0</v>
          </cell>
        </row>
        <row r="189">
          <cell r="F189">
            <v>5.5</v>
          </cell>
          <cell r="G189">
            <v>10</v>
          </cell>
        </row>
        <row r="190">
          <cell r="F190">
            <v>6.5</v>
          </cell>
          <cell r="G190">
            <v>0</v>
          </cell>
        </row>
        <row r="191">
          <cell r="F191">
            <v>4.1666666666666696</v>
          </cell>
          <cell r="G191">
            <v>0</v>
          </cell>
        </row>
        <row r="192">
          <cell r="F192">
            <v>6.1666666666666696</v>
          </cell>
          <cell r="G192">
            <v>0</v>
          </cell>
        </row>
      </sheetData>
      <sheetData sheetId="7">
        <row r="3">
          <cell r="F3">
            <v>0</v>
          </cell>
        </row>
        <row r="4">
          <cell r="F4">
            <v>0</v>
          </cell>
        </row>
        <row r="5">
          <cell r="F5">
            <v>7</v>
          </cell>
        </row>
        <row r="6">
          <cell r="F6">
            <v>0</v>
          </cell>
        </row>
        <row r="7">
          <cell r="F7">
            <v>7</v>
          </cell>
        </row>
        <row r="8">
          <cell r="F8">
            <v>10</v>
          </cell>
        </row>
        <row r="9">
          <cell r="F9">
            <v>0</v>
          </cell>
        </row>
        <row r="10">
          <cell r="F10">
            <v>7</v>
          </cell>
        </row>
        <row r="11">
          <cell r="F11">
            <v>7</v>
          </cell>
        </row>
        <row r="12">
          <cell r="F12">
            <v>7</v>
          </cell>
        </row>
        <row r="13">
          <cell r="F13">
            <v>0</v>
          </cell>
        </row>
        <row r="14">
          <cell r="F14">
            <v>7</v>
          </cell>
        </row>
        <row r="15">
          <cell r="F15">
            <v>0</v>
          </cell>
        </row>
        <row r="16">
          <cell r="F16">
            <v>8.1976931435721294</v>
          </cell>
        </row>
        <row r="17">
          <cell r="F17">
            <v>0</v>
          </cell>
        </row>
        <row r="18">
          <cell r="F18">
            <v>10</v>
          </cell>
        </row>
        <row r="19">
          <cell r="F19">
            <v>0</v>
          </cell>
        </row>
        <row r="20">
          <cell r="F20">
            <v>10</v>
          </cell>
        </row>
        <row r="21">
          <cell r="F21">
            <v>7</v>
          </cell>
        </row>
        <row r="22">
          <cell r="F22">
            <v>0</v>
          </cell>
        </row>
        <row r="23">
          <cell r="F23">
            <v>10</v>
          </cell>
        </row>
        <row r="24">
          <cell r="F24">
            <v>7</v>
          </cell>
        </row>
        <row r="25">
          <cell r="F25">
            <v>7</v>
          </cell>
        </row>
        <row r="26">
          <cell r="F26">
            <v>7</v>
          </cell>
        </row>
        <row r="27">
          <cell r="F27">
            <v>7</v>
          </cell>
        </row>
        <row r="28">
          <cell r="F28">
            <v>0</v>
          </cell>
        </row>
        <row r="29">
          <cell r="F29">
            <v>0</v>
          </cell>
        </row>
        <row r="30">
          <cell r="F30">
            <v>10</v>
          </cell>
        </row>
        <row r="31">
          <cell r="F31">
            <v>7</v>
          </cell>
        </row>
        <row r="32">
          <cell r="F32">
            <v>0</v>
          </cell>
        </row>
        <row r="33">
          <cell r="F33">
            <v>7</v>
          </cell>
        </row>
        <row r="34">
          <cell r="F34">
            <v>0</v>
          </cell>
        </row>
        <row r="35">
          <cell r="F35">
            <v>0</v>
          </cell>
        </row>
        <row r="36">
          <cell r="F36">
            <v>0</v>
          </cell>
        </row>
        <row r="37">
          <cell r="F37">
            <v>0</v>
          </cell>
        </row>
        <row r="38">
          <cell r="F38">
            <v>0</v>
          </cell>
        </row>
        <row r="39">
          <cell r="F39">
            <v>7</v>
          </cell>
        </row>
        <row r="40">
          <cell r="F40">
            <v>0</v>
          </cell>
        </row>
        <row r="41">
          <cell r="F41">
            <v>7</v>
          </cell>
        </row>
        <row r="42">
          <cell r="F42">
            <v>10</v>
          </cell>
        </row>
        <row r="43">
          <cell r="F43">
            <v>0</v>
          </cell>
        </row>
        <row r="44">
          <cell r="F44">
            <v>7</v>
          </cell>
        </row>
        <row r="45">
          <cell r="F45">
            <v>0</v>
          </cell>
        </row>
        <row r="46">
          <cell r="F46">
            <v>0</v>
          </cell>
        </row>
        <row r="47">
          <cell r="F47">
            <v>8.8847092522515201</v>
          </cell>
        </row>
        <row r="48">
          <cell r="F48">
            <v>0</v>
          </cell>
        </row>
        <row r="49">
          <cell r="F49">
            <v>7</v>
          </cell>
        </row>
        <row r="50">
          <cell r="F50">
            <v>7</v>
          </cell>
        </row>
        <row r="51">
          <cell r="F51">
            <v>7</v>
          </cell>
        </row>
        <row r="52">
          <cell r="F52">
            <v>7</v>
          </cell>
        </row>
        <row r="53">
          <cell r="F53">
            <v>9.1046643938336995</v>
          </cell>
        </row>
        <row r="54">
          <cell r="F54">
            <v>0</v>
          </cell>
        </row>
        <row r="55">
          <cell r="F55">
            <v>7</v>
          </cell>
        </row>
        <row r="56">
          <cell r="F56">
            <v>7</v>
          </cell>
        </row>
        <row r="57">
          <cell r="F57">
            <v>10</v>
          </cell>
        </row>
        <row r="58">
          <cell r="F58">
            <v>7</v>
          </cell>
        </row>
        <row r="59">
          <cell r="F59">
            <v>7</v>
          </cell>
        </row>
        <row r="60">
          <cell r="F60">
            <v>7</v>
          </cell>
        </row>
        <row r="61">
          <cell r="F61">
            <v>0</v>
          </cell>
        </row>
        <row r="62">
          <cell r="F62">
            <v>10</v>
          </cell>
        </row>
        <row r="63">
          <cell r="F63">
            <v>7</v>
          </cell>
        </row>
        <row r="64">
          <cell r="F64">
            <v>0</v>
          </cell>
        </row>
        <row r="65">
          <cell r="F65">
            <v>10</v>
          </cell>
        </row>
        <row r="66">
          <cell r="F66">
            <v>0</v>
          </cell>
        </row>
        <row r="67">
          <cell r="F67">
            <v>0</v>
          </cell>
        </row>
        <row r="68">
          <cell r="F68">
            <v>0</v>
          </cell>
        </row>
        <row r="69">
          <cell r="F69">
            <v>0</v>
          </cell>
        </row>
        <row r="70">
          <cell r="F70">
            <v>7</v>
          </cell>
        </row>
        <row r="71">
          <cell r="F71">
            <v>0</v>
          </cell>
        </row>
        <row r="72">
          <cell r="F72">
            <v>3.21345038641067</v>
          </cell>
        </row>
        <row r="73">
          <cell r="F73">
            <v>0</v>
          </cell>
        </row>
        <row r="74">
          <cell r="F74">
            <v>7</v>
          </cell>
        </row>
        <row r="75">
          <cell r="F75">
            <v>10</v>
          </cell>
        </row>
        <row r="76">
          <cell r="F76">
            <v>0</v>
          </cell>
        </row>
        <row r="77">
          <cell r="F77">
            <v>7</v>
          </cell>
        </row>
        <row r="78">
          <cell r="F78">
            <v>7</v>
          </cell>
        </row>
        <row r="79">
          <cell r="F79">
            <v>0</v>
          </cell>
        </row>
        <row r="80">
          <cell r="F80">
            <v>7</v>
          </cell>
        </row>
        <row r="81">
          <cell r="F81">
            <v>7</v>
          </cell>
        </row>
        <row r="82">
          <cell r="F82">
            <v>0</v>
          </cell>
        </row>
        <row r="83">
          <cell r="F83">
            <v>7</v>
          </cell>
        </row>
        <row r="84">
          <cell r="F84">
            <v>7</v>
          </cell>
        </row>
        <row r="85">
          <cell r="F85">
            <v>7</v>
          </cell>
        </row>
        <row r="86">
          <cell r="F86">
            <v>0</v>
          </cell>
        </row>
        <row r="87">
          <cell r="F87">
            <v>0</v>
          </cell>
        </row>
        <row r="88">
          <cell r="F88">
            <v>0</v>
          </cell>
        </row>
        <row r="89">
          <cell r="F89">
            <v>7</v>
          </cell>
        </row>
        <row r="90">
          <cell r="F90">
            <v>10</v>
          </cell>
        </row>
        <row r="91">
          <cell r="F91">
            <v>7</v>
          </cell>
        </row>
        <row r="92">
          <cell r="F92">
            <v>0</v>
          </cell>
        </row>
        <row r="93">
          <cell r="F93">
            <v>0</v>
          </cell>
        </row>
        <row r="94">
          <cell r="F94">
            <v>0</v>
          </cell>
        </row>
        <row r="95">
          <cell r="F95">
            <v>0</v>
          </cell>
        </row>
        <row r="96">
          <cell r="F96">
            <v>0</v>
          </cell>
        </row>
        <row r="97">
          <cell r="F97">
            <v>7.1725602831159296</v>
          </cell>
        </row>
        <row r="98">
          <cell r="F98">
            <v>0</v>
          </cell>
        </row>
        <row r="99">
          <cell r="F99">
            <v>0</v>
          </cell>
        </row>
        <row r="100">
          <cell r="F100">
            <v>0</v>
          </cell>
        </row>
        <row r="101">
          <cell r="F101">
            <v>8.6596330006917306</v>
          </cell>
        </row>
        <row r="102">
          <cell r="F102">
            <v>0</v>
          </cell>
        </row>
        <row r="103">
          <cell r="F103">
            <v>7</v>
          </cell>
        </row>
        <row r="104">
          <cell r="F104">
            <v>0</v>
          </cell>
        </row>
        <row r="105">
          <cell r="F105">
            <v>7</v>
          </cell>
        </row>
        <row r="106">
          <cell r="F106">
            <v>7</v>
          </cell>
        </row>
        <row r="107">
          <cell r="F107">
            <v>7</v>
          </cell>
        </row>
        <row r="108">
          <cell r="F108">
            <v>7</v>
          </cell>
        </row>
        <row r="109">
          <cell r="F109">
            <v>7</v>
          </cell>
        </row>
        <row r="110">
          <cell r="F110">
            <v>9.3784793104444208</v>
          </cell>
        </row>
        <row r="111">
          <cell r="F111">
            <v>0</v>
          </cell>
        </row>
        <row r="112">
          <cell r="F112">
            <v>7</v>
          </cell>
        </row>
        <row r="113">
          <cell r="F113">
            <v>0</v>
          </cell>
        </row>
        <row r="114">
          <cell r="F114">
            <v>10</v>
          </cell>
        </row>
        <row r="115">
          <cell r="F115">
            <v>1.5587064198085201</v>
          </cell>
        </row>
        <row r="116">
          <cell r="F116">
            <v>0</v>
          </cell>
        </row>
        <row r="117">
          <cell r="F117">
            <v>9.8841076805477996</v>
          </cell>
        </row>
        <row r="118">
          <cell r="F118">
            <v>0</v>
          </cell>
        </row>
        <row r="119">
          <cell r="F119">
            <v>7</v>
          </cell>
        </row>
        <row r="120">
          <cell r="F120">
            <v>8.5555049351283508</v>
          </cell>
        </row>
        <row r="121">
          <cell r="F121">
            <v>0</v>
          </cell>
        </row>
        <row r="122">
          <cell r="F122">
            <v>10</v>
          </cell>
        </row>
        <row r="123">
          <cell r="F123">
            <v>10</v>
          </cell>
        </row>
        <row r="124">
          <cell r="F124">
            <v>0</v>
          </cell>
        </row>
        <row r="125">
          <cell r="F125">
            <v>0</v>
          </cell>
        </row>
        <row r="126">
          <cell r="F126">
            <v>0</v>
          </cell>
        </row>
        <row r="127">
          <cell r="F127">
            <v>10</v>
          </cell>
        </row>
        <row r="128">
          <cell r="F128">
            <v>7</v>
          </cell>
        </row>
        <row r="129">
          <cell r="F129">
            <v>7</v>
          </cell>
        </row>
        <row r="130">
          <cell r="F130">
            <v>0</v>
          </cell>
        </row>
        <row r="131">
          <cell r="F131">
            <v>0</v>
          </cell>
        </row>
        <row r="132">
          <cell r="F132">
            <v>0</v>
          </cell>
        </row>
        <row r="133">
          <cell r="F133">
            <v>7</v>
          </cell>
        </row>
        <row r="134">
          <cell r="F134">
            <v>0</v>
          </cell>
        </row>
        <row r="135">
          <cell r="F135">
            <v>0</v>
          </cell>
        </row>
        <row r="136">
          <cell r="F136">
            <v>7</v>
          </cell>
        </row>
        <row r="137">
          <cell r="F137">
            <v>7</v>
          </cell>
        </row>
        <row r="138">
          <cell r="F138">
            <v>8.7796598161969897</v>
          </cell>
        </row>
        <row r="139">
          <cell r="F139">
            <v>0</v>
          </cell>
        </row>
        <row r="140">
          <cell r="F140">
            <v>6.9923142932710203</v>
          </cell>
        </row>
        <row r="141">
          <cell r="F141">
            <v>9.7687693096342496</v>
          </cell>
        </row>
        <row r="142">
          <cell r="F142">
            <v>0</v>
          </cell>
        </row>
        <row r="143">
          <cell r="F143">
            <v>7</v>
          </cell>
        </row>
        <row r="144">
          <cell r="F144">
            <v>7</v>
          </cell>
        </row>
        <row r="145">
          <cell r="F145">
            <v>0</v>
          </cell>
        </row>
        <row r="146">
          <cell r="F146">
            <v>7.4582060859316899</v>
          </cell>
        </row>
        <row r="147">
          <cell r="F147">
            <v>7</v>
          </cell>
        </row>
        <row r="148">
          <cell r="F148">
            <v>0</v>
          </cell>
        </row>
        <row r="149">
          <cell r="F149">
            <v>0</v>
          </cell>
        </row>
        <row r="150">
          <cell r="F150">
            <v>10</v>
          </cell>
        </row>
        <row r="151">
          <cell r="F151">
            <v>10</v>
          </cell>
        </row>
        <row r="152">
          <cell r="F152">
            <v>0</v>
          </cell>
        </row>
        <row r="153">
          <cell r="F153">
            <v>7.2393699827648303</v>
          </cell>
        </row>
        <row r="154">
          <cell r="F154">
            <v>0</v>
          </cell>
        </row>
        <row r="155">
          <cell r="F155">
            <v>7</v>
          </cell>
        </row>
        <row r="156">
          <cell r="F156">
            <v>0</v>
          </cell>
        </row>
        <row r="157">
          <cell r="F157">
            <v>7</v>
          </cell>
        </row>
        <row r="158">
          <cell r="F158">
            <v>10</v>
          </cell>
        </row>
        <row r="159">
          <cell r="F159">
            <v>0</v>
          </cell>
        </row>
        <row r="160">
          <cell r="F160">
            <v>7</v>
          </cell>
        </row>
        <row r="161">
          <cell r="F161">
            <v>7</v>
          </cell>
        </row>
        <row r="162">
          <cell r="F162">
            <v>7</v>
          </cell>
        </row>
        <row r="163">
          <cell r="F163">
            <v>7</v>
          </cell>
        </row>
        <row r="164">
          <cell r="F164">
            <v>0</v>
          </cell>
        </row>
        <row r="165">
          <cell r="F165">
            <v>0</v>
          </cell>
        </row>
        <row r="166">
          <cell r="F166">
            <v>0</v>
          </cell>
        </row>
        <row r="167">
          <cell r="F167">
            <v>10</v>
          </cell>
        </row>
        <row r="168">
          <cell r="F168">
            <v>0</v>
          </cell>
        </row>
        <row r="169">
          <cell r="F169">
            <v>0</v>
          </cell>
        </row>
        <row r="170">
          <cell r="F170">
            <v>7.5524877820696101</v>
          </cell>
        </row>
        <row r="171">
          <cell r="F171">
            <v>0</v>
          </cell>
        </row>
        <row r="172">
          <cell r="F172">
            <v>0</v>
          </cell>
        </row>
        <row r="173">
          <cell r="F173">
            <v>0</v>
          </cell>
        </row>
        <row r="174">
          <cell r="F174">
            <v>7</v>
          </cell>
        </row>
        <row r="175">
          <cell r="F175">
            <v>4.1735172271728498</v>
          </cell>
        </row>
        <row r="176">
          <cell r="F176">
            <v>7</v>
          </cell>
        </row>
        <row r="177">
          <cell r="F177">
            <v>0</v>
          </cell>
        </row>
        <row r="178">
          <cell r="F178">
            <v>0</v>
          </cell>
        </row>
        <row r="179">
          <cell r="F179">
            <v>10</v>
          </cell>
        </row>
        <row r="180">
          <cell r="F180">
            <v>7</v>
          </cell>
        </row>
        <row r="181">
          <cell r="F181">
            <v>7</v>
          </cell>
        </row>
        <row r="182">
          <cell r="F182">
            <v>7</v>
          </cell>
        </row>
        <row r="183">
          <cell r="F183">
            <v>10</v>
          </cell>
        </row>
        <row r="184">
          <cell r="F184">
            <v>0</v>
          </cell>
        </row>
        <row r="185">
          <cell r="F185">
            <v>0</v>
          </cell>
        </row>
        <row r="186">
          <cell r="F186">
            <v>6.4178180921645396</v>
          </cell>
        </row>
        <row r="187">
          <cell r="F187">
            <v>0</v>
          </cell>
        </row>
        <row r="188">
          <cell r="F188">
            <v>0</v>
          </cell>
        </row>
        <row r="189">
          <cell r="F189">
            <v>7.6797073000953304</v>
          </cell>
        </row>
        <row r="190">
          <cell r="F190">
            <v>10</v>
          </cell>
        </row>
        <row r="191">
          <cell r="F191">
            <v>10</v>
          </cell>
        </row>
        <row r="192">
          <cell r="F192">
            <v>10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CD4A7-D26B-FC4B-A1B6-27861AFC1984}">
  <dimension ref="A1:F12"/>
  <sheetViews>
    <sheetView tabSelected="1" workbookViewId="0">
      <selection activeCell="J9" sqref="J9"/>
    </sheetView>
  </sheetViews>
  <sheetFormatPr baseColWidth="10" defaultRowHeight="16" x14ac:dyDescent="0.2"/>
  <cols>
    <col min="1" max="2" width="10.7109375" style="75"/>
    <col min="3" max="3" width="18.28515625" style="75" customWidth="1"/>
    <col min="4" max="16384" width="10.7109375" style="75"/>
  </cols>
  <sheetData>
    <row r="1" spans="1:6" x14ac:dyDescent="0.2">
      <c r="A1" s="72"/>
      <c r="B1" s="73"/>
      <c r="C1" s="74"/>
      <c r="D1" s="72"/>
      <c r="E1" s="72"/>
      <c r="F1" s="72"/>
    </row>
    <row r="2" spans="1:6" x14ac:dyDescent="0.2">
      <c r="A2" s="72"/>
      <c r="B2" s="76" t="s">
        <v>1596</v>
      </c>
      <c r="C2" s="76"/>
      <c r="D2" s="76"/>
      <c r="E2" s="72"/>
      <c r="F2" s="72"/>
    </row>
    <row r="3" spans="1:6" x14ac:dyDescent="0.2">
      <c r="A3" s="72"/>
      <c r="B3" s="77"/>
      <c r="C3" s="74"/>
      <c r="D3" s="72"/>
      <c r="E3" s="72"/>
      <c r="F3" s="72"/>
    </row>
    <row r="4" spans="1:6" x14ac:dyDescent="0.2">
      <c r="A4" s="72"/>
      <c r="B4" s="78" t="s">
        <v>1597</v>
      </c>
      <c r="C4" s="78"/>
      <c r="D4" s="78"/>
      <c r="E4" s="72"/>
      <c r="F4" s="72"/>
    </row>
    <row r="5" spans="1:6" x14ac:dyDescent="0.2">
      <c r="A5" s="72"/>
      <c r="B5" s="79"/>
      <c r="C5" s="79"/>
      <c r="D5" s="79"/>
      <c r="E5" s="72"/>
      <c r="F5" s="72"/>
    </row>
    <row r="6" spans="1:6" ht="93" customHeight="1" x14ac:dyDescent="0.2">
      <c r="A6" s="80"/>
      <c r="B6" s="81" t="s">
        <v>1598</v>
      </c>
      <c r="C6" s="81"/>
      <c r="D6" s="81"/>
      <c r="E6" s="72"/>
      <c r="F6" s="72"/>
    </row>
    <row r="12" spans="1:6" x14ac:dyDescent="0.2">
      <c r="C12" s="82"/>
    </row>
  </sheetData>
  <mergeCells count="3">
    <mergeCell ref="B2:D2"/>
    <mergeCell ref="B4:D4"/>
    <mergeCell ref="B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U195"/>
  <sheetViews>
    <sheetView workbookViewId="0">
      <selection activeCell="F23" sqref="F23"/>
    </sheetView>
  </sheetViews>
  <sheetFormatPr baseColWidth="10" defaultColWidth="8.7109375" defaultRowHeight="16" x14ac:dyDescent="0.2"/>
  <cols>
    <col min="1" max="1" width="4.42578125" style="58" customWidth="1"/>
    <col min="2" max="2" width="22.5703125" style="69" customWidth="1"/>
    <col min="3" max="3" width="8.7109375" style="69"/>
    <col min="4" max="4" width="2.5703125" style="67" customWidth="1"/>
    <col min="5" max="5" width="6.85546875" style="70" customWidth="1"/>
    <col min="6" max="6" width="3.28515625" style="71" customWidth="1"/>
    <col min="7" max="7" width="6.85546875" style="70" customWidth="1"/>
    <col min="8" max="8" width="2.28515625" style="70" customWidth="1"/>
    <col min="9" max="9" width="6.85546875" style="67" customWidth="1"/>
    <col min="10" max="10" width="2" style="67" customWidth="1"/>
    <col min="11" max="11" width="1.42578125" style="67" hidden="1" customWidth="1"/>
    <col min="12" max="12" width="9.28515625" style="67" hidden="1" customWidth="1"/>
    <col min="13" max="13" width="3.85546875" style="67" hidden="1" customWidth="1"/>
    <col min="14" max="15" width="9.85546875" style="67" hidden="1" customWidth="1"/>
    <col min="16" max="16" width="2.140625" style="67" customWidth="1"/>
    <col min="17" max="19" width="8.7109375" style="71"/>
    <col min="20" max="20" width="9.85546875" style="71" customWidth="1"/>
    <col min="21" max="21" width="8.7109375" style="71"/>
    <col min="22" max="22" width="9.28515625" style="71" customWidth="1"/>
    <col min="23" max="23" width="4.140625" style="70" customWidth="1"/>
    <col min="24" max="26" width="8.7109375" style="71"/>
    <col min="27" max="27" width="9.85546875" style="71" customWidth="1"/>
    <col min="28" max="28" width="8.7109375" style="71"/>
    <col min="29" max="29" width="9.28515625" style="71" customWidth="1"/>
    <col min="30" max="30" width="4.140625" style="70" customWidth="1"/>
    <col min="31" max="32" width="8.7109375" style="70"/>
    <col min="33" max="33" width="9.5703125" style="70" customWidth="1"/>
    <col min="34" max="35" width="8.7109375" style="70"/>
    <col min="36" max="36" width="9.28515625" style="70" customWidth="1"/>
    <col min="37" max="37" width="3.5703125" style="67" customWidth="1"/>
    <col min="38" max="38" width="9.7109375" style="67" customWidth="1"/>
    <col min="39" max="16384" width="8.7109375" style="67"/>
  </cols>
  <sheetData>
    <row r="1" spans="1:73" s="5" customFormat="1" x14ac:dyDescent="0.2">
      <c r="B1" s="6"/>
      <c r="C1" s="6"/>
      <c r="E1" s="7" t="s">
        <v>1573</v>
      </c>
      <c r="F1" s="8"/>
      <c r="G1" s="9"/>
      <c r="H1" s="9"/>
      <c r="Q1" s="8"/>
      <c r="R1" s="8"/>
      <c r="S1" s="8"/>
      <c r="T1" s="8"/>
      <c r="U1" s="8"/>
      <c r="V1" s="8"/>
      <c r="W1" s="9"/>
      <c r="X1" s="8"/>
      <c r="Y1" s="8"/>
      <c r="Z1" s="8"/>
      <c r="AA1" s="8"/>
      <c r="AB1" s="8"/>
      <c r="AC1" s="8"/>
      <c r="AD1" s="9"/>
      <c r="AE1" s="9"/>
      <c r="AF1" s="9"/>
      <c r="AG1" s="9"/>
      <c r="AH1" s="9"/>
      <c r="AI1" s="9"/>
      <c r="AJ1" s="9"/>
    </row>
    <row r="2" spans="1:73" s="10" customFormat="1" ht="16" customHeight="1" x14ac:dyDescent="0.2">
      <c r="B2" s="11" t="s">
        <v>1574</v>
      </c>
      <c r="C2" s="11"/>
      <c r="E2" s="12" t="s">
        <v>1575</v>
      </c>
      <c r="F2" s="12"/>
      <c r="G2" s="12"/>
      <c r="H2" s="12"/>
      <c r="I2" s="12"/>
      <c r="J2" s="13"/>
      <c r="K2" s="14"/>
      <c r="L2" s="15" t="s">
        <v>1576</v>
      </c>
      <c r="M2" s="12"/>
      <c r="N2" s="12"/>
      <c r="O2" s="12"/>
      <c r="P2" s="16"/>
      <c r="Q2" s="17" t="s">
        <v>1577</v>
      </c>
      <c r="R2" s="18"/>
      <c r="S2" s="18"/>
      <c r="T2" s="18"/>
      <c r="U2" s="18"/>
      <c r="V2" s="19"/>
      <c r="W2" s="20"/>
      <c r="X2" s="17" t="s">
        <v>1578</v>
      </c>
      <c r="Y2" s="18"/>
      <c r="Z2" s="18"/>
      <c r="AA2" s="18"/>
      <c r="AB2" s="18"/>
      <c r="AC2" s="19"/>
      <c r="AD2" s="20"/>
      <c r="AE2" s="21" t="s">
        <v>1579</v>
      </c>
      <c r="AF2" s="12"/>
      <c r="AG2" s="12"/>
      <c r="AH2" s="12"/>
      <c r="AI2" s="12"/>
      <c r="AJ2" s="13"/>
      <c r="AK2" s="22"/>
      <c r="AL2" s="13" t="s">
        <v>1580</v>
      </c>
      <c r="AM2" s="23"/>
    </row>
    <row r="3" spans="1:73" s="24" customFormat="1" ht="37" customHeight="1" x14ac:dyDescent="0.2">
      <c r="B3" s="25" t="s">
        <v>1581</v>
      </c>
      <c r="C3" s="26"/>
      <c r="E3" s="27" t="s">
        <v>1582</v>
      </c>
      <c r="F3" s="27"/>
      <c r="G3" s="27"/>
      <c r="H3" s="27"/>
      <c r="I3" s="27"/>
      <c r="K3" s="28"/>
      <c r="L3" s="28"/>
      <c r="M3" s="28"/>
      <c r="N3" s="28"/>
      <c r="O3" s="28"/>
      <c r="P3" s="29"/>
      <c r="Q3" s="30" t="s">
        <v>1583</v>
      </c>
      <c r="R3" s="31"/>
      <c r="S3" s="31"/>
      <c r="T3" s="31"/>
      <c r="U3" s="31"/>
      <c r="V3" s="32"/>
      <c r="W3" s="33"/>
      <c r="X3" s="30" t="s">
        <v>1584</v>
      </c>
      <c r="Y3" s="31"/>
      <c r="Z3" s="31"/>
      <c r="AA3" s="31"/>
      <c r="AB3" s="31"/>
      <c r="AC3" s="32"/>
      <c r="AD3" s="33"/>
      <c r="AE3" s="30" t="s">
        <v>1584</v>
      </c>
      <c r="AF3" s="31"/>
      <c r="AG3" s="31"/>
      <c r="AH3" s="31"/>
      <c r="AI3" s="31"/>
      <c r="AJ3" s="32"/>
      <c r="AK3" s="34"/>
      <c r="AL3" s="33"/>
      <c r="AM3" s="33"/>
    </row>
    <row r="4" spans="1:73" s="5" customFormat="1" ht="34" customHeight="1" x14ac:dyDescent="0.2">
      <c r="B4" s="35" t="s">
        <v>1585</v>
      </c>
      <c r="C4" s="36" t="s">
        <v>1586</v>
      </c>
      <c r="D4" s="37" t="s">
        <v>3</v>
      </c>
      <c r="E4" s="38" t="s">
        <v>4</v>
      </c>
      <c r="F4" s="38"/>
      <c r="G4" s="39" t="s">
        <v>5</v>
      </c>
      <c r="H4" s="39"/>
      <c r="I4" s="39" t="s">
        <v>1587</v>
      </c>
      <c r="J4" s="39"/>
      <c r="K4" s="40"/>
      <c r="L4" s="41" t="s">
        <v>5</v>
      </c>
      <c r="M4" s="42"/>
      <c r="N4" s="41" t="s">
        <v>1587</v>
      </c>
      <c r="O4" s="43"/>
      <c r="P4" s="40" t="s">
        <v>3</v>
      </c>
      <c r="Q4" s="44" t="s">
        <v>1588</v>
      </c>
      <c r="R4" s="44" t="s">
        <v>1589</v>
      </c>
      <c r="S4" s="44" t="s">
        <v>1590</v>
      </c>
      <c r="T4" s="44" t="s">
        <v>1591</v>
      </c>
      <c r="U4" s="44" t="s">
        <v>1592</v>
      </c>
      <c r="V4" s="45" t="s">
        <v>1593</v>
      </c>
      <c r="W4" s="40"/>
      <c r="X4" s="44" t="s">
        <v>1588</v>
      </c>
      <c r="Y4" s="44" t="s">
        <v>1589</v>
      </c>
      <c r="Z4" s="44" t="s">
        <v>1590</v>
      </c>
      <c r="AA4" s="44" t="s">
        <v>1591</v>
      </c>
      <c r="AB4" s="44" t="s">
        <v>1592</v>
      </c>
      <c r="AC4" s="45" t="s">
        <v>1593</v>
      </c>
      <c r="AD4" s="40"/>
      <c r="AE4" s="46" t="s">
        <v>1588</v>
      </c>
      <c r="AF4" s="46" t="s">
        <v>1589</v>
      </c>
      <c r="AG4" s="46" t="s">
        <v>1591</v>
      </c>
      <c r="AH4" s="46" t="s">
        <v>1590</v>
      </c>
      <c r="AI4" s="46" t="s">
        <v>1592</v>
      </c>
      <c r="AJ4" s="47" t="s">
        <v>1594</v>
      </c>
      <c r="AK4" s="40" t="s">
        <v>1595</v>
      </c>
      <c r="AL4" s="46" t="s">
        <v>5</v>
      </c>
      <c r="AM4" s="46" t="s">
        <v>1587</v>
      </c>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row>
    <row r="5" spans="1:73" s="57" customFormat="1" x14ac:dyDescent="0.2">
      <c r="A5" s="5"/>
      <c r="B5" s="48"/>
      <c r="C5" s="49"/>
      <c r="D5" s="50"/>
      <c r="E5" s="51"/>
      <c r="F5" s="52"/>
      <c r="G5" s="51"/>
      <c r="H5" s="53"/>
      <c r="I5" s="51"/>
      <c r="J5" s="51"/>
      <c r="K5" s="51"/>
      <c r="L5" s="54"/>
      <c r="M5" s="54"/>
      <c r="N5" s="54"/>
      <c r="O5" s="54"/>
      <c r="P5" s="54"/>
      <c r="Q5" s="55"/>
      <c r="R5" s="55"/>
      <c r="S5" s="55"/>
      <c r="T5" s="55"/>
      <c r="U5" s="55"/>
      <c r="V5" s="55"/>
      <c r="W5" s="54"/>
      <c r="X5" s="55"/>
      <c r="Y5" s="55"/>
      <c r="Z5" s="55"/>
      <c r="AA5" s="55"/>
      <c r="AB5" s="55"/>
      <c r="AC5" s="55"/>
      <c r="AD5" s="54"/>
      <c r="AE5" s="54"/>
      <c r="AF5" s="54"/>
      <c r="AG5" s="54"/>
      <c r="AH5" s="54"/>
      <c r="AI5" s="54"/>
      <c r="AJ5" s="54"/>
      <c r="AK5" s="54"/>
      <c r="AL5" s="54"/>
      <c r="AM5" s="54"/>
      <c r="AN5" s="56"/>
      <c r="AO5" s="56"/>
      <c r="AP5" s="56"/>
      <c r="AQ5" s="56"/>
      <c r="AR5" s="56"/>
      <c r="AS5" s="56"/>
      <c r="AT5" s="56"/>
      <c r="AU5" s="56"/>
      <c r="AV5" s="56"/>
      <c r="AW5" s="56"/>
      <c r="AX5" s="56"/>
      <c r="AY5" s="56"/>
      <c r="AZ5" s="56"/>
      <c r="BA5" s="56"/>
      <c r="BB5" s="56"/>
      <c r="BC5" s="56"/>
      <c r="BD5" s="56"/>
      <c r="BE5" s="56"/>
      <c r="BF5" s="56"/>
      <c r="BG5" s="56"/>
      <c r="BH5" s="56"/>
      <c r="BI5" s="56"/>
      <c r="BJ5" s="56"/>
      <c r="BK5" s="56"/>
      <c r="BL5" s="56"/>
      <c r="BM5" s="56"/>
      <c r="BN5" s="56"/>
      <c r="BO5" s="56"/>
      <c r="BP5" s="56"/>
      <c r="BQ5" s="56"/>
      <c r="BR5" s="56"/>
      <c r="BS5" s="56"/>
      <c r="BT5" s="56"/>
      <c r="BU5" s="56"/>
    </row>
    <row r="6" spans="1:73" s="67" customFormat="1" x14ac:dyDescent="0.2">
      <c r="A6" s="58">
        <v>1</v>
      </c>
      <c r="B6" s="59" t="s">
        <v>93</v>
      </c>
      <c r="C6" s="59" t="s">
        <v>94</v>
      </c>
      <c r="D6" s="60"/>
      <c r="E6" s="61">
        <f>COUNTIF($Q6:$V6,10)</f>
        <v>1</v>
      </c>
      <c r="F6" s="62">
        <f>E6</f>
        <v>1</v>
      </c>
      <c r="G6" s="61">
        <f>COUNTIF($X6:$AC6,10)</f>
        <v>2</v>
      </c>
      <c r="H6" s="63">
        <f>G6</f>
        <v>2</v>
      </c>
      <c r="I6" s="60">
        <f>COUNTIF($AE6:$AJ6,10)</f>
        <v>2</v>
      </c>
      <c r="J6" s="63">
        <f>I6</f>
        <v>2</v>
      </c>
      <c r="K6" s="63"/>
      <c r="L6" s="61">
        <f>COUNTIF($X6:$AC6,10)+COUNTIFS($X6:$AC6,"&gt;=7",$X6:$AC6,"&lt;10")/2</f>
        <v>3</v>
      </c>
      <c r="M6" s="63" t="str">
        <f>_xlfn.CONCAT(COUNTIF($X6:$AC6,10)+COUNTIFS($X6:$AC6,"&gt;=7",$X6:$AC6,"&lt;10")/2,REPT("*",COUNTBLANK($X6:$AC6)))</f>
        <v>3</v>
      </c>
      <c r="N6" s="60">
        <v>4.5</v>
      </c>
      <c r="O6" s="60">
        <v>4.5</v>
      </c>
      <c r="P6" s="60"/>
      <c r="Q6" s="64">
        <f>IFERROR(GEOMEAN(X6,AE6), MAX(X6,AE6))</f>
        <v>9.6961530833307599</v>
      </c>
      <c r="R6" s="64">
        <f>IFERROR(GEOMEAN(Y6,AF6), MAX(Y6,AF6))</f>
        <v>10</v>
      </c>
      <c r="S6" s="64">
        <f>IFERROR(GEOMEAN(Z6,AG6), MAX(Z6,AG6))</f>
        <v>5.819408445077431</v>
      </c>
      <c r="T6" s="64">
        <f>IFERROR(GEOMEAN(AA6,AH6), MAX(AA6,AH6))</f>
        <v>0</v>
      </c>
      <c r="U6" s="64">
        <f>IFERROR(GEOMEAN(AB6,AI6), MAX(AB6,AI6))</f>
        <v>8.1547532151500448</v>
      </c>
      <c r="V6" s="64">
        <f>IFERROR(GEOMEAN(AC6,AJ6), MAX(AC6,AJ6))</f>
        <v>5.4772255750516612</v>
      </c>
      <c r="W6" s="61"/>
      <c r="X6" s="64">
        <f>[1]Health!F3</f>
        <v>10</v>
      </c>
      <c r="Y6" s="64">
        <f>'[1]Food Security'!F3</f>
        <v>10</v>
      </c>
      <c r="Z6" s="65">
        <f>'[1]Macro Fiscal'!F3</f>
        <v>9.9338842975206596</v>
      </c>
      <c r="AA6" s="64">
        <f>'[1]Socioeconomic Vulnerability'!F3</f>
        <v>0</v>
      </c>
      <c r="AB6" s="64">
        <f>'[1]Natural Hazard'!F3</f>
        <v>9.5</v>
      </c>
      <c r="AC6" s="64">
        <f>'[1]Fragility and Conflict'!F3</f>
        <v>3</v>
      </c>
      <c r="AD6" s="61"/>
      <c r="AE6" s="64">
        <f>[1]Health!G3</f>
        <v>9.4015384615384594</v>
      </c>
      <c r="AF6" s="64">
        <f>'[1]Food Security'!G3</f>
        <v>10</v>
      </c>
      <c r="AG6" s="64">
        <f>'[1]Macro Fiscal'!G3</f>
        <v>3.4090909090908998</v>
      </c>
      <c r="AH6" s="64">
        <f>'[1]Socioeconomic Vulnerability'!G3</f>
        <v>0</v>
      </c>
      <c r="AI6" s="64">
        <f>'[1]Natural Hazard'!G3</f>
        <v>7</v>
      </c>
      <c r="AJ6" s="64">
        <f>'[1]Fragility and Conflict'!G3</f>
        <v>10</v>
      </c>
      <c r="AK6" s="61"/>
      <c r="AL6" s="66">
        <v>0</v>
      </c>
      <c r="AM6" s="66">
        <v>0.1</v>
      </c>
      <c r="AN6" s="60"/>
      <c r="AO6" s="60"/>
      <c r="AP6" s="60"/>
      <c r="AQ6" s="60"/>
      <c r="AR6" s="60"/>
      <c r="AS6" s="60"/>
      <c r="AT6" s="60"/>
      <c r="AU6" s="60"/>
      <c r="AV6" s="60"/>
      <c r="AW6" s="60"/>
      <c r="AX6" s="60"/>
      <c r="AY6" s="60"/>
      <c r="AZ6" s="60"/>
      <c r="BA6" s="60"/>
      <c r="BB6" s="60"/>
      <c r="BC6" s="60"/>
      <c r="BD6" s="60"/>
      <c r="BE6" s="60"/>
      <c r="BF6" s="60"/>
      <c r="BG6" s="60"/>
      <c r="BH6" s="60"/>
      <c r="BI6" s="60"/>
      <c r="BJ6" s="60"/>
      <c r="BK6" s="60"/>
      <c r="BL6" s="60"/>
      <c r="BM6" s="60"/>
      <c r="BN6" s="60"/>
      <c r="BO6" s="60"/>
      <c r="BP6" s="60"/>
      <c r="BQ6" s="60"/>
      <c r="BR6" s="60"/>
      <c r="BS6" s="60"/>
      <c r="BT6" s="60"/>
      <c r="BU6" s="60"/>
    </row>
    <row r="7" spans="1:73" s="67" customFormat="1" x14ac:dyDescent="0.2">
      <c r="A7" s="58">
        <v>2</v>
      </c>
      <c r="B7" s="59" t="s">
        <v>114</v>
      </c>
      <c r="C7" s="59" t="s">
        <v>115</v>
      </c>
      <c r="D7" s="60"/>
      <c r="E7" s="61">
        <f>COUNTIF($Q7:$V7,10)</f>
        <v>0</v>
      </c>
      <c r="F7" s="62">
        <f>E7</f>
        <v>0</v>
      </c>
      <c r="G7" s="61">
        <f>COUNTIF($X7:$AC7,10)</f>
        <v>0</v>
      </c>
      <c r="H7" s="63">
        <f>G7</f>
        <v>0</v>
      </c>
      <c r="I7" s="60">
        <f>COUNTIF($AE7:$AJ7,10)</f>
        <v>1</v>
      </c>
      <c r="J7" s="63">
        <f>I7</f>
        <v>1</v>
      </c>
      <c r="K7" s="63"/>
      <c r="L7" s="61">
        <f>COUNTIF($X7:$AC7,10)+COUNTIFS($X7:$AC7,"&gt;=7",$X7:$AC7,"&lt;10")/2</f>
        <v>1.5</v>
      </c>
      <c r="M7" s="63" t="str">
        <f>_xlfn.CONCAT(COUNTIF($X7:$AC7,10)+COUNTIFS($X7:$AC7,"&gt;=7",$X7:$AC7,"&lt;10")/2,REPT("*",COUNTBLANK($X7:$AC7)))</f>
        <v>1.5</v>
      </c>
      <c r="N7" s="60">
        <v>1.5</v>
      </c>
      <c r="O7" s="60">
        <v>1.5</v>
      </c>
      <c r="P7" s="60"/>
      <c r="Q7" s="64">
        <v>9</v>
      </c>
      <c r="R7" s="64">
        <v>9.8325358851674594</v>
      </c>
      <c r="S7" s="64">
        <v>0.46904315196998098</v>
      </c>
      <c r="T7" s="64">
        <v>8.4285714285714306</v>
      </c>
      <c r="U7" s="64">
        <v>7.45091107671223</v>
      </c>
      <c r="V7" s="64">
        <v>9.6999999999999993</v>
      </c>
      <c r="W7" s="61"/>
      <c r="X7" s="64">
        <f>[1]Health!F4</f>
        <v>9</v>
      </c>
      <c r="Y7" s="64">
        <f>'[1]Food Security'!F4</f>
        <v>9.8325358851674594</v>
      </c>
      <c r="Z7" s="64">
        <f>'[1]Macro Fiscal'!F4</f>
        <v>8.7272727272727302</v>
      </c>
      <c r="AA7" s="64">
        <f>'[1]Socioeconomic Vulnerability'!F4</f>
        <v>0</v>
      </c>
      <c r="AB7" s="64">
        <f>'[1]Natural Hazard'!F4</f>
        <v>3.5</v>
      </c>
      <c r="AC7" s="64">
        <f>'[1]Fragility and Conflict'!F4</f>
        <v>4</v>
      </c>
      <c r="AD7" s="61"/>
      <c r="AE7" s="64">
        <f>[1]Health!G4</f>
        <v>5.63137254901961</v>
      </c>
      <c r="AF7" s="64">
        <f>'[1]Food Security'!G4</f>
        <v>0</v>
      </c>
      <c r="AG7" s="64">
        <f>'[1]Macro Fiscal'!G4</f>
        <v>5</v>
      </c>
      <c r="AH7" s="64">
        <f>'[1]Socioeconomic Vulnerability'!G4</f>
        <v>0</v>
      </c>
      <c r="AI7" s="64">
        <f>'[1]Natural Hazard'!G4</f>
        <v>10</v>
      </c>
      <c r="AJ7" s="64">
        <f>'[1]Fragility and Conflict'!G4</f>
        <v>0</v>
      </c>
      <c r="AK7" s="61"/>
      <c r="AL7" s="66">
        <v>0</v>
      </c>
      <c r="AM7" s="66">
        <v>0.3</v>
      </c>
      <c r="AN7" s="60"/>
      <c r="AO7" s="60"/>
      <c r="AP7" s="60"/>
      <c r="AQ7" s="60"/>
      <c r="AR7" s="60"/>
      <c r="AS7" s="60"/>
      <c r="AT7" s="60"/>
      <c r="AU7" s="60"/>
      <c r="AV7" s="60"/>
      <c r="AW7" s="60"/>
      <c r="AX7" s="60"/>
      <c r="AY7" s="60"/>
      <c r="AZ7" s="60"/>
      <c r="BA7" s="60"/>
      <c r="BB7" s="60"/>
      <c r="BC7" s="60"/>
      <c r="BD7" s="60"/>
      <c r="BE7" s="60"/>
      <c r="BF7" s="60"/>
      <c r="BG7" s="60"/>
      <c r="BH7" s="60"/>
      <c r="BI7" s="60"/>
      <c r="BJ7" s="60"/>
      <c r="BK7" s="60"/>
      <c r="BL7" s="60"/>
      <c r="BM7" s="60"/>
      <c r="BN7" s="60"/>
      <c r="BO7" s="60"/>
      <c r="BP7" s="60"/>
      <c r="BQ7" s="60"/>
      <c r="BR7" s="60"/>
      <c r="BS7" s="60"/>
      <c r="BT7" s="60"/>
      <c r="BU7" s="60"/>
    </row>
    <row r="8" spans="1:73" s="67" customFormat="1" x14ac:dyDescent="0.2">
      <c r="A8" s="58">
        <v>3</v>
      </c>
      <c r="B8" s="59" t="s">
        <v>131</v>
      </c>
      <c r="C8" s="59" t="s">
        <v>132</v>
      </c>
      <c r="D8" s="60"/>
      <c r="E8" s="61">
        <f>COUNTIF($Q8:$V8,10)</f>
        <v>0</v>
      </c>
      <c r="F8" s="62">
        <f>E8</f>
        <v>0</v>
      </c>
      <c r="G8" s="61">
        <f>COUNTIF($X8:$AC8,10)</f>
        <v>0</v>
      </c>
      <c r="H8" s="63">
        <f>G8</f>
        <v>0</v>
      </c>
      <c r="I8" s="60">
        <f>COUNTIF($AE8:$AJ8,10)</f>
        <v>1</v>
      </c>
      <c r="J8" s="63">
        <f>I8</f>
        <v>1</v>
      </c>
      <c r="K8" s="63"/>
      <c r="L8" s="61">
        <f>COUNTIF($X8:$AC8,10)+COUNTIFS($X8:$AC8,"&gt;=7",$X8:$AC8,"&lt;10")/2</f>
        <v>1</v>
      </c>
      <c r="M8" s="63" t="str">
        <f>_xlfn.CONCAT(COUNTIF($X8:$AC8,10)+COUNTIFS($X8:$AC8,"&gt;=7",$X8:$AC8,"&lt;10")/2,REPT("*",COUNTBLANK($X8:$AC8)))</f>
        <v>1</v>
      </c>
      <c r="N8" s="60">
        <v>0.5</v>
      </c>
      <c r="O8" s="60">
        <v>0.5</v>
      </c>
      <c r="P8" s="60"/>
      <c r="Q8" s="64">
        <v>5.5</v>
      </c>
      <c r="R8" s="64">
        <v>3.3971291866028701</v>
      </c>
      <c r="S8" s="64">
        <v>5.3846153846153797</v>
      </c>
      <c r="T8" s="64">
        <v>3.1428571428571401</v>
      </c>
      <c r="U8" s="64">
        <v>9.0856029641606995</v>
      </c>
      <c r="V8" s="64">
        <v>6.5333333333333297</v>
      </c>
      <c r="W8" s="61"/>
      <c r="X8" s="64">
        <f>[1]Health!F5</f>
        <v>5.5</v>
      </c>
      <c r="Y8" s="64">
        <f>'[1]Food Security'!F5</f>
        <v>3.3971291866028701</v>
      </c>
      <c r="Z8" s="64">
        <f>'[1]Macro Fiscal'!F5</f>
        <v>6.3636363636363598</v>
      </c>
      <c r="AA8" s="64">
        <f>'[1]Socioeconomic Vulnerability'!F5</f>
        <v>7</v>
      </c>
      <c r="AB8" s="64">
        <f>'[1]Natural Hazard'!F5</f>
        <v>9</v>
      </c>
      <c r="AC8" s="64">
        <f>'[1]Fragility and Conflict'!F5</f>
        <v>5</v>
      </c>
      <c r="AD8" s="61"/>
      <c r="AE8" s="64">
        <f>[1]Health!G5</f>
        <v>10</v>
      </c>
      <c r="AF8" s="64">
        <f>'[1]Food Security'!G5</f>
        <v>3</v>
      </c>
      <c r="AG8" s="64">
        <f>'[1]Macro Fiscal'!G5</f>
        <v>2.5</v>
      </c>
      <c r="AH8" s="64">
        <f>'[1]Socioeconomic Vulnerability'!G5</f>
        <v>0</v>
      </c>
      <c r="AI8" s="64">
        <f>'[1]Natural Hazard'!G5</f>
        <v>0</v>
      </c>
      <c r="AJ8" s="64">
        <f>'[1]Fragility and Conflict'!G5</f>
        <v>0</v>
      </c>
      <c r="AK8" s="61"/>
      <c r="AL8" s="66">
        <v>0</v>
      </c>
      <c r="AM8" s="66">
        <v>0.3</v>
      </c>
      <c r="AN8" s="60"/>
      <c r="AO8" s="60"/>
      <c r="AP8" s="60"/>
      <c r="AQ8" s="60"/>
      <c r="AR8" s="60"/>
      <c r="AS8" s="60"/>
      <c r="AT8" s="60"/>
      <c r="AU8" s="60"/>
      <c r="AV8" s="60"/>
      <c r="AW8" s="60"/>
      <c r="AX8" s="60"/>
      <c r="AY8" s="60"/>
      <c r="AZ8" s="60"/>
      <c r="BA8" s="60"/>
      <c r="BB8" s="60"/>
      <c r="BC8" s="60"/>
      <c r="BD8" s="60"/>
      <c r="BE8" s="60"/>
      <c r="BF8" s="60"/>
      <c r="BG8" s="60"/>
      <c r="BH8" s="60"/>
      <c r="BI8" s="60"/>
      <c r="BJ8" s="60"/>
      <c r="BK8" s="60"/>
      <c r="BL8" s="60"/>
      <c r="BM8" s="60"/>
      <c r="BN8" s="60"/>
      <c r="BO8" s="60"/>
      <c r="BP8" s="60"/>
      <c r="BQ8" s="60"/>
      <c r="BR8" s="60"/>
      <c r="BS8" s="60"/>
      <c r="BT8" s="60"/>
      <c r="BU8" s="60"/>
    </row>
    <row r="9" spans="1:73" s="67" customFormat="1" x14ac:dyDescent="0.2">
      <c r="A9" s="58">
        <v>4</v>
      </c>
      <c r="B9" s="59" t="s">
        <v>142</v>
      </c>
      <c r="C9" s="59" t="s">
        <v>143</v>
      </c>
      <c r="D9" s="60"/>
      <c r="E9" s="61">
        <f>COUNTIF($Q9:$V9,10)</f>
        <v>0</v>
      </c>
      <c r="F9" s="62">
        <f>E9</f>
        <v>0</v>
      </c>
      <c r="G9" s="61">
        <f>COUNTIF($X9:$AC9,10)</f>
        <v>0</v>
      </c>
      <c r="H9" s="63">
        <f>G9</f>
        <v>0</v>
      </c>
      <c r="I9" s="60">
        <f>COUNTIF($AE9:$AJ9,10)</f>
        <v>1</v>
      </c>
      <c r="J9" s="63">
        <f>I9</f>
        <v>1</v>
      </c>
      <c r="K9" s="63"/>
      <c r="L9" s="61">
        <f>COUNTIF($X9:$AC9,10)+COUNTIFS($X9:$AC9,"&gt;=7",$X9:$AC9,"&lt;10")/2</f>
        <v>0</v>
      </c>
      <c r="M9" s="63" t="str">
        <f>_xlfn.CONCAT(COUNTIF($X9:$AC9,10)+COUNTIFS($X9:$AC9,"&gt;=7",$X9:$AC9,"&lt;10")/2,REPT("*",COUNTBLANK($X9:$AC9)))</f>
        <v>0</v>
      </c>
      <c r="N9" s="60">
        <v>3</v>
      </c>
      <c r="O9" s="60">
        <v>3</v>
      </c>
      <c r="P9" s="60"/>
      <c r="Q9" s="64">
        <v>4.66</v>
      </c>
      <c r="R9" s="64">
        <v>1.07655502392344</v>
      </c>
      <c r="S9" s="64">
        <v>6.8292682926829302</v>
      </c>
      <c r="T9" s="64">
        <v>1.1428571428571399</v>
      </c>
      <c r="U9" s="64">
        <v>6.9519458515795503</v>
      </c>
      <c r="V9" s="64">
        <v>4.2333333333333298</v>
      </c>
      <c r="W9" s="61"/>
      <c r="X9" s="64">
        <f>[1]Health!F6</f>
        <v>4.66</v>
      </c>
      <c r="Y9" s="64">
        <f>'[1]Food Security'!F6</f>
        <v>1.07655502392344</v>
      </c>
      <c r="Z9" s="64">
        <f>'[1]Macro Fiscal'!F6</f>
        <v>3.2727272727272698</v>
      </c>
      <c r="AA9" s="64">
        <f>'[1]Socioeconomic Vulnerability'!F6</f>
        <v>0</v>
      </c>
      <c r="AB9" s="64">
        <f>'[1]Natural Hazard'!F6</f>
        <v>5.3333333333333304</v>
      </c>
      <c r="AC9" s="64">
        <f>'[1]Fragility and Conflict'!F6</f>
        <v>6</v>
      </c>
      <c r="AD9" s="61"/>
      <c r="AE9" s="64">
        <f>[1]Health!G6</f>
        <v>10</v>
      </c>
      <c r="AF9" s="64">
        <f>'[1]Food Security'!G6</f>
        <v>5</v>
      </c>
      <c r="AG9" s="64">
        <f>'[1]Macro Fiscal'!G6</f>
        <v>5</v>
      </c>
      <c r="AH9" s="64">
        <f>'[1]Socioeconomic Vulnerability'!G6</f>
        <v>0</v>
      </c>
      <c r="AI9" s="64">
        <f>'[1]Natural Hazard'!G6</f>
        <v>0</v>
      </c>
      <c r="AJ9" s="64">
        <f>'[1]Fragility and Conflict'!G6</f>
        <v>0</v>
      </c>
      <c r="AK9" s="61"/>
      <c r="AL9" s="66">
        <v>0</v>
      </c>
      <c r="AM9" s="66">
        <v>0.4</v>
      </c>
      <c r="AN9" s="60"/>
      <c r="AO9" s="60"/>
      <c r="AP9" s="60"/>
      <c r="AQ9" s="60"/>
      <c r="AR9" s="60"/>
      <c r="AS9" s="60"/>
      <c r="AT9" s="60"/>
      <c r="AU9" s="60"/>
      <c r="AV9" s="60"/>
      <c r="AW9" s="60"/>
      <c r="AX9" s="60"/>
      <c r="AY9" s="60"/>
      <c r="AZ9" s="60"/>
      <c r="BA9" s="60"/>
      <c r="BB9" s="60"/>
      <c r="BC9" s="60"/>
      <c r="BD9" s="60"/>
      <c r="BE9" s="60"/>
      <c r="BF9" s="60"/>
      <c r="BG9" s="60"/>
      <c r="BH9" s="60"/>
      <c r="BI9" s="60"/>
      <c r="BJ9" s="60"/>
      <c r="BK9" s="60"/>
      <c r="BL9" s="60"/>
      <c r="BM9" s="60"/>
      <c r="BN9" s="60"/>
      <c r="BO9" s="60"/>
      <c r="BP9" s="60"/>
      <c r="BQ9" s="60"/>
      <c r="BR9" s="60"/>
      <c r="BS9" s="60"/>
      <c r="BT9" s="60"/>
      <c r="BU9" s="60"/>
    </row>
    <row r="10" spans="1:73" s="67" customFormat="1" x14ac:dyDescent="0.2">
      <c r="A10" s="58">
        <v>5</v>
      </c>
      <c r="B10" s="59" t="s">
        <v>150</v>
      </c>
      <c r="C10" s="59" t="s">
        <v>151</v>
      </c>
      <c r="D10" s="60"/>
      <c r="E10" s="61">
        <f>COUNTIF($Q10:$V10,10)</f>
        <v>0</v>
      </c>
      <c r="F10" s="62">
        <f>E10</f>
        <v>0</v>
      </c>
      <c r="G10" s="61">
        <f>COUNTIF($X10:$AC10,10)</f>
        <v>0</v>
      </c>
      <c r="H10" s="63">
        <f>G10</f>
        <v>0</v>
      </c>
      <c r="I10" s="60">
        <f>COUNTIF($AE10:$AJ10,10)</f>
        <v>0</v>
      </c>
      <c r="J10" s="63">
        <f>I10</f>
        <v>0</v>
      </c>
      <c r="K10" s="63"/>
      <c r="L10" s="61">
        <f>COUNTIF($X10:$AC10,10)+COUNTIFS($X10:$AC10,"&gt;=7",$X10:$AC10,"&lt;10")/2</f>
        <v>1.5</v>
      </c>
      <c r="M10" s="63" t="str">
        <f>_xlfn.CONCAT(COUNTIF($X10:$AC10,10)+COUNTIFS($X10:$AC10,"&gt;=7",$X10:$AC10,"&lt;10")/2,REPT("*",COUNTBLANK($X10:$AC10)))</f>
        <v>1.5</v>
      </c>
      <c r="N10" s="60">
        <v>3.5</v>
      </c>
      <c r="O10" s="60">
        <v>3.5</v>
      </c>
      <c r="P10" s="60"/>
      <c r="Q10" s="64">
        <f>IFERROR(GEOMEAN(X10,AE10), MAX(X10,AE10))</f>
        <v>4.9999999999999885</v>
      </c>
      <c r="R10" s="64">
        <f>IFERROR(GEOMEAN(Y10,AF10), MAX(Y10,AF10))</f>
        <v>3.9886201760873257</v>
      </c>
      <c r="S10" s="64">
        <f>IFERROR(GEOMEAN(Z10,AG10), MAX(Z10,AG10))</f>
        <v>3.7821995993292119</v>
      </c>
      <c r="T10" s="64">
        <f>IFERROR(GEOMEAN(AA10,AH10), MAX(AA10,AH10))</f>
        <v>7</v>
      </c>
      <c r="U10" s="64">
        <f>IFERROR(GEOMEAN(AB10,AI10), MAX(AB10,AI10))</f>
        <v>5</v>
      </c>
      <c r="V10" s="64">
        <f>IFERROR(GEOMEAN(AC10,AJ10), MAX(AC10,AJ10))</f>
        <v>7</v>
      </c>
      <c r="W10" s="61"/>
      <c r="X10" s="64">
        <f>[1]Health!F7</f>
        <v>3.5</v>
      </c>
      <c r="Y10" s="64">
        <f>'[1]Food Security'!F7</f>
        <v>2.2727272727272698</v>
      </c>
      <c r="Z10" s="64">
        <f>'[1]Macro Fiscal'!F7</f>
        <v>7.8677685950413201</v>
      </c>
      <c r="AA10" s="64">
        <f>'[1]Socioeconomic Vulnerability'!F7</f>
        <v>7</v>
      </c>
      <c r="AB10" s="64">
        <f>'[1]Natural Hazard'!F7</f>
        <v>5</v>
      </c>
      <c r="AC10" s="64">
        <f>'[1]Fragility and Conflict'!F7</f>
        <v>7</v>
      </c>
      <c r="AD10" s="61"/>
      <c r="AE10" s="64">
        <f>[1]Health!G7</f>
        <v>7.1428571428571104</v>
      </c>
      <c r="AF10" s="64">
        <f>'[1]Food Security'!G7</f>
        <v>7</v>
      </c>
      <c r="AG10" s="64">
        <f>'[1]Macro Fiscal'!G7</f>
        <v>1.8181818181818199</v>
      </c>
      <c r="AH10" s="64">
        <f>'[1]Socioeconomic Vulnerability'!G7</f>
        <v>0</v>
      </c>
      <c r="AI10" s="64">
        <f>'[1]Natural Hazard'!G7</f>
        <v>0</v>
      </c>
      <c r="AJ10" s="64">
        <f>'[1]Fragility and Conflict'!G7</f>
        <v>0</v>
      </c>
      <c r="AK10" s="61"/>
      <c r="AL10" s="66">
        <v>0</v>
      </c>
      <c r="AM10" s="66">
        <v>0.2</v>
      </c>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0"/>
      <c r="BM10" s="60"/>
      <c r="BN10" s="60"/>
      <c r="BO10" s="60"/>
      <c r="BP10" s="60"/>
      <c r="BQ10" s="60"/>
      <c r="BR10" s="60"/>
      <c r="BS10" s="60"/>
      <c r="BT10" s="60"/>
      <c r="BU10" s="60"/>
    </row>
    <row r="11" spans="1:73" s="67" customFormat="1" x14ac:dyDescent="0.2">
      <c r="A11" s="58">
        <v>6</v>
      </c>
      <c r="B11" s="59" t="s">
        <v>158</v>
      </c>
      <c r="C11" s="59" t="s">
        <v>159</v>
      </c>
      <c r="D11" s="60"/>
      <c r="E11" s="61">
        <f>COUNTIF($Q11:$V11,10)</f>
        <v>0</v>
      </c>
      <c r="F11" s="62">
        <f>E11</f>
        <v>0</v>
      </c>
      <c r="G11" s="61">
        <f>COUNTIF($X11:$AC11,10)</f>
        <v>1</v>
      </c>
      <c r="H11" s="63">
        <f>G11</f>
        <v>1</v>
      </c>
      <c r="I11" s="60">
        <f>COUNTIF($AE11:$AJ11,10)</f>
        <v>0</v>
      </c>
      <c r="J11" s="63">
        <f>I11</f>
        <v>0</v>
      </c>
      <c r="K11" s="63"/>
      <c r="L11" s="61">
        <f>COUNTIF($X11:$AC11,10)+COUNTIFS($X11:$AC11,"&gt;=7",$X11:$AC11,"&lt;10")/2</f>
        <v>1.5</v>
      </c>
      <c r="M11" s="63" t="str">
        <f>_xlfn.CONCAT(COUNTIF($X11:$AC11,10)+COUNTIFS($X11:$AC11,"&gt;=7",$X11:$AC11,"&lt;10")/2,REPT("*",COUNTBLANK($X11:$AC11)))</f>
        <v>1.5</v>
      </c>
      <c r="N11" s="60">
        <v>1</v>
      </c>
      <c r="O11" s="60">
        <v>1</v>
      </c>
      <c r="P11" s="60"/>
      <c r="Q11" s="64">
        <v>4</v>
      </c>
      <c r="R11" s="64">
        <v>2.7033492822966498</v>
      </c>
      <c r="S11" s="64">
        <v>7.5234521575985003</v>
      </c>
      <c r="T11" s="64">
        <v>2.8571428571428599</v>
      </c>
      <c r="U11" s="64">
        <v>8.8461420406674698</v>
      </c>
      <c r="V11" s="64">
        <v>7.1333333333333302</v>
      </c>
      <c r="W11" s="61"/>
      <c r="X11" s="64">
        <f>[1]Health!F8</f>
        <v>4</v>
      </c>
      <c r="Y11" s="64">
        <f>'[1]Food Security'!F8</f>
        <v>2.7033492822966498</v>
      </c>
      <c r="Z11" s="64">
        <f>'[1]Macro Fiscal'!F8</f>
        <v>6.1487603305785097</v>
      </c>
      <c r="AA11" s="64">
        <f>'[1]Socioeconomic Vulnerability'!F8</f>
        <v>10</v>
      </c>
      <c r="AB11" s="64">
        <f>'[1]Natural Hazard'!F8</f>
        <v>5.8333333333333304</v>
      </c>
      <c r="AC11" s="64">
        <f>'[1]Fragility and Conflict'!F8</f>
        <v>8</v>
      </c>
      <c r="AD11" s="61"/>
      <c r="AE11" s="64">
        <f>[1]Health!G8</f>
        <v>2.3815599999999999</v>
      </c>
      <c r="AF11" s="64">
        <f>'[1]Food Security'!G8</f>
        <v>1</v>
      </c>
      <c r="AG11" s="64">
        <f>'[1]Macro Fiscal'!G8</f>
        <v>2.9545454545454501</v>
      </c>
      <c r="AH11" s="64">
        <f>'[1]Socioeconomic Vulnerability'!G8</f>
        <v>0</v>
      </c>
      <c r="AI11" s="64">
        <f>'[1]Natural Hazard'!G8</f>
        <v>0</v>
      </c>
      <c r="AJ11" s="64">
        <f>'[1]Fragility and Conflict'!G8</f>
        <v>0</v>
      </c>
      <c r="AK11" s="61"/>
      <c r="AL11" s="66">
        <v>0</v>
      </c>
      <c r="AM11" s="66">
        <v>0.3</v>
      </c>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0"/>
      <c r="BM11" s="60"/>
      <c r="BN11" s="60"/>
      <c r="BO11" s="60"/>
      <c r="BP11" s="60"/>
      <c r="BQ11" s="60"/>
      <c r="BR11" s="60"/>
      <c r="BS11" s="60"/>
      <c r="BT11" s="60"/>
      <c r="BU11" s="60"/>
    </row>
    <row r="12" spans="1:73" s="67" customFormat="1" x14ac:dyDescent="0.2">
      <c r="A12" s="58">
        <v>7</v>
      </c>
      <c r="B12" s="59" t="s">
        <v>164</v>
      </c>
      <c r="C12" s="59" t="s">
        <v>165</v>
      </c>
      <c r="D12" s="60"/>
      <c r="E12" s="61">
        <f>COUNTIF($Q12:$V12,10)</f>
        <v>0</v>
      </c>
      <c r="F12" s="62">
        <f>E12</f>
        <v>0</v>
      </c>
      <c r="G12" s="61">
        <f>COUNTIF($X12:$AC12,10)</f>
        <v>0</v>
      </c>
      <c r="H12" s="63">
        <f>G12</f>
        <v>0</v>
      </c>
      <c r="I12" s="60">
        <f>COUNTIF($AE12:$AJ12,10)</f>
        <v>1</v>
      </c>
      <c r="J12" s="63">
        <f>I12</f>
        <v>1</v>
      </c>
      <c r="K12" s="63"/>
      <c r="L12" s="61">
        <f>COUNTIF($X12:$AC12,10)+COUNTIFS($X12:$AC12,"&gt;=7",$X12:$AC12,"&lt;10")/2</f>
        <v>1</v>
      </c>
      <c r="M12" s="63" t="str">
        <f>_xlfn.CONCAT(COUNTIF($X12:$AC12,10)+COUNTIFS($X12:$AC12,"&gt;=7",$X12:$AC12,"&lt;10")/2,REPT("*",COUNTBLANK($X12:$AC12)))</f>
        <v>1</v>
      </c>
      <c r="N12" s="60">
        <v>2</v>
      </c>
      <c r="O12" s="60">
        <v>2</v>
      </c>
      <c r="P12" s="60"/>
      <c r="Q12" s="64">
        <v>8.1999999999999993</v>
      </c>
      <c r="R12" s="68"/>
      <c r="S12" s="64">
        <v>2.1388367729831099</v>
      </c>
      <c r="T12" s="64">
        <v>2.8571428571428599</v>
      </c>
      <c r="U12" s="64">
        <v>6.0661954608563899</v>
      </c>
      <c r="V12" s="64">
        <v>5.7888888888888896</v>
      </c>
      <c r="W12" s="61"/>
      <c r="X12" s="64">
        <f>[1]Health!F9</f>
        <v>8.1999999999999993</v>
      </c>
      <c r="Y12" s="64">
        <f>'[1]Food Security'!F9</f>
        <v>0</v>
      </c>
      <c r="Z12" s="64">
        <f>'[1]Macro Fiscal'!F9</f>
        <v>0</v>
      </c>
      <c r="AA12" s="64">
        <f>'[1]Socioeconomic Vulnerability'!F9</f>
        <v>0</v>
      </c>
      <c r="AB12" s="64">
        <f>'[1]Natural Hazard'!F9</f>
        <v>4.5</v>
      </c>
      <c r="AC12" s="64">
        <f>'[1]Fragility and Conflict'!F9</f>
        <v>9</v>
      </c>
      <c r="AD12" s="61"/>
      <c r="AE12" s="64">
        <f>[1]Health!G9</f>
        <v>10</v>
      </c>
      <c r="AF12" s="64">
        <f>'[1]Food Security'!G9</f>
        <v>0</v>
      </c>
      <c r="AG12" s="64">
        <f>'[1]Macro Fiscal'!G9</f>
        <v>0</v>
      </c>
      <c r="AH12" s="64">
        <f>'[1]Socioeconomic Vulnerability'!G9</f>
        <v>0</v>
      </c>
      <c r="AI12" s="64">
        <f>'[1]Natural Hazard'!G9</f>
        <v>0</v>
      </c>
      <c r="AJ12" s="64">
        <f>'[1]Fragility and Conflict'!G9</f>
        <v>0</v>
      </c>
      <c r="AK12" s="61"/>
      <c r="AL12" s="66">
        <v>0.2</v>
      </c>
      <c r="AM12" s="66">
        <v>0.5</v>
      </c>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0"/>
      <c r="BM12" s="60"/>
      <c r="BN12" s="60"/>
      <c r="BO12" s="60"/>
      <c r="BP12" s="60"/>
      <c r="BQ12" s="60"/>
      <c r="BR12" s="60"/>
      <c r="BS12" s="60"/>
      <c r="BT12" s="60"/>
      <c r="BU12" s="60"/>
    </row>
    <row r="13" spans="1:73" s="67" customFormat="1" x14ac:dyDescent="0.2">
      <c r="A13" s="58">
        <v>8</v>
      </c>
      <c r="B13" s="59" t="s">
        <v>170</v>
      </c>
      <c r="C13" s="59" t="s">
        <v>171</v>
      </c>
      <c r="D13" s="60"/>
      <c r="E13" s="61">
        <f>COUNTIF($Q13:$V13,10)</f>
        <v>0</v>
      </c>
      <c r="F13" s="62">
        <f>E13</f>
        <v>0</v>
      </c>
      <c r="G13" s="61">
        <f>COUNTIF($X13:$AC13,10)</f>
        <v>1</v>
      </c>
      <c r="H13" s="63">
        <f>G13</f>
        <v>1</v>
      </c>
      <c r="I13" s="60">
        <f>COUNTIF($AE13:$AJ13,10)</f>
        <v>0</v>
      </c>
      <c r="J13" s="63">
        <f>I13</f>
        <v>0</v>
      </c>
      <c r="K13" s="63"/>
      <c r="L13" s="61">
        <f>COUNTIF($X13:$AC13,10)+COUNTIFS($X13:$AC13,"&gt;=7",$X13:$AC13,"&lt;10")/2</f>
        <v>1.5</v>
      </c>
      <c r="M13" s="63" t="str">
        <f>_xlfn.CONCAT(COUNTIF($X13:$AC13,10)+COUNTIFS($X13:$AC13,"&gt;=7",$X13:$AC13,"&lt;10")/2,REPT("*",COUNTBLANK($X13:$AC13)))</f>
        <v>1.5</v>
      </c>
      <c r="N13" s="60">
        <v>1</v>
      </c>
      <c r="O13" s="60">
        <v>1</v>
      </c>
      <c r="P13" s="60"/>
      <c r="Q13" s="64">
        <v>0.25</v>
      </c>
      <c r="R13" s="64">
        <v>0.88516746411483305</v>
      </c>
      <c r="S13" s="64">
        <v>3.15196998123827</v>
      </c>
      <c r="T13" s="64">
        <v>0.71428571428571397</v>
      </c>
      <c r="U13" s="64">
        <v>9.1469345131246893</v>
      </c>
      <c r="V13" s="64">
        <v>2.18888888888889</v>
      </c>
      <c r="W13" s="61"/>
      <c r="X13" s="64">
        <f>[1]Health!F10</f>
        <v>0.25</v>
      </c>
      <c r="Y13" s="64">
        <f>'[1]Food Security'!F10</f>
        <v>0.88516746411483305</v>
      </c>
      <c r="Z13" s="64">
        <f>'[1]Macro Fiscal'!F10</f>
        <v>0.34710743801652899</v>
      </c>
      <c r="AA13" s="64">
        <f>'[1]Socioeconomic Vulnerability'!F10</f>
        <v>7</v>
      </c>
      <c r="AB13" s="64">
        <f>'[1]Natural Hazard'!F10</f>
        <v>6.3333333333333304</v>
      </c>
      <c r="AC13" s="64">
        <f>'[1]Fragility and Conflict'!F10</f>
        <v>10</v>
      </c>
      <c r="AD13" s="61"/>
      <c r="AE13" s="64">
        <f>[1]Health!G10</f>
        <v>7.1428571428571104</v>
      </c>
      <c r="AF13" s="64">
        <f>'[1]Food Security'!G10</f>
        <v>0</v>
      </c>
      <c r="AG13" s="64">
        <f>'[1]Macro Fiscal'!G10</f>
        <v>7.7272727272727204</v>
      </c>
      <c r="AH13" s="64">
        <f>'[1]Socioeconomic Vulnerability'!G10</f>
        <v>0</v>
      </c>
      <c r="AI13" s="64">
        <f>'[1]Natural Hazard'!G10</f>
        <v>0</v>
      </c>
      <c r="AJ13" s="64">
        <f>'[1]Fragility and Conflict'!G10</f>
        <v>0</v>
      </c>
      <c r="AK13" s="61"/>
      <c r="AL13" s="66">
        <v>0</v>
      </c>
      <c r="AM13" s="66">
        <v>0.6</v>
      </c>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0"/>
      <c r="BM13" s="60"/>
      <c r="BN13" s="60"/>
      <c r="BO13" s="60"/>
      <c r="BP13" s="60"/>
      <c r="BQ13" s="60"/>
      <c r="BR13" s="60"/>
      <c r="BS13" s="60"/>
      <c r="BT13" s="60"/>
      <c r="BU13" s="60"/>
    </row>
    <row r="14" spans="1:73" s="67" customFormat="1" x14ac:dyDescent="0.2">
      <c r="A14" s="58">
        <v>9</v>
      </c>
      <c r="B14" s="59" t="s">
        <v>179</v>
      </c>
      <c r="C14" s="59" t="s">
        <v>180</v>
      </c>
      <c r="D14" s="60"/>
      <c r="E14" s="61">
        <f>COUNTIF($Q14:$V14,10)</f>
        <v>0</v>
      </c>
      <c r="F14" s="62">
        <f>E14</f>
        <v>0</v>
      </c>
      <c r="G14" s="61">
        <f>COUNTIF($X14:$AC14,10)</f>
        <v>0</v>
      </c>
      <c r="H14" s="63">
        <f>G14</f>
        <v>0</v>
      </c>
      <c r="I14" s="60">
        <f>COUNTIF($AE14:$AJ14,10)</f>
        <v>0</v>
      </c>
      <c r="J14" s="63">
        <f>I14</f>
        <v>0</v>
      </c>
      <c r="K14" s="63"/>
      <c r="L14" s="61">
        <f>COUNTIF($X14:$AC14,10)+COUNTIFS($X14:$AC14,"&gt;=7",$X14:$AC14,"&lt;10")/2</f>
        <v>0.5</v>
      </c>
      <c r="M14" s="63" t="str">
        <f>_xlfn.CONCAT(COUNTIF($X14:$AC14,10)+COUNTIFS($X14:$AC14,"&gt;=7",$X14:$AC14,"&lt;10")/2,REPT("*",COUNTBLANK($X14:$AC14)))</f>
        <v>0.5</v>
      </c>
      <c r="N14" s="60">
        <v>1.5</v>
      </c>
      <c r="O14" s="60">
        <v>1.5</v>
      </c>
      <c r="P14" s="60"/>
      <c r="Q14" s="64">
        <v>2.5</v>
      </c>
      <c r="R14" s="64">
        <v>0</v>
      </c>
      <c r="S14" s="64">
        <v>1.8011257035647299</v>
      </c>
      <c r="T14" s="64">
        <v>0.42857142857142899</v>
      </c>
      <c r="U14" s="64">
        <v>8.3425522051341297</v>
      </c>
      <c r="V14" s="64">
        <v>2.6777777777777798</v>
      </c>
      <c r="W14" s="61"/>
      <c r="X14" s="64">
        <f>[1]Health!F11</f>
        <v>2.5</v>
      </c>
      <c r="Y14" s="64">
        <f>'[1]Food Security'!F11</f>
        <v>0</v>
      </c>
      <c r="Z14" s="64">
        <f>'[1]Macro Fiscal'!F11</f>
        <v>1.00826446280992</v>
      </c>
      <c r="AA14" s="64">
        <f>'[1]Socioeconomic Vulnerability'!F11</f>
        <v>7</v>
      </c>
      <c r="AB14" s="64">
        <f>'[1]Natural Hazard'!F11</f>
        <v>2.5</v>
      </c>
      <c r="AC14" s="64">
        <f>'[1]Fragility and Conflict'!F11</f>
        <v>11</v>
      </c>
      <c r="AD14" s="61"/>
      <c r="AE14" s="64">
        <f>[1]Health!G11</f>
        <v>7.5419200000000002</v>
      </c>
      <c r="AF14" s="64">
        <f>'[1]Food Security'!G11</f>
        <v>3</v>
      </c>
      <c r="AG14" s="64">
        <f>'[1]Macro Fiscal'!G11</f>
        <v>6.1363636363636296</v>
      </c>
      <c r="AH14" s="64">
        <f>'[1]Socioeconomic Vulnerability'!G11</f>
        <v>0</v>
      </c>
      <c r="AI14" s="64">
        <f>'[1]Natural Hazard'!G11</f>
        <v>0</v>
      </c>
      <c r="AJ14" s="64">
        <f>'[1]Fragility and Conflict'!G11</f>
        <v>0</v>
      </c>
      <c r="AK14" s="61"/>
      <c r="AL14" s="66">
        <v>0</v>
      </c>
      <c r="AM14" s="66">
        <v>0.4</v>
      </c>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0"/>
      <c r="BM14" s="60"/>
      <c r="BN14" s="60"/>
      <c r="BO14" s="60"/>
      <c r="BP14" s="60"/>
      <c r="BQ14" s="60"/>
      <c r="BR14" s="60"/>
      <c r="BS14" s="60"/>
      <c r="BT14" s="60"/>
      <c r="BU14" s="60"/>
    </row>
    <row r="15" spans="1:73" s="67" customFormat="1" x14ac:dyDescent="0.2">
      <c r="A15" s="58">
        <v>10</v>
      </c>
      <c r="B15" s="59" t="s">
        <v>187</v>
      </c>
      <c r="C15" s="59" t="s">
        <v>188</v>
      </c>
      <c r="D15" s="60"/>
      <c r="E15" s="61">
        <f>COUNTIF($Q15:$V15,10)</f>
        <v>0</v>
      </c>
      <c r="F15" s="62">
        <f>E15</f>
        <v>0</v>
      </c>
      <c r="G15" s="61">
        <f>COUNTIF($X15:$AC15,10)</f>
        <v>0</v>
      </c>
      <c r="H15" s="63">
        <f>G15</f>
        <v>0</v>
      </c>
      <c r="I15" s="60">
        <f>COUNTIF($AE15:$AJ15,10)</f>
        <v>1</v>
      </c>
      <c r="J15" s="63">
        <f>I15</f>
        <v>1</v>
      </c>
      <c r="K15" s="63"/>
      <c r="L15" s="61">
        <f>COUNTIF($X15:$AC15,10)+COUNTIFS($X15:$AC15,"&gt;=7",$X15:$AC15,"&lt;10")/2</f>
        <v>1.5</v>
      </c>
      <c r="M15" s="63" t="str">
        <f>_xlfn.CONCAT(COUNTIF($X15:$AC15,10)+COUNTIFS($X15:$AC15,"&gt;=7",$X15:$AC15,"&lt;10")/2,REPT("*",COUNTBLANK($X15:$AC15)))</f>
        <v>1.5</v>
      </c>
      <c r="N15" s="60">
        <v>3</v>
      </c>
      <c r="O15" s="60">
        <v>3</v>
      </c>
      <c r="P15" s="60"/>
      <c r="Q15" s="64">
        <v>7.16</v>
      </c>
      <c r="R15" s="64">
        <v>4.2344497607655498</v>
      </c>
      <c r="S15" s="64">
        <v>2.4390243902439002</v>
      </c>
      <c r="T15" s="64">
        <v>3.71428571428571</v>
      </c>
      <c r="U15" s="64">
        <v>8.8461420406674698</v>
      </c>
      <c r="V15" s="64">
        <v>7.9222222222222198</v>
      </c>
      <c r="W15" s="61"/>
      <c r="X15" s="64">
        <f>[1]Health!F12</f>
        <v>7.16</v>
      </c>
      <c r="Y15" s="64">
        <f>'[1]Food Security'!F12</f>
        <v>4.2344497607655498</v>
      </c>
      <c r="Z15" s="64">
        <f>'[1]Macro Fiscal'!F12</f>
        <v>7.1404958677685997</v>
      </c>
      <c r="AA15" s="64">
        <f>'[1]Socioeconomic Vulnerability'!F12</f>
        <v>7</v>
      </c>
      <c r="AB15" s="64">
        <f>'[1]Natural Hazard'!F12</f>
        <v>6.5</v>
      </c>
      <c r="AC15" s="64">
        <f>'[1]Fragility and Conflict'!F12</f>
        <v>12</v>
      </c>
      <c r="AD15" s="61"/>
      <c r="AE15" s="64">
        <f>[1]Health!G12</f>
        <v>7.1428571428571104</v>
      </c>
      <c r="AF15" s="64">
        <f>'[1]Food Security'!G12</f>
        <v>3</v>
      </c>
      <c r="AG15" s="64">
        <f>'[1]Macro Fiscal'!G12</f>
        <v>6.8181818181818201</v>
      </c>
      <c r="AH15" s="64">
        <f>'[1]Socioeconomic Vulnerability'!G12</f>
        <v>0</v>
      </c>
      <c r="AI15" s="64">
        <f>'[1]Natural Hazard'!G12</f>
        <v>7</v>
      </c>
      <c r="AJ15" s="64">
        <f>'[1]Fragility and Conflict'!G12</f>
        <v>10</v>
      </c>
      <c r="AK15" s="61"/>
      <c r="AL15" s="66">
        <v>0</v>
      </c>
      <c r="AM15" s="66">
        <v>0.3</v>
      </c>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0"/>
      <c r="BM15" s="60"/>
      <c r="BN15" s="60"/>
      <c r="BO15" s="60"/>
      <c r="BP15" s="60"/>
      <c r="BQ15" s="60"/>
      <c r="BR15" s="60"/>
      <c r="BS15" s="60"/>
      <c r="BT15" s="60"/>
      <c r="BU15" s="60"/>
    </row>
    <row r="16" spans="1:73" s="67" customFormat="1" x14ac:dyDescent="0.2">
      <c r="A16" s="58">
        <v>11</v>
      </c>
      <c r="B16" s="59" t="s">
        <v>194</v>
      </c>
      <c r="C16" s="59" t="s">
        <v>195</v>
      </c>
      <c r="D16" s="60"/>
      <c r="E16" s="61">
        <f>COUNTIF($Q16:$V16,10)</f>
        <v>1</v>
      </c>
      <c r="F16" s="62">
        <f>E16</f>
        <v>1</v>
      </c>
      <c r="G16" s="61">
        <f>COUNTIF($X16:$AC16,10)</f>
        <v>2</v>
      </c>
      <c r="H16" s="63">
        <f>G16</f>
        <v>2</v>
      </c>
      <c r="I16" s="60">
        <f>COUNTIF($AE16:$AJ16,10)</f>
        <v>1</v>
      </c>
      <c r="J16" s="63">
        <f>I16</f>
        <v>1</v>
      </c>
      <c r="K16" s="63"/>
      <c r="L16" s="61">
        <f>COUNTIF($X16:$AC16,10)+COUNTIFS($X16:$AC16,"&gt;=7",$X16:$AC16,"&lt;10")/2</f>
        <v>2.5</v>
      </c>
      <c r="M16" s="63" t="str">
        <f>_xlfn.CONCAT(COUNTIF($X16:$AC16,10)+COUNTIFS($X16:$AC16,"&gt;=7",$X16:$AC16,"&lt;10")/2,REPT("*",COUNTBLANK($X16:$AC16)))</f>
        <v>2.5</v>
      </c>
      <c r="N16" s="60">
        <v>2</v>
      </c>
      <c r="O16" s="60">
        <v>2</v>
      </c>
      <c r="P16" s="60"/>
      <c r="Q16" s="64">
        <f>IFERROR(GEOMEAN(X16,AE16), MAX(X16,AE16))</f>
        <v>10</v>
      </c>
      <c r="R16" s="64">
        <f>IFERROR(GEOMEAN(Y16,AF16), MAX(Y16,AF16))</f>
        <v>7.0456474738209014</v>
      </c>
      <c r="S16" s="64">
        <f>IFERROR(GEOMEAN(Z16,AG16), MAX(Z16,AG16))</f>
        <v>3.3709993123162008</v>
      </c>
      <c r="T16" s="64">
        <f>IFERROR(GEOMEAN(AA16,AH16), MAX(AA16,AH16))</f>
        <v>0</v>
      </c>
      <c r="U16" s="64">
        <f>IFERROR(GEOMEAN(AB16,AI16), MAX(AB16,AI16))</f>
        <v>4.3333333333333304</v>
      </c>
      <c r="V16" s="64">
        <f>IFERROR(GEOMEAN(AC16,AJ16), MAX(AC16,AJ16))</f>
        <v>13</v>
      </c>
      <c r="W16" s="61"/>
      <c r="X16" s="64">
        <f>[1]Health!F13</f>
        <v>10</v>
      </c>
      <c r="Y16" s="64">
        <f>'[1]Food Security'!F13</f>
        <v>9.9282296650717701</v>
      </c>
      <c r="Z16" s="64">
        <f>'[1]Macro Fiscal'!F13</f>
        <v>10</v>
      </c>
      <c r="AA16" s="64">
        <f>'[1]Socioeconomic Vulnerability'!F13</f>
        <v>0</v>
      </c>
      <c r="AB16" s="64">
        <f>'[1]Natural Hazard'!F13</f>
        <v>4.3333333333333304</v>
      </c>
      <c r="AC16" s="64">
        <f>'[1]Fragility and Conflict'!F13</f>
        <v>13</v>
      </c>
      <c r="AD16" s="61"/>
      <c r="AE16" s="64">
        <f>[1]Health!G13</f>
        <v>10</v>
      </c>
      <c r="AF16" s="64">
        <f>'[1]Food Security'!G13</f>
        <v>5</v>
      </c>
      <c r="AG16" s="64">
        <f>'[1]Macro Fiscal'!G13</f>
        <v>1.13636363636363</v>
      </c>
      <c r="AH16" s="64">
        <f>'[1]Socioeconomic Vulnerability'!G13</f>
        <v>0</v>
      </c>
      <c r="AI16" s="64">
        <f>'[1]Natural Hazard'!G13</f>
        <v>0</v>
      </c>
      <c r="AJ16" s="64">
        <f>'[1]Fragility and Conflict'!G13</f>
        <v>0</v>
      </c>
      <c r="AK16" s="60"/>
      <c r="AL16" s="66">
        <v>0</v>
      </c>
      <c r="AM16" s="66">
        <v>0.3</v>
      </c>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0"/>
      <c r="BM16" s="60"/>
      <c r="BN16" s="60"/>
      <c r="BO16" s="60"/>
      <c r="BP16" s="60"/>
      <c r="BQ16" s="60"/>
      <c r="BR16" s="60"/>
      <c r="BS16" s="60"/>
      <c r="BT16" s="60"/>
      <c r="BU16" s="60"/>
    </row>
    <row r="17" spans="1:73" s="67" customFormat="1" x14ac:dyDescent="0.2">
      <c r="A17" s="58">
        <v>12</v>
      </c>
      <c r="B17" s="59" t="s">
        <v>202</v>
      </c>
      <c r="C17" s="59" t="s">
        <v>203</v>
      </c>
      <c r="D17" s="60"/>
      <c r="E17" s="61">
        <f>COUNTIF($Q17:$V17,10)</f>
        <v>0</v>
      </c>
      <c r="F17" s="62">
        <f>E17</f>
        <v>0</v>
      </c>
      <c r="G17" s="61">
        <f>COUNTIF($X17:$AC17,10)</f>
        <v>0</v>
      </c>
      <c r="H17" s="63">
        <f>G17</f>
        <v>0</v>
      </c>
      <c r="I17" s="60">
        <f>COUNTIF($AE17:$AJ17,10)</f>
        <v>0</v>
      </c>
      <c r="J17" s="63">
        <f>I17</f>
        <v>0</v>
      </c>
      <c r="K17" s="63"/>
      <c r="L17" s="61">
        <f>COUNTIF($X17:$AC17,10)+COUNTIFS($X17:$AC17,"&gt;=7",$X17:$AC17,"&lt;10")/2</f>
        <v>0.5</v>
      </c>
      <c r="M17" s="63" t="str">
        <f>_xlfn.CONCAT(COUNTIF($X17:$AC17,10)+COUNTIFS($X17:$AC17,"&gt;=7",$X17:$AC17,"&lt;10")/2,REPT("*",COUNTBLANK($X17:$AC17)))</f>
        <v>0.5</v>
      </c>
      <c r="N17" s="60">
        <v>0.5</v>
      </c>
      <c r="O17" s="60">
        <v>0.5</v>
      </c>
      <c r="P17" s="60"/>
      <c r="Q17" s="64">
        <v>2</v>
      </c>
      <c r="R17" s="64">
        <v>0</v>
      </c>
      <c r="S17" s="64">
        <v>1.8761726078799199</v>
      </c>
      <c r="T17" s="64">
        <v>0.42857142857142899</v>
      </c>
      <c r="U17" s="64">
        <v>6.7548001926030699</v>
      </c>
      <c r="V17" s="64">
        <v>3.0111111111111102</v>
      </c>
      <c r="W17" s="61"/>
      <c r="X17" s="64">
        <f>[1]Health!F14</f>
        <v>2</v>
      </c>
      <c r="Y17" s="64">
        <f>'[1]Food Security'!F14</f>
        <v>0</v>
      </c>
      <c r="Z17" s="64">
        <f>'[1]Macro Fiscal'!F14</f>
        <v>2.1487603305785101</v>
      </c>
      <c r="AA17" s="64">
        <f>'[1]Socioeconomic Vulnerability'!F14</f>
        <v>7</v>
      </c>
      <c r="AB17" s="64">
        <f>'[1]Natural Hazard'!F14</f>
        <v>1.3333333333333299</v>
      </c>
      <c r="AC17" s="64">
        <f>'[1]Fragility and Conflict'!F14</f>
        <v>14</v>
      </c>
      <c r="AD17" s="61"/>
      <c r="AE17" s="64">
        <f>[1]Health!G14</f>
        <v>7.8109200000000003</v>
      </c>
      <c r="AF17" s="64">
        <f>'[1]Food Security'!G14</f>
        <v>3</v>
      </c>
      <c r="AG17" s="64">
        <f>'[1]Macro Fiscal'!G14</f>
        <v>5.4545454545454604</v>
      </c>
      <c r="AH17" s="64">
        <f>'[1]Socioeconomic Vulnerability'!G14</f>
        <v>0</v>
      </c>
      <c r="AI17" s="64">
        <f>'[1]Natural Hazard'!G14</f>
        <v>0</v>
      </c>
      <c r="AJ17" s="64">
        <f>'[1]Fragility and Conflict'!G14</f>
        <v>0</v>
      </c>
      <c r="AK17" s="60"/>
      <c r="AL17" s="66">
        <v>0</v>
      </c>
      <c r="AM17" s="66">
        <v>0.4</v>
      </c>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0"/>
      <c r="BM17" s="60"/>
      <c r="BN17" s="60"/>
      <c r="BO17" s="60"/>
      <c r="BP17" s="60"/>
      <c r="BQ17" s="60"/>
      <c r="BR17" s="60"/>
      <c r="BS17" s="60"/>
      <c r="BT17" s="60"/>
      <c r="BU17" s="60"/>
    </row>
    <row r="18" spans="1:73" s="67" customFormat="1" x14ac:dyDescent="0.2">
      <c r="A18" s="58">
        <v>13</v>
      </c>
      <c r="B18" s="59" t="s">
        <v>208</v>
      </c>
      <c r="C18" s="59" t="s">
        <v>209</v>
      </c>
      <c r="D18" s="60"/>
      <c r="E18" s="61">
        <f>COUNTIF($Q18:$V18,10)</f>
        <v>0</v>
      </c>
      <c r="F18" s="62">
        <f>E18</f>
        <v>0</v>
      </c>
      <c r="G18" s="61">
        <f>COUNTIF($X18:$AC18,10)</f>
        <v>0</v>
      </c>
      <c r="H18" s="63">
        <f>G18</f>
        <v>0</v>
      </c>
      <c r="I18" s="60">
        <f>COUNTIF($AE18:$AJ18,10)</f>
        <v>0</v>
      </c>
      <c r="J18" s="63">
        <f>I18</f>
        <v>0</v>
      </c>
      <c r="K18" s="63"/>
      <c r="L18" s="61">
        <f>COUNTIF($X18:$AC18,10)+COUNTIFS($X18:$AC18,"&gt;=7",$X18:$AC18,"&lt;10")/2</f>
        <v>1.5</v>
      </c>
      <c r="M18" s="63" t="str">
        <f>_xlfn.CONCAT(COUNTIF($X18:$AC18,10)+COUNTIFS($X18:$AC18,"&gt;=7",$X18:$AC18,"&lt;10")/2,REPT("*",COUNTBLANK($X18:$AC18)))</f>
        <v>1.5</v>
      </c>
      <c r="N18" s="60">
        <v>0.5</v>
      </c>
      <c r="O18" s="60">
        <v>0.5</v>
      </c>
      <c r="P18" s="60"/>
      <c r="Q18" s="64">
        <v>9.5</v>
      </c>
      <c r="R18" s="64">
        <v>8.6124401913875595</v>
      </c>
      <c r="S18" s="64">
        <v>7.5046904315197001</v>
      </c>
      <c r="T18" s="64">
        <v>9.28571428571429</v>
      </c>
      <c r="U18" s="64">
        <v>7.1174890712645604</v>
      </c>
      <c r="V18" s="64">
        <v>8.0555555555555607</v>
      </c>
      <c r="W18" s="61"/>
      <c r="X18" s="64">
        <f>[1]Health!F15</f>
        <v>9.5</v>
      </c>
      <c r="Y18" s="64">
        <f>'[1]Food Security'!F15</f>
        <v>8.6124401913875595</v>
      </c>
      <c r="Z18" s="64">
        <f>'[1]Macro Fiscal'!F15</f>
        <v>8.2148760330578501</v>
      </c>
      <c r="AA18" s="64">
        <f>'[1]Socioeconomic Vulnerability'!F15</f>
        <v>0</v>
      </c>
      <c r="AB18" s="64">
        <f>'[1]Natural Hazard'!F15</f>
        <v>3.1666666666666701</v>
      </c>
      <c r="AC18" s="64">
        <f>'[1]Fragility and Conflict'!F15</f>
        <v>15</v>
      </c>
      <c r="AD18" s="61"/>
      <c r="AE18" s="64">
        <f>[1]Health!G15</f>
        <v>9.5329137446929693</v>
      </c>
      <c r="AF18" s="64">
        <f>'[1]Food Security'!G15</f>
        <v>3</v>
      </c>
      <c r="AG18" s="64">
        <f>'[1]Macro Fiscal'!G15</f>
        <v>0</v>
      </c>
      <c r="AH18" s="64">
        <f>'[1]Socioeconomic Vulnerability'!G15</f>
        <v>0</v>
      </c>
      <c r="AI18" s="64">
        <f>'[1]Natural Hazard'!G15</f>
        <v>0</v>
      </c>
      <c r="AJ18" s="64">
        <f>'[1]Fragility and Conflict'!G15</f>
        <v>0</v>
      </c>
      <c r="AK18" s="60"/>
      <c r="AL18" s="66">
        <v>0</v>
      </c>
      <c r="AM18" s="66">
        <v>0.3</v>
      </c>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0"/>
      <c r="BM18" s="60"/>
      <c r="BN18" s="60"/>
      <c r="BO18" s="60"/>
      <c r="BP18" s="60"/>
      <c r="BQ18" s="60"/>
      <c r="BR18" s="60"/>
      <c r="BS18" s="60"/>
      <c r="BT18" s="60"/>
      <c r="BU18" s="60"/>
    </row>
    <row r="19" spans="1:73" s="67" customFormat="1" x14ac:dyDescent="0.2">
      <c r="A19" s="58">
        <v>14</v>
      </c>
      <c r="B19" s="59" t="s">
        <v>215</v>
      </c>
      <c r="C19" s="59" t="s">
        <v>216</v>
      </c>
      <c r="D19" s="60"/>
      <c r="E19" s="61">
        <f>COUNTIF($Q19:$V19,10)</f>
        <v>1</v>
      </c>
      <c r="F19" s="62">
        <f>E19</f>
        <v>1</v>
      </c>
      <c r="G19" s="61">
        <f>COUNTIF($X19:$AC19,10)</f>
        <v>1</v>
      </c>
      <c r="H19" s="63">
        <f>G19</f>
        <v>1</v>
      </c>
      <c r="I19" s="60">
        <f>COUNTIF($AE19:$AJ19,10)</f>
        <v>3</v>
      </c>
      <c r="J19" s="63">
        <f>I19</f>
        <v>3</v>
      </c>
      <c r="K19" s="63"/>
      <c r="L19" s="61">
        <f>COUNTIF($X19:$AC19,10)+COUNTIFS($X19:$AC19,"&gt;=7",$X19:$AC19,"&lt;10")/2</f>
        <v>2.5</v>
      </c>
      <c r="M19" s="63" t="str">
        <f>_xlfn.CONCAT(COUNTIF($X19:$AC19,10)+COUNTIFS($X19:$AC19,"&gt;=7",$X19:$AC19,"&lt;10")/2,REPT("*",COUNTBLANK($X19:$AC19)))</f>
        <v>2.5</v>
      </c>
      <c r="N19" s="60">
        <v>2.5</v>
      </c>
      <c r="O19" s="60">
        <v>2.5</v>
      </c>
      <c r="P19" s="60"/>
      <c r="Q19" s="64">
        <f>IFERROR(GEOMEAN(X19,AE19), MAX(X19,AE19))</f>
        <v>10</v>
      </c>
      <c r="R19" s="64">
        <f>IFERROR(GEOMEAN(Y19,AF19), MAX(Y19,AF19))</f>
        <v>9.3573398256363536</v>
      </c>
      <c r="S19" s="64">
        <f>IFERROR(GEOMEAN(Z19,AG19), MAX(Z19,AG19))</f>
        <v>1.8811413323422554</v>
      </c>
      <c r="T19" s="64">
        <f>IFERROR(GEOMEAN(AA19,AH19), MAX(AA19,AH19))</f>
        <v>8.1976931435721294</v>
      </c>
      <c r="U19" s="64">
        <f>IFERROR(GEOMEAN(AB19,AI19), MAX(AB19,AI19))</f>
        <v>4.5</v>
      </c>
      <c r="V19" s="64">
        <f>IFERROR(GEOMEAN(AC19,AJ19), MAX(AC19,AJ19))</f>
        <v>12.649110640673518</v>
      </c>
      <c r="W19" s="61"/>
      <c r="X19" s="64">
        <f>[1]Health!F16</f>
        <v>10</v>
      </c>
      <c r="Y19" s="64">
        <f>'[1]Food Security'!F16</f>
        <v>8.7559808612440193</v>
      </c>
      <c r="Z19" s="64">
        <f>'[1]Macro Fiscal'!F16</f>
        <v>7.7851239669421499</v>
      </c>
      <c r="AA19" s="64">
        <f>'[1]Socioeconomic Vulnerability'!F16</f>
        <v>8.1976931435721294</v>
      </c>
      <c r="AB19" s="64">
        <f>'[1]Natural Hazard'!F16</f>
        <v>4.5</v>
      </c>
      <c r="AC19" s="64">
        <f>'[1]Fragility and Conflict'!F16</f>
        <v>16</v>
      </c>
      <c r="AD19" s="61"/>
      <c r="AE19" s="64">
        <f>[1]Health!G16</f>
        <v>10</v>
      </c>
      <c r="AF19" s="64">
        <f>'[1]Food Security'!G16</f>
        <v>10</v>
      </c>
      <c r="AG19" s="64">
        <f>'[1]Macro Fiscal'!G16</f>
        <v>0.45454545454544998</v>
      </c>
      <c r="AH19" s="64">
        <f>'[1]Socioeconomic Vulnerability'!G16</f>
        <v>0</v>
      </c>
      <c r="AI19" s="64">
        <f>'[1]Natural Hazard'!G16</f>
        <v>0</v>
      </c>
      <c r="AJ19" s="64">
        <f>'[1]Fragility and Conflict'!G16</f>
        <v>10</v>
      </c>
      <c r="AK19" s="60"/>
      <c r="AL19" s="66">
        <v>0</v>
      </c>
      <c r="AM19" s="66">
        <v>0.2</v>
      </c>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0"/>
      <c r="BM19" s="60"/>
      <c r="BN19" s="60"/>
      <c r="BO19" s="60"/>
      <c r="BP19" s="60"/>
      <c r="BQ19" s="60"/>
      <c r="BR19" s="60"/>
      <c r="BS19" s="60"/>
      <c r="BT19" s="60"/>
      <c r="BU19" s="60"/>
    </row>
    <row r="20" spans="1:73" s="67" customFormat="1" x14ac:dyDescent="0.2">
      <c r="A20" s="58">
        <v>15</v>
      </c>
      <c r="B20" s="59" t="s">
        <v>222</v>
      </c>
      <c r="C20" s="59" t="s">
        <v>223</v>
      </c>
      <c r="D20" s="60"/>
      <c r="E20" s="61">
        <f>COUNTIF($Q20:$V20,10)</f>
        <v>1</v>
      </c>
      <c r="F20" s="62">
        <f>E20</f>
        <v>1</v>
      </c>
      <c r="G20" s="61">
        <f>COUNTIF($X20:$AC20,10)</f>
        <v>1</v>
      </c>
      <c r="H20" s="63">
        <f>G20</f>
        <v>1</v>
      </c>
      <c r="I20" s="60">
        <f>COUNTIF($AE20:$AJ20,10)</f>
        <v>0</v>
      </c>
      <c r="J20" s="63">
        <f>I20</f>
        <v>0</v>
      </c>
      <c r="K20" s="63"/>
      <c r="L20" s="61">
        <f>COUNTIF($X20:$AC20,10)+COUNTIFS($X20:$AC20,"&gt;=7",$X20:$AC20,"&lt;10")/2</f>
        <v>2</v>
      </c>
      <c r="M20" s="63" t="str">
        <f>_xlfn.CONCAT(COUNTIF($X20:$AC20,10)+COUNTIFS($X20:$AC20,"&gt;=7",$X20:$AC20,"&lt;10")/2,REPT("*",COUNTBLANK($X20:$AC20)))</f>
        <v>2</v>
      </c>
      <c r="N20" s="60">
        <v>2.5</v>
      </c>
      <c r="O20" s="60">
        <v>2.5</v>
      </c>
      <c r="P20" s="60"/>
      <c r="Q20" s="64">
        <v>8</v>
      </c>
      <c r="R20" s="64">
        <v>8.03827751196172</v>
      </c>
      <c r="S20" s="64">
        <v>3</v>
      </c>
      <c r="T20" s="64">
        <v>6.8571428571428603</v>
      </c>
      <c r="U20" s="64">
        <v>10</v>
      </c>
      <c r="V20" s="64">
        <v>9.5222222222222204</v>
      </c>
      <c r="W20" s="61"/>
      <c r="X20" s="64">
        <f>[1]Health!F17</f>
        <v>8</v>
      </c>
      <c r="Y20" s="64">
        <f>'[1]Food Security'!F17</f>
        <v>8.03827751196172</v>
      </c>
      <c r="Z20" s="64">
        <f>'[1]Macro Fiscal'!F17</f>
        <v>6.4297520661157002</v>
      </c>
      <c r="AA20" s="64">
        <f>'[1]Socioeconomic Vulnerability'!F17</f>
        <v>0</v>
      </c>
      <c r="AB20" s="64">
        <f>'[1]Natural Hazard'!F17</f>
        <v>10</v>
      </c>
      <c r="AC20" s="64">
        <f>'[1]Fragility and Conflict'!F17</f>
        <v>17</v>
      </c>
      <c r="AD20" s="61"/>
      <c r="AE20" s="64">
        <f>[1]Health!G17</f>
        <v>2.3809523809523698</v>
      </c>
      <c r="AF20" s="64">
        <f>'[1]Food Security'!G17</f>
        <v>3</v>
      </c>
      <c r="AG20" s="64">
        <f>'[1]Macro Fiscal'!G17</f>
        <v>6.5909090909090802</v>
      </c>
      <c r="AH20" s="64">
        <f>'[1]Socioeconomic Vulnerability'!G17</f>
        <v>0</v>
      </c>
      <c r="AI20" s="64">
        <f>'[1]Natural Hazard'!G17</f>
        <v>0</v>
      </c>
      <c r="AJ20" s="64">
        <f>'[1]Fragility and Conflict'!G17</f>
        <v>0</v>
      </c>
      <c r="AK20" s="60"/>
      <c r="AL20" s="66">
        <v>0</v>
      </c>
      <c r="AM20" s="66">
        <v>0.2</v>
      </c>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c r="BM20" s="60"/>
      <c r="BN20" s="60"/>
      <c r="BO20" s="60"/>
      <c r="BP20" s="60"/>
      <c r="BQ20" s="60"/>
      <c r="BR20" s="60"/>
      <c r="BS20" s="60"/>
      <c r="BT20" s="60"/>
      <c r="BU20" s="60"/>
    </row>
    <row r="21" spans="1:73" s="67" customFormat="1" x14ac:dyDescent="0.2">
      <c r="A21" s="58">
        <v>16</v>
      </c>
      <c r="B21" s="59" t="s">
        <v>229</v>
      </c>
      <c r="C21" s="59" t="s">
        <v>230</v>
      </c>
      <c r="D21" s="60"/>
      <c r="E21" s="61">
        <f>COUNTIF($Q21:$V21,10)</f>
        <v>0</v>
      </c>
      <c r="F21" s="62">
        <f>E21</f>
        <v>0</v>
      </c>
      <c r="G21" s="61">
        <f>COUNTIF($X21:$AC21,10)</f>
        <v>1</v>
      </c>
      <c r="H21" s="63">
        <f>G21</f>
        <v>1</v>
      </c>
      <c r="I21" s="60">
        <f>COUNTIF($AE21:$AJ21,10)</f>
        <v>0</v>
      </c>
      <c r="J21" s="63">
        <f>I21</f>
        <v>0</v>
      </c>
      <c r="K21" s="63"/>
      <c r="L21" s="61">
        <f>COUNTIF($X21:$AC21,10)+COUNTIFS($X21:$AC21,"&gt;=7",$X21:$AC21,"&lt;10")/2</f>
        <v>1</v>
      </c>
      <c r="M21" s="63" t="str">
        <f>_xlfn.CONCAT(COUNTIF($X21:$AC21,10)+COUNTIFS($X21:$AC21,"&gt;=7",$X21:$AC21,"&lt;10")/2,REPT("*",COUNTBLANK($X21:$AC21)))</f>
        <v>1</v>
      </c>
      <c r="N21" s="60">
        <v>2.5</v>
      </c>
      <c r="O21" s="60">
        <v>2.5</v>
      </c>
      <c r="P21" s="60"/>
      <c r="Q21" s="64">
        <v>4.88</v>
      </c>
      <c r="R21" s="64">
        <v>2.4162679425837301</v>
      </c>
      <c r="S21" s="64">
        <v>3.3771106941838598</v>
      </c>
      <c r="T21" s="64">
        <v>2.71428571428571</v>
      </c>
      <c r="U21" s="64">
        <v>8.8400521524361295</v>
      </c>
      <c r="V21" s="64">
        <v>5.4666666666666703</v>
      </c>
      <c r="W21" s="61"/>
      <c r="X21" s="64">
        <f>[1]Health!F18</f>
        <v>4.88</v>
      </c>
      <c r="Y21" s="64">
        <f>'[1]Food Security'!F18</f>
        <v>2.4162679425837301</v>
      </c>
      <c r="Z21" s="64">
        <f>'[1]Macro Fiscal'!F18</f>
        <v>3.93388429752066</v>
      </c>
      <c r="AA21" s="64">
        <f>'[1]Socioeconomic Vulnerability'!F18</f>
        <v>10</v>
      </c>
      <c r="AB21" s="64">
        <f>'[1]Natural Hazard'!F18</f>
        <v>4.3333333333333304</v>
      </c>
      <c r="AC21" s="64">
        <f>'[1]Fragility and Conflict'!F18</f>
        <v>18</v>
      </c>
      <c r="AD21" s="61"/>
      <c r="AE21" s="64">
        <f>[1]Health!G18</f>
        <v>9.4580000000000002</v>
      </c>
      <c r="AF21" s="64">
        <f>'[1]Food Security'!G18</f>
        <v>5</v>
      </c>
      <c r="AG21" s="64">
        <f>'[1]Macro Fiscal'!G18</f>
        <v>3.4090909090909198</v>
      </c>
      <c r="AH21" s="64">
        <f>'[1]Socioeconomic Vulnerability'!G18</f>
        <v>0</v>
      </c>
      <c r="AI21" s="64">
        <f>'[1]Natural Hazard'!G18</f>
        <v>0</v>
      </c>
      <c r="AJ21" s="64">
        <f>'[1]Fragility and Conflict'!G18</f>
        <v>0</v>
      </c>
      <c r="AK21" s="60"/>
      <c r="AL21" s="66">
        <v>0</v>
      </c>
      <c r="AM21" s="66">
        <v>0.3</v>
      </c>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0"/>
      <c r="BM21" s="60"/>
      <c r="BN21" s="60"/>
      <c r="BO21" s="60"/>
      <c r="BP21" s="60"/>
      <c r="BQ21" s="60"/>
      <c r="BR21" s="60"/>
      <c r="BS21" s="60"/>
      <c r="BT21" s="60"/>
      <c r="BU21" s="60"/>
    </row>
    <row r="22" spans="1:73" s="67" customFormat="1" x14ac:dyDescent="0.2">
      <c r="A22" s="58">
        <v>17</v>
      </c>
      <c r="B22" s="59" t="s">
        <v>233</v>
      </c>
      <c r="C22" s="59" t="s">
        <v>234</v>
      </c>
      <c r="D22" s="60"/>
      <c r="E22" s="61">
        <f>COUNTIF($Q22:$V22,10)</f>
        <v>0</v>
      </c>
      <c r="F22" s="62">
        <f>E22</f>
        <v>0</v>
      </c>
      <c r="G22" s="61">
        <f>COUNTIF($X22:$AC22,10)</f>
        <v>0</v>
      </c>
      <c r="H22" s="63">
        <f>G22</f>
        <v>0</v>
      </c>
      <c r="I22" s="60">
        <f>COUNTIF($AE22:$AJ22,10)</f>
        <v>1</v>
      </c>
      <c r="J22" s="63">
        <f>I22</f>
        <v>1</v>
      </c>
      <c r="K22" s="63"/>
      <c r="L22" s="61">
        <f>COUNTIF($X22:$AC22,10)+COUNTIFS($X22:$AC22,"&gt;=7",$X22:$AC22,"&lt;10")/2</f>
        <v>0</v>
      </c>
      <c r="M22" s="63" t="str">
        <f>_xlfn.CONCAT(COUNTIF($X22:$AC22,10)+COUNTIFS($X22:$AC22,"&gt;=7",$X22:$AC22,"&lt;10")/2,REPT("*",COUNTBLANK($X22:$AC22)))</f>
        <v>0</v>
      </c>
      <c r="N22" s="60">
        <v>2.5</v>
      </c>
      <c r="O22" s="60">
        <v>2.5</v>
      </c>
      <c r="P22" s="60"/>
      <c r="Q22" s="64">
        <v>6.12</v>
      </c>
      <c r="R22" s="64">
        <v>0.52631578947368296</v>
      </c>
      <c r="S22" s="64">
        <v>4.7654784240150097</v>
      </c>
      <c r="T22" s="64">
        <v>1.8571428571428601</v>
      </c>
      <c r="U22" s="64">
        <v>3.4106540045534102</v>
      </c>
      <c r="V22" s="64">
        <v>7.1</v>
      </c>
      <c r="W22" s="61"/>
      <c r="X22" s="64">
        <f>[1]Health!F19</f>
        <v>6.12</v>
      </c>
      <c r="Y22" s="64">
        <f>'[1]Food Security'!F19</f>
        <v>0.52631578947368296</v>
      </c>
      <c r="Z22" s="64">
        <f>'[1]Macro Fiscal'!F19</f>
        <v>5.5867768595041296</v>
      </c>
      <c r="AA22" s="64">
        <f>'[1]Socioeconomic Vulnerability'!F19</f>
        <v>0</v>
      </c>
      <c r="AB22" s="64">
        <f>'[1]Natural Hazard'!F19</f>
        <v>0</v>
      </c>
      <c r="AC22" s="64">
        <f>'[1]Fragility and Conflict'!F19</f>
        <v>19</v>
      </c>
      <c r="AD22" s="61"/>
      <c r="AE22" s="64">
        <f>[1]Health!G19</f>
        <v>10</v>
      </c>
      <c r="AF22" s="64">
        <f>'[1]Food Security'!G19</f>
        <v>3</v>
      </c>
      <c r="AG22" s="64">
        <f>'[1]Macro Fiscal'!G19</f>
        <v>8.1818181818181799</v>
      </c>
      <c r="AH22" s="64">
        <f>'[1]Socioeconomic Vulnerability'!G19</f>
        <v>0</v>
      </c>
      <c r="AI22" s="64">
        <f>'[1]Natural Hazard'!G19</f>
        <v>0</v>
      </c>
      <c r="AJ22" s="64">
        <f>'[1]Fragility and Conflict'!G19</f>
        <v>0</v>
      </c>
      <c r="AK22" s="60"/>
      <c r="AL22" s="66">
        <v>0</v>
      </c>
      <c r="AM22" s="66">
        <v>0.3</v>
      </c>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0"/>
      <c r="BM22" s="60"/>
      <c r="BN22" s="60"/>
      <c r="BO22" s="60"/>
      <c r="BP22" s="60"/>
      <c r="BQ22" s="60"/>
      <c r="BR22" s="60"/>
      <c r="BS22" s="60"/>
      <c r="BT22" s="60"/>
      <c r="BU22" s="60"/>
    </row>
    <row r="23" spans="1:73" s="67" customFormat="1" x14ac:dyDescent="0.2">
      <c r="A23" s="58">
        <v>18</v>
      </c>
      <c r="B23" s="59" t="s">
        <v>239</v>
      </c>
      <c r="C23" s="59" t="s">
        <v>240</v>
      </c>
      <c r="D23" s="60"/>
      <c r="E23" s="61">
        <f>COUNTIF($Q23:$V23,10)</f>
        <v>1</v>
      </c>
      <c r="F23" s="62">
        <f>E23</f>
        <v>1</v>
      </c>
      <c r="G23" s="61">
        <f>COUNTIF($X23:$AC23,10)</f>
        <v>1</v>
      </c>
      <c r="H23" s="63">
        <f>G23</f>
        <v>1</v>
      </c>
      <c r="I23" s="60">
        <f>COUNTIF($AE23:$AJ23,10)</f>
        <v>2</v>
      </c>
      <c r="J23" s="63">
        <f>I23</f>
        <v>2</v>
      </c>
      <c r="K23" s="63"/>
      <c r="L23" s="61">
        <f>COUNTIF($X23:$AC23,10)+COUNTIFS($X23:$AC23,"&gt;=7",$X23:$AC23,"&lt;10")/2</f>
        <v>1.5</v>
      </c>
      <c r="M23" s="63" t="str">
        <f>_xlfn.CONCAT(COUNTIF($X23:$AC23,10)+COUNTIFS($X23:$AC23,"&gt;=7",$X23:$AC23,"&lt;10")/2,REPT("*",COUNTBLANK($X23:$AC23)))</f>
        <v>1.5</v>
      </c>
      <c r="N23" s="60">
        <v>2</v>
      </c>
      <c r="O23" s="60">
        <v>2</v>
      </c>
      <c r="P23" s="60"/>
      <c r="Q23" s="64">
        <v>7.88</v>
      </c>
      <c r="R23" s="64">
        <v>3.58851674641148</v>
      </c>
      <c r="S23" s="64">
        <v>10</v>
      </c>
      <c r="T23" s="64">
        <v>3.71428571428571</v>
      </c>
      <c r="U23" s="64">
        <v>4.1093795737930598</v>
      </c>
      <c r="V23" s="64">
        <v>5.5444444444444398</v>
      </c>
      <c r="W23" s="61"/>
      <c r="X23" s="64">
        <f>[1]Health!F20</f>
        <v>7.88</v>
      </c>
      <c r="Y23" s="64">
        <f>'[1]Food Security'!F20</f>
        <v>3.58851674641148</v>
      </c>
      <c r="Z23" s="64">
        <f>'[1]Macro Fiscal'!F20</f>
        <v>4.8429752066115697</v>
      </c>
      <c r="AA23" s="64">
        <f>'[1]Socioeconomic Vulnerability'!F20</f>
        <v>10</v>
      </c>
      <c r="AB23" s="64">
        <f>'[1]Natural Hazard'!F20</f>
        <v>4</v>
      </c>
      <c r="AC23" s="64">
        <f>'[1]Fragility and Conflict'!F20</f>
        <v>20</v>
      </c>
      <c r="AD23" s="61"/>
      <c r="AE23" s="64">
        <f>[1]Health!G20</f>
        <v>10</v>
      </c>
      <c r="AF23" s="64">
        <f>'[1]Food Security'!G20</f>
        <v>0</v>
      </c>
      <c r="AG23" s="64">
        <f>'[1]Macro Fiscal'!G20</f>
        <v>0.90909090909091705</v>
      </c>
      <c r="AH23" s="64">
        <f>'[1]Socioeconomic Vulnerability'!G20</f>
        <v>0</v>
      </c>
      <c r="AI23" s="64">
        <f>'[1]Natural Hazard'!G20</f>
        <v>10</v>
      </c>
      <c r="AJ23" s="64">
        <f>'[1]Fragility and Conflict'!G20</f>
        <v>0</v>
      </c>
      <c r="AK23" s="60"/>
      <c r="AL23" s="66">
        <v>0</v>
      </c>
      <c r="AM23" s="66">
        <v>0.5</v>
      </c>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60"/>
      <c r="BQ23" s="60"/>
      <c r="BR23" s="60"/>
      <c r="BS23" s="60"/>
      <c r="BT23" s="60"/>
      <c r="BU23" s="60"/>
    </row>
    <row r="24" spans="1:73" s="67" customFormat="1" x14ac:dyDescent="0.2">
      <c r="A24" s="58">
        <v>19</v>
      </c>
      <c r="B24" s="59" t="s">
        <v>246</v>
      </c>
      <c r="C24" s="59" t="s">
        <v>247</v>
      </c>
      <c r="D24" s="60"/>
      <c r="E24" s="61">
        <f>COUNTIF($Q24:$V24,10)</f>
        <v>0</v>
      </c>
      <c r="F24" s="62">
        <f>E24</f>
        <v>0</v>
      </c>
      <c r="G24" s="61">
        <f>COUNTIF($X24:$AC24,10)</f>
        <v>0</v>
      </c>
      <c r="H24" s="63">
        <f>G24</f>
        <v>0</v>
      </c>
      <c r="I24" s="60">
        <f>COUNTIF($AE24:$AJ24,10)</f>
        <v>0</v>
      </c>
      <c r="J24" s="63">
        <f>I24</f>
        <v>0</v>
      </c>
      <c r="K24" s="63"/>
      <c r="L24" s="61">
        <f>COUNTIF($X24:$AC24,10)+COUNTIFS($X24:$AC24,"&gt;=7",$X24:$AC24,"&lt;10")/2</f>
        <v>0.5</v>
      </c>
      <c r="M24" s="63" t="str">
        <f>_xlfn.CONCAT(COUNTIF($X24:$AC24,10)+COUNTIFS($X24:$AC24,"&gt;=7",$X24:$AC24,"&lt;10")/2,REPT("*",COUNTBLANK($X24:$AC24)))</f>
        <v>0.5</v>
      </c>
      <c r="N24" s="60">
        <v>1.5</v>
      </c>
      <c r="O24" s="60">
        <v>1.5</v>
      </c>
      <c r="P24" s="60"/>
      <c r="Q24" s="64">
        <v>5.44</v>
      </c>
      <c r="R24" s="64">
        <v>3.2296650717703299</v>
      </c>
      <c r="S24" s="64">
        <v>7.9737335834896799</v>
      </c>
      <c r="T24" s="64">
        <v>3.8571428571428599</v>
      </c>
      <c r="U24" s="64">
        <v>8.1474911110942294</v>
      </c>
      <c r="V24" s="64">
        <v>7.8</v>
      </c>
      <c r="W24" s="61"/>
      <c r="X24" s="64">
        <f>[1]Health!F21</f>
        <v>5.44</v>
      </c>
      <c r="Y24" s="64">
        <f>'[1]Food Security'!F21</f>
        <v>3.2296650717703299</v>
      </c>
      <c r="Z24" s="64">
        <f>'[1]Macro Fiscal'!F21</f>
        <v>6.7603305785124004</v>
      </c>
      <c r="AA24" s="64">
        <f>'[1]Socioeconomic Vulnerability'!F21</f>
        <v>7</v>
      </c>
      <c r="AB24" s="64">
        <f>'[1]Natural Hazard'!F21</f>
        <v>5.1666666666666696</v>
      </c>
      <c r="AC24" s="64">
        <f>'[1]Fragility and Conflict'!F21</f>
        <v>21</v>
      </c>
      <c r="AD24" s="61"/>
      <c r="AE24" s="64">
        <f>[1]Health!G21</f>
        <v>8.5340000000000007</v>
      </c>
      <c r="AF24" s="64">
        <f>'[1]Food Security'!G21</f>
        <v>1</v>
      </c>
      <c r="AG24" s="64">
        <f>'[1]Macro Fiscal'!G21</f>
        <v>7.0454545454545503</v>
      </c>
      <c r="AH24" s="64">
        <f>'[1]Socioeconomic Vulnerability'!G21</f>
        <v>0</v>
      </c>
      <c r="AI24" s="64">
        <f>'[1]Natural Hazard'!G21</f>
        <v>0</v>
      </c>
      <c r="AJ24" s="64">
        <f>'[1]Fragility and Conflict'!G21</f>
        <v>1.6952912574300001</v>
      </c>
      <c r="AK24" s="60"/>
      <c r="AL24" s="66">
        <v>0</v>
      </c>
      <c r="AM24" s="66">
        <v>0.3</v>
      </c>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c r="BM24" s="60"/>
      <c r="BN24" s="60"/>
      <c r="BO24" s="60"/>
      <c r="BP24" s="60"/>
      <c r="BQ24" s="60"/>
      <c r="BR24" s="60"/>
      <c r="BS24" s="60"/>
      <c r="BT24" s="60"/>
      <c r="BU24" s="60"/>
    </row>
    <row r="25" spans="1:73" s="67" customFormat="1" x14ac:dyDescent="0.2">
      <c r="A25" s="58">
        <v>20</v>
      </c>
      <c r="B25" s="59" t="s">
        <v>254</v>
      </c>
      <c r="C25" s="59" t="s">
        <v>255</v>
      </c>
      <c r="D25" s="60"/>
      <c r="E25" s="61">
        <f>COUNTIF($Q25:$V25,10)</f>
        <v>0</v>
      </c>
      <c r="F25" s="62">
        <f>E25</f>
        <v>0</v>
      </c>
      <c r="G25" s="61">
        <f>COUNTIF($X25:$AC25,10)</f>
        <v>0</v>
      </c>
      <c r="H25" s="63">
        <f>G25</f>
        <v>0</v>
      </c>
      <c r="I25" s="60">
        <f>COUNTIF($AE25:$AJ25,10)</f>
        <v>1</v>
      </c>
      <c r="J25" s="63">
        <f>I25</f>
        <v>1</v>
      </c>
      <c r="K25" s="63"/>
      <c r="L25" s="61">
        <f>COUNTIF($X25:$AC25,10)+COUNTIFS($X25:$AC25,"&gt;=7",$X25:$AC25,"&lt;10")/2</f>
        <v>0.5</v>
      </c>
      <c r="M25" s="63" t="str">
        <f>_xlfn.CONCAT(COUNTIF($X25:$AC25,10)+COUNTIFS($X25:$AC25,"&gt;=7",$X25:$AC25,"&lt;10")/2,REPT("*",COUNTBLANK($X25:$AC25)))</f>
        <v>0.5</v>
      </c>
      <c r="N25" s="60">
        <v>2.5</v>
      </c>
      <c r="O25" s="60">
        <v>2.5</v>
      </c>
      <c r="P25" s="60"/>
      <c r="Q25" s="64">
        <v>6.94</v>
      </c>
      <c r="R25" s="64">
        <v>1.02870813397129</v>
      </c>
      <c r="S25" s="64">
        <v>2.7954971857410902</v>
      </c>
      <c r="T25" s="64">
        <v>1.71428571428572</v>
      </c>
      <c r="U25" s="64">
        <v>7.2518073295947802</v>
      </c>
      <c r="V25" s="64">
        <v>7.31111111111111</v>
      </c>
      <c r="W25" s="61"/>
      <c r="X25" s="64">
        <f>[1]Health!F22</f>
        <v>6.94</v>
      </c>
      <c r="Y25" s="64">
        <f>'[1]Food Security'!F22</f>
        <v>1.02870813397129</v>
      </c>
      <c r="Z25" s="64">
        <f>'[1]Macro Fiscal'!F22</f>
        <v>8.7768595041322293</v>
      </c>
      <c r="AA25" s="64">
        <f>'[1]Socioeconomic Vulnerability'!F22</f>
        <v>0</v>
      </c>
      <c r="AB25" s="64">
        <f>'[1]Natural Hazard'!F22</f>
        <v>2</v>
      </c>
      <c r="AC25" s="64">
        <f>'[1]Fragility and Conflict'!F22</f>
        <v>22</v>
      </c>
      <c r="AD25" s="61"/>
      <c r="AE25" s="64">
        <f>[1]Health!G22</f>
        <v>6.8461538461538503</v>
      </c>
      <c r="AF25" s="64">
        <f>'[1]Food Security'!G22</f>
        <v>3</v>
      </c>
      <c r="AG25" s="64">
        <f>'[1]Macro Fiscal'!G22</f>
        <v>10</v>
      </c>
      <c r="AH25" s="64">
        <f>'[1]Socioeconomic Vulnerability'!G22</f>
        <v>0</v>
      </c>
      <c r="AI25" s="64">
        <f>'[1]Natural Hazard'!G22</f>
        <v>0</v>
      </c>
      <c r="AJ25" s="64">
        <f>'[1]Fragility and Conflict'!G22</f>
        <v>0</v>
      </c>
      <c r="AK25" s="60"/>
      <c r="AL25" s="66">
        <v>0</v>
      </c>
      <c r="AM25" s="66">
        <v>0.3</v>
      </c>
      <c r="AN25" s="60"/>
      <c r="AO25" s="60"/>
      <c r="AP25" s="60"/>
      <c r="AQ25" s="60"/>
      <c r="AR25" s="60"/>
      <c r="AS25" s="60"/>
      <c r="AT25" s="60"/>
      <c r="AU25" s="60"/>
      <c r="AV25" s="60"/>
      <c r="AW25" s="60"/>
      <c r="AX25" s="60"/>
      <c r="AY25" s="60"/>
      <c r="AZ25" s="60"/>
      <c r="BA25" s="60"/>
      <c r="BB25" s="60"/>
      <c r="BC25" s="60"/>
      <c r="BD25" s="60"/>
      <c r="BE25" s="60"/>
      <c r="BF25" s="60"/>
      <c r="BG25" s="60"/>
      <c r="BH25" s="60"/>
      <c r="BI25" s="60"/>
      <c r="BJ25" s="60"/>
      <c r="BK25" s="60"/>
      <c r="BL25" s="60"/>
      <c r="BM25" s="60"/>
      <c r="BN25" s="60"/>
      <c r="BO25" s="60"/>
      <c r="BP25" s="60"/>
      <c r="BQ25" s="60"/>
      <c r="BR25" s="60"/>
      <c r="BS25" s="60"/>
      <c r="BT25" s="60"/>
      <c r="BU25" s="60"/>
    </row>
    <row r="26" spans="1:73" s="67" customFormat="1" x14ac:dyDescent="0.2">
      <c r="A26" s="58">
        <v>21</v>
      </c>
      <c r="B26" s="59" t="s">
        <v>260</v>
      </c>
      <c r="C26" s="59" t="s">
        <v>261</v>
      </c>
      <c r="D26" s="60"/>
      <c r="E26" s="61">
        <f>COUNTIF($Q26:$V26,10)</f>
        <v>0</v>
      </c>
      <c r="F26" s="62">
        <f>E26</f>
        <v>0</v>
      </c>
      <c r="G26" s="61">
        <f>COUNTIF($X26:$AC26,10)</f>
        <v>1</v>
      </c>
      <c r="H26" s="63">
        <f>G26</f>
        <v>1</v>
      </c>
      <c r="I26" s="60">
        <f>COUNTIF($AE26:$AJ26,10)</f>
        <v>1</v>
      </c>
      <c r="J26" s="63">
        <f>I26</f>
        <v>1</v>
      </c>
      <c r="K26" s="63"/>
      <c r="L26" s="61">
        <f>COUNTIF($X26:$AC26,10)+COUNTIFS($X26:$AC26,"&gt;=7",$X26:$AC26,"&lt;10")/2</f>
        <v>2.5</v>
      </c>
      <c r="M26" s="63" t="str">
        <f>_xlfn.CONCAT(COUNTIF($X26:$AC26,10)+COUNTIFS($X26:$AC26,"&gt;=7",$X26:$AC26,"&lt;10")/2,REPT("*",COUNTBLANK($X26:$AC26)))</f>
        <v>2.5</v>
      </c>
      <c r="N26" s="60">
        <v>3</v>
      </c>
      <c r="O26" s="60">
        <v>3</v>
      </c>
      <c r="P26" s="60"/>
      <c r="Q26" s="64">
        <v>7.64</v>
      </c>
      <c r="R26" s="64">
        <v>4.6650717703349303</v>
      </c>
      <c r="S26" s="64">
        <v>8.5553470919324592</v>
      </c>
      <c r="T26" s="64">
        <v>5.28571428571429</v>
      </c>
      <c r="U26" s="64">
        <v>8.3161345203844306</v>
      </c>
      <c r="V26" s="64">
        <v>6.7555555555555502</v>
      </c>
      <c r="W26" s="61"/>
      <c r="X26" s="64">
        <f>[1]Health!F23</f>
        <v>7.64</v>
      </c>
      <c r="Y26" s="64">
        <f>'[1]Food Security'!F23</f>
        <v>4.6650717703349303</v>
      </c>
      <c r="Z26" s="64">
        <f>'[1]Macro Fiscal'!F23</f>
        <v>7.1239669421487601</v>
      </c>
      <c r="AA26" s="64">
        <f>'[1]Socioeconomic Vulnerability'!F23</f>
        <v>10</v>
      </c>
      <c r="AB26" s="64">
        <f>'[1]Natural Hazard'!F23</f>
        <v>7.5</v>
      </c>
      <c r="AC26" s="64">
        <f>'[1]Fragility and Conflict'!F23</f>
        <v>23</v>
      </c>
      <c r="AD26" s="61"/>
      <c r="AE26" s="64">
        <f>[1]Health!G23</f>
        <v>10</v>
      </c>
      <c r="AF26" s="64">
        <f>'[1]Food Security'!G23</f>
        <v>1</v>
      </c>
      <c r="AG26" s="64">
        <f>'[1]Macro Fiscal'!G23</f>
        <v>2.0454545454545499</v>
      </c>
      <c r="AH26" s="64">
        <f>'[1]Socioeconomic Vulnerability'!G23</f>
        <v>0</v>
      </c>
      <c r="AI26" s="64">
        <f>'[1]Natural Hazard'!G23</f>
        <v>0</v>
      </c>
      <c r="AJ26" s="64">
        <f>'[1]Fragility and Conflict'!G23</f>
        <v>0</v>
      </c>
      <c r="AK26" s="60"/>
      <c r="AL26" s="66">
        <v>0</v>
      </c>
      <c r="AM26" s="66">
        <v>0.4</v>
      </c>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0"/>
      <c r="BM26" s="60"/>
      <c r="BN26" s="60"/>
      <c r="BO26" s="60"/>
      <c r="BP26" s="60"/>
      <c r="BQ26" s="60"/>
      <c r="BR26" s="60"/>
      <c r="BS26" s="60"/>
      <c r="BT26" s="60"/>
      <c r="BU26" s="60"/>
    </row>
    <row r="27" spans="1:73" s="67" customFormat="1" x14ac:dyDescent="0.2">
      <c r="A27" s="58">
        <v>22</v>
      </c>
      <c r="B27" s="59" t="s">
        <v>267</v>
      </c>
      <c r="C27" s="59" t="s">
        <v>268</v>
      </c>
      <c r="D27" s="60"/>
      <c r="E27" s="61">
        <f>COUNTIF($Q27:$V27,10)</f>
        <v>0</v>
      </c>
      <c r="F27" s="62">
        <f>E27</f>
        <v>0</v>
      </c>
      <c r="G27" s="61">
        <f>COUNTIF($X27:$AC27,10)</f>
        <v>0</v>
      </c>
      <c r="H27" s="63">
        <f>G27</f>
        <v>0</v>
      </c>
      <c r="I27" s="60">
        <f>COUNTIF($AE27:$AJ27,10)</f>
        <v>0</v>
      </c>
      <c r="J27" s="63">
        <f>I27</f>
        <v>0</v>
      </c>
      <c r="K27" s="63"/>
      <c r="L27" s="61">
        <f>COUNTIF($X27:$AC27,10)+COUNTIFS($X27:$AC27,"&gt;=7",$X27:$AC27,"&lt;10")/2</f>
        <v>2</v>
      </c>
      <c r="M27" s="63" t="str">
        <f>_xlfn.CONCAT(COUNTIF($X27:$AC27,10)+COUNTIFS($X27:$AC27,"&gt;=7",$X27:$AC27,"&lt;10")/2,REPT("*",COUNTBLANK($X27:$AC27)))</f>
        <v>2</v>
      </c>
      <c r="N27" s="60">
        <v>2</v>
      </c>
      <c r="O27" s="60">
        <v>2</v>
      </c>
      <c r="P27" s="60"/>
      <c r="Q27" s="64">
        <v>7.25</v>
      </c>
      <c r="R27" s="64">
        <v>8.0861244019138692</v>
      </c>
      <c r="S27" s="64">
        <v>3.67729831144465</v>
      </c>
      <c r="T27" s="64">
        <v>6.4285714285714297</v>
      </c>
      <c r="U27" s="64">
        <v>9.6467862996030895</v>
      </c>
      <c r="V27" s="64">
        <v>8.3333333333333304</v>
      </c>
      <c r="W27" s="61"/>
      <c r="X27" s="64">
        <f>[1]Health!F24</f>
        <v>7.25</v>
      </c>
      <c r="Y27" s="64">
        <f>'[1]Food Security'!F24</f>
        <v>8.0861244019138798</v>
      </c>
      <c r="Z27" s="64">
        <f>'[1]Macro Fiscal'!F24</f>
        <v>8.6611570247933898</v>
      </c>
      <c r="AA27" s="64">
        <f>'[1]Socioeconomic Vulnerability'!F24</f>
        <v>7</v>
      </c>
      <c r="AB27" s="64">
        <f>'[1]Natural Hazard'!F24</f>
        <v>6.1666666666666696</v>
      </c>
      <c r="AC27" s="64">
        <f>'[1]Fragility and Conflict'!F24</f>
        <v>24</v>
      </c>
      <c r="AD27" s="61"/>
      <c r="AE27" s="64">
        <f>[1]Health!G24</f>
        <v>7.1969230769230803</v>
      </c>
      <c r="AF27" s="64">
        <f>'[1]Food Security'!G24</f>
        <v>1</v>
      </c>
      <c r="AG27" s="64">
        <f>'[1]Macro Fiscal'!G24</f>
        <v>3.4090909090909198</v>
      </c>
      <c r="AH27" s="64">
        <f>'[1]Socioeconomic Vulnerability'!G24</f>
        <v>0</v>
      </c>
      <c r="AI27" s="64">
        <f>'[1]Natural Hazard'!G24</f>
        <v>0</v>
      </c>
      <c r="AJ27" s="64">
        <f>'[1]Fragility and Conflict'!G24</f>
        <v>0</v>
      </c>
      <c r="AK27" s="60"/>
      <c r="AL27" s="66">
        <v>0</v>
      </c>
      <c r="AM27" s="66">
        <v>0.2</v>
      </c>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c r="BP27" s="60"/>
      <c r="BQ27" s="60"/>
      <c r="BR27" s="60"/>
      <c r="BS27" s="60"/>
      <c r="BT27" s="60"/>
      <c r="BU27" s="60"/>
    </row>
    <row r="28" spans="1:73" s="67" customFormat="1" x14ac:dyDescent="0.2">
      <c r="A28" s="58">
        <v>23</v>
      </c>
      <c r="B28" s="59" t="s">
        <v>275</v>
      </c>
      <c r="C28" s="59" t="s">
        <v>276</v>
      </c>
      <c r="D28" s="60"/>
      <c r="E28" s="61">
        <f>COUNTIF($Q28:$V28,10)</f>
        <v>0</v>
      </c>
      <c r="F28" s="62">
        <f>E28</f>
        <v>0</v>
      </c>
      <c r="G28" s="61">
        <f>COUNTIF($X28:$AC28,10)</f>
        <v>0</v>
      </c>
      <c r="H28" s="63">
        <f>G28</f>
        <v>0</v>
      </c>
      <c r="I28" s="60">
        <f>COUNTIF($AE28:$AJ28,10)</f>
        <v>1</v>
      </c>
      <c r="J28" s="63">
        <f>I28</f>
        <v>1</v>
      </c>
      <c r="K28" s="63"/>
      <c r="L28" s="61">
        <f>COUNTIF($X28:$AC28,10)+COUNTIFS($X28:$AC28,"&gt;=7",$X28:$AC28,"&lt;10")/2</f>
        <v>0.5</v>
      </c>
      <c r="M28" s="63" t="str">
        <f>_xlfn.CONCAT(COUNTIF($X28:$AC28,10)+COUNTIFS($X28:$AC28,"&gt;=7",$X28:$AC28,"&lt;10")/2,REPT("*",COUNTBLANK($X28:$AC28)))</f>
        <v>0.5</v>
      </c>
      <c r="N28" s="60">
        <v>2.5</v>
      </c>
      <c r="O28" s="60">
        <v>2.5</v>
      </c>
      <c r="P28" s="60"/>
      <c r="Q28" s="64">
        <v>3.75</v>
      </c>
      <c r="R28" s="64">
        <v>3.7320574162679399</v>
      </c>
      <c r="S28" s="64">
        <v>3.2082551594746702</v>
      </c>
      <c r="T28" s="64">
        <v>4.8571428571428603</v>
      </c>
      <c r="U28" s="64">
        <v>7.9856887637378904</v>
      </c>
      <c r="V28" s="64">
        <v>8.1111111111111107</v>
      </c>
      <c r="W28" s="61"/>
      <c r="X28" s="64">
        <f>[1]Health!F25</f>
        <v>3.75</v>
      </c>
      <c r="Y28" s="64">
        <f>'[1]Food Security'!F25</f>
        <v>3.7320574162679399</v>
      </c>
      <c r="Z28" s="64">
        <f>'[1]Macro Fiscal'!F25</f>
        <v>6.4462809917355397</v>
      </c>
      <c r="AA28" s="64">
        <f>'[1]Socioeconomic Vulnerability'!F25</f>
        <v>7</v>
      </c>
      <c r="AB28" s="64">
        <f>'[1]Natural Hazard'!F25</f>
        <v>5</v>
      </c>
      <c r="AC28" s="64">
        <f>'[1]Fragility and Conflict'!F25</f>
        <v>25</v>
      </c>
      <c r="AD28" s="61"/>
      <c r="AE28" s="64">
        <f>[1]Health!G25</f>
        <v>10</v>
      </c>
      <c r="AF28" s="64">
        <f>'[1]Food Security'!G25</f>
        <v>5</v>
      </c>
      <c r="AG28" s="64">
        <f>'[1]Macro Fiscal'!G25</f>
        <v>0</v>
      </c>
      <c r="AH28" s="64">
        <f>'[1]Socioeconomic Vulnerability'!G25</f>
        <v>0</v>
      </c>
      <c r="AI28" s="64">
        <f>'[1]Natural Hazard'!G25</f>
        <v>7</v>
      </c>
      <c r="AJ28" s="64">
        <f>'[1]Fragility and Conflict'!G25</f>
        <v>0</v>
      </c>
      <c r="AK28" s="60"/>
      <c r="AL28" s="66">
        <v>0</v>
      </c>
      <c r="AM28" s="66">
        <v>0.2</v>
      </c>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0"/>
      <c r="BM28" s="60"/>
      <c r="BN28" s="60"/>
      <c r="BO28" s="60"/>
      <c r="BP28" s="60"/>
      <c r="BQ28" s="60"/>
      <c r="BR28" s="60"/>
      <c r="BS28" s="60"/>
      <c r="BT28" s="60"/>
      <c r="BU28" s="60"/>
    </row>
    <row r="29" spans="1:73" s="67" customFormat="1" x14ac:dyDescent="0.2">
      <c r="A29" s="58">
        <v>24</v>
      </c>
      <c r="B29" s="59" t="s">
        <v>283</v>
      </c>
      <c r="C29" s="59" t="s">
        <v>284</v>
      </c>
      <c r="D29" s="60"/>
      <c r="E29" s="61">
        <f>COUNTIF($Q29:$V29,10)</f>
        <v>0</v>
      </c>
      <c r="F29" s="62">
        <f>E29</f>
        <v>0</v>
      </c>
      <c r="G29" s="61">
        <f>COUNTIF($X29:$AC29,10)</f>
        <v>0</v>
      </c>
      <c r="H29" s="63">
        <f>G29</f>
        <v>0</v>
      </c>
      <c r="I29" s="60">
        <f>COUNTIF($AE29:$AJ29,10)</f>
        <v>1</v>
      </c>
      <c r="J29" s="63">
        <f>I29</f>
        <v>1</v>
      </c>
      <c r="K29" s="63"/>
      <c r="L29" s="61">
        <f>COUNTIF($X29:$AC29,10)+COUNTIFS($X29:$AC29,"&gt;=7",$X29:$AC29,"&lt;10")/2</f>
        <v>1</v>
      </c>
      <c r="M29" s="63" t="str">
        <f>_xlfn.CONCAT(COUNTIF($X29:$AC29,10)+COUNTIFS($X29:$AC29,"&gt;=7",$X29:$AC29,"&lt;10")/2,REPT("*",COUNTBLANK($X29:$AC29)))</f>
        <v>1</v>
      </c>
      <c r="N29" s="60">
        <v>1.5</v>
      </c>
      <c r="O29" s="60">
        <v>1.5</v>
      </c>
      <c r="P29" s="60"/>
      <c r="Q29" s="64">
        <v>7.62</v>
      </c>
      <c r="R29" s="64">
        <v>1.8181818181818199</v>
      </c>
      <c r="S29" s="64">
        <v>4.5778611632270199</v>
      </c>
      <c r="T29" s="64">
        <v>3.2857142857142798</v>
      </c>
      <c r="U29" s="64">
        <v>5.14941785976779</v>
      </c>
      <c r="V29" s="64">
        <v>5.1555555555555603</v>
      </c>
      <c r="W29" s="61"/>
      <c r="X29" s="64">
        <f>[1]Health!F26</f>
        <v>7.62</v>
      </c>
      <c r="Y29" s="64">
        <f>'[1]Food Security'!F26</f>
        <v>1.8181818181818199</v>
      </c>
      <c r="Z29" s="64">
        <f>'[1]Macro Fiscal'!F26</f>
        <v>3.7851239669421499</v>
      </c>
      <c r="AA29" s="64">
        <f>'[1]Socioeconomic Vulnerability'!F26</f>
        <v>7</v>
      </c>
      <c r="AB29" s="64">
        <f>'[1]Natural Hazard'!F26</f>
        <v>4.6666666666666696</v>
      </c>
      <c r="AC29" s="64">
        <f>'[1]Fragility and Conflict'!F26</f>
        <v>26</v>
      </c>
      <c r="AD29" s="61"/>
      <c r="AE29" s="64">
        <f>[1]Health!G26</f>
        <v>10</v>
      </c>
      <c r="AF29" s="64">
        <f>'[1]Food Security'!G26</f>
        <v>0</v>
      </c>
      <c r="AG29" s="64">
        <f>'[1]Macro Fiscal'!G26</f>
        <v>5.4545454545454497</v>
      </c>
      <c r="AH29" s="64">
        <f>'[1]Socioeconomic Vulnerability'!G26</f>
        <v>0</v>
      </c>
      <c r="AI29" s="64">
        <f>'[1]Natural Hazard'!G26</f>
        <v>0</v>
      </c>
      <c r="AJ29" s="64">
        <f>'[1]Fragility and Conflict'!G26</f>
        <v>0</v>
      </c>
      <c r="AK29" s="60"/>
      <c r="AL29" s="66">
        <v>0</v>
      </c>
      <c r="AM29" s="66">
        <v>0.5</v>
      </c>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0"/>
      <c r="BM29" s="60"/>
      <c r="BN29" s="60"/>
      <c r="BO29" s="60"/>
      <c r="BP29" s="60"/>
      <c r="BQ29" s="60"/>
      <c r="BR29" s="60"/>
      <c r="BS29" s="60"/>
      <c r="BT29" s="60"/>
      <c r="BU29" s="60"/>
    </row>
    <row r="30" spans="1:73" s="67" customFormat="1" x14ac:dyDescent="0.2">
      <c r="A30" s="58">
        <v>25</v>
      </c>
      <c r="B30" s="59" t="s">
        <v>289</v>
      </c>
      <c r="C30" s="59" t="s">
        <v>290</v>
      </c>
      <c r="D30" s="60"/>
      <c r="E30" s="61">
        <f>COUNTIF($Q30:$V30,10)</f>
        <v>0</v>
      </c>
      <c r="F30" s="62">
        <f>E30</f>
        <v>0</v>
      </c>
      <c r="G30" s="61">
        <f>COUNTIF($X30:$AC30,10)</f>
        <v>0</v>
      </c>
      <c r="H30" s="63">
        <f>G30</f>
        <v>0</v>
      </c>
      <c r="I30" s="60">
        <f>COUNTIF($AE30:$AJ30,10)</f>
        <v>1</v>
      </c>
      <c r="J30" s="63">
        <f>I30</f>
        <v>1</v>
      </c>
      <c r="K30" s="63"/>
      <c r="L30" s="61">
        <f>COUNTIF($X30:$AC30,10)+COUNTIFS($X30:$AC30,"&gt;=7",$X30:$AC30,"&lt;10")/2</f>
        <v>1</v>
      </c>
      <c r="M30" s="63" t="str">
        <f>_xlfn.CONCAT(COUNTIF($X30:$AC30,10)+COUNTIFS($X30:$AC30,"&gt;=7",$X30:$AC30,"&lt;10")/2,REPT("*",COUNTBLANK($X30:$AC30)))</f>
        <v>1</v>
      </c>
      <c r="N30" s="60">
        <v>2.5</v>
      </c>
      <c r="O30" s="60">
        <v>2.5</v>
      </c>
      <c r="P30" s="60"/>
      <c r="Q30" s="64">
        <v>7.48</v>
      </c>
      <c r="R30" s="64">
        <v>1.8181818181818199</v>
      </c>
      <c r="S30" s="64">
        <v>0.78799249530956705</v>
      </c>
      <c r="T30" s="64">
        <v>1.8571428571428601</v>
      </c>
      <c r="U30" s="64">
        <v>6.6757068127015602</v>
      </c>
      <c r="V30" s="64">
        <v>6.2888888888888896</v>
      </c>
      <c r="W30" s="61"/>
      <c r="X30" s="64">
        <f>[1]Health!F27</f>
        <v>7.48</v>
      </c>
      <c r="Y30" s="64">
        <f>'[1]Food Security'!F27</f>
        <v>1.8181818181818199</v>
      </c>
      <c r="Z30" s="64">
        <f>'[1]Macro Fiscal'!F27</f>
        <v>2.4297520661157002</v>
      </c>
      <c r="AA30" s="64">
        <f>'[1]Socioeconomic Vulnerability'!F27</f>
        <v>7</v>
      </c>
      <c r="AB30" s="64">
        <f>'[1]Natural Hazard'!F27</f>
        <v>3</v>
      </c>
      <c r="AC30" s="64">
        <f>'[1]Fragility and Conflict'!F27</f>
        <v>27</v>
      </c>
      <c r="AD30" s="61"/>
      <c r="AE30" s="64">
        <f>[1]Health!G27</f>
        <v>5.4707692307692302</v>
      </c>
      <c r="AF30" s="64">
        <f>'[1]Food Security'!G27</f>
        <v>3</v>
      </c>
      <c r="AG30" s="64">
        <f>'[1]Macro Fiscal'!G27</f>
        <v>0</v>
      </c>
      <c r="AH30" s="64">
        <f>'[1]Socioeconomic Vulnerability'!G27</f>
        <v>0</v>
      </c>
      <c r="AI30" s="64">
        <f>'[1]Natural Hazard'!G27</f>
        <v>10</v>
      </c>
      <c r="AJ30" s="64">
        <f>'[1]Fragility and Conflict'!G27</f>
        <v>0</v>
      </c>
      <c r="AK30" s="60"/>
      <c r="AL30" s="66">
        <v>0</v>
      </c>
      <c r="AM30" s="66">
        <v>0.5</v>
      </c>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0"/>
      <c r="BM30" s="60"/>
      <c r="BN30" s="60"/>
      <c r="BO30" s="60"/>
      <c r="BP30" s="60"/>
      <c r="BQ30" s="60"/>
      <c r="BR30" s="60"/>
      <c r="BS30" s="60"/>
      <c r="BT30" s="60"/>
      <c r="BU30" s="60"/>
    </row>
    <row r="31" spans="1:73" s="67" customFormat="1" x14ac:dyDescent="0.2">
      <c r="A31" s="58">
        <v>26</v>
      </c>
      <c r="B31" s="59" t="s">
        <v>296</v>
      </c>
      <c r="C31" s="59" t="s">
        <v>297</v>
      </c>
      <c r="D31" s="60"/>
      <c r="E31" s="61">
        <f>COUNTIF($Q31:$V31,10)</f>
        <v>0</v>
      </c>
      <c r="F31" s="62">
        <f>E31</f>
        <v>0</v>
      </c>
      <c r="G31" s="61">
        <f>COUNTIF($X31:$AC31,10)</f>
        <v>0</v>
      </c>
      <c r="H31" s="63">
        <f>G31</f>
        <v>0</v>
      </c>
      <c r="I31" s="60">
        <f>COUNTIF($AE31:$AJ31,10)</f>
        <v>1</v>
      </c>
      <c r="J31" s="63">
        <f>I31</f>
        <v>1</v>
      </c>
      <c r="K31" s="63"/>
      <c r="L31" s="61">
        <f>COUNTIF($X31:$AC31,10)+COUNTIFS($X31:$AC31,"&gt;=7",$X31:$AC31,"&lt;10")/2</f>
        <v>0</v>
      </c>
      <c r="M31" s="63" t="str">
        <f>_xlfn.CONCAT(COUNTIF($X31:$AC31,10)+COUNTIFS($X31:$AC31,"&gt;=7",$X31:$AC31,"&lt;10")/2,REPT("*",COUNTBLANK($X31:$AC31)))</f>
        <v>0</v>
      </c>
      <c r="N31" s="60">
        <v>2.5</v>
      </c>
      <c r="O31" s="60">
        <v>2.5</v>
      </c>
      <c r="P31" s="60"/>
      <c r="Q31" s="64">
        <v>5.94</v>
      </c>
      <c r="R31" s="64">
        <v>6.9856459330143501</v>
      </c>
      <c r="S31" s="64">
        <v>7</v>
      </c>
      <c r="T31" s="64">
        <v>7.4285714285714297</v>
      </c>
      <c r="U31" s="64">
        <v>8.5336841842253897</v>
      </c>
      <c r="V31" s="64">
        <v>7.7222222222222197</v>
      </c>
      <c r="W31" s="61"/>
      <c r="X31" s="64">
        <f>[1]Health!F28</f>
        <v>5.94</v>
      </c>
      <c r="Y31" s="64">
        <f>'[1]Food Security'!F28</f>
        <v>6.9856459330143599</v>
      </c>
      <c r="Z31" s="64">
        <f>'[1]Macro Fiscal'!F28</f>
        <v>4.0495867768595</v>
      </c>
      <c r="AA31" s="64">
        <f>'[1]Socioeconomic Vulnerability'!F28</f>
        <v>0</v>
      </c>
      <c r="AB31" s="64">
        <f>'[1]Natural Hazard'!F28</f>
        <v>4.1666666666666696</v>
      </c>
      <c r="AC31" s="64">
        <f>'[1]Fragility and Conflict'!F28</f>
        <v>28</v>
      </c>
      <c r="AD31" s="61"/>
      <c r="AE31" s="64">
        <f>[1]Health!G28</f>
        <v>10</v>
      </c>
      <c r="AF31" s="64">
        <f>'[1]Food Security'!G28</f>
        <v>5</v>
      </c>
      <c r="AG31" s="64">
        <f>'[1]Macro Fiscal'!G28</f>
        <v>6.8181818181818201</v>
      </c>
      <c r="AH31" s="64">
        <f>'[1]Socioeconomic Vulnerability'!G28</f>
        <v>0</v>
      </c>
      <c r="AI31" s="64">
        <f>'[1]Natural Hazard'!G28</f>
        <v>0</v>
      </c>
      <c r="AJ31" s="64">
        <f>'[1]Fragility and Conflict'!G28</f>
        <v>0</v>
      </c>
      <c r="AK31" s="60"/>
      <c r="AL31" s="66">
        <v>0</v>
      </c>
      <c r="AM31" s="66">
        <v>0.4</v>
      </c>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60"/>
      <c r="BS31" s="60"/>
      <c r="BT31" s="60"/>
      <c r="BU31" s="60"/>
    </row>
    <row r="32" spans="1:73" s="67" customFormat="1" x14ac:dyDescent="0.2">
      <c r="A32" s="58">
        <v>27</v>
      </c>
      <c r="B32" s="59" t="s">
        <v>301</v>
      </c>
      <c r="C32" s="59" t="s">
        <v>302</v>
      </c>
      <c r="D32" s="60"/>
      <c r="E32" s="61">
        <f>COUNTIF($Q32:$V32,10)</f>
        <v>0</v>
      </c>
      <c r="F32" s="62">
        <f>E32</f>
        <v>0</v>
      </c>
      <c r="G32" s="61">
        <f>COUNTIF($X32:$AC32,10)</f>
        <v>0</v>
      </c>
      <c r="H32" s="63">
        <f>G32</f>
        <v>0</v>
      </c>
      <c r="I32" s="60">
        <f>COUNTIF($AE32:$AJ32,10)</f>
        <v>0</v>
      </c>
      <c r="J32" s="63">
        <f>I32</f>
        <v>0</v>
      </c>
      <c r="K32" s="63"/>
      <c r="L32" s="61">
        <f>COUNTIF($X32:$AC32,10)+COUNTIFS($X32:$AC32,"&gt;=7",$X32:$AC32,"&lt;10")/2</f>
        <v>0.5</v>
      </c>
      <c r="M32" s="63" t="str">
        <f>_xlfn.CONCAT(COUNTIF($X32:$AC32,10)+COUNTIFS($X32:$AC32,"&gt;=7",$X32:$AC32,"&lt;10")/2,REPT("*",COUNTBLANK($X32:$AC32)))</f>
        <v>0.5</v>
      </c>
      <c r="N32" s="60">
        <v>3</v>
      </c>
      <c r="O32" s="60">
        <v>3</v>
      </c>
      <c r="P32" s="60"/>
      <c r="Q32" s="64">
        <v>7.78</v>
      </c>
      <c r="R32" s="64">
        <v>6.9377990430622001</v>
      </c>
      <c r="S32" s="64">
        <v>2.73921200750469</v>
      </c>
      <c r="T32" s="64">
        <v>6.4285714285714297</v>
      </c>
      <c r="U32" s="64">
        <v>7.1759444394224499</v>
      </c>
      <c r="V32" s="64">
        <v>6.3444444444444397</v>
      </c>
      <c r="W32" s="61"/>
      <c r="X32" s="64">
        <f>[1]Health!F29</f>
        <v>7.78</v>
      </c>
      <c r="Y32" s="64">
        <f>'[1]Food Security'!F29</f>
        <v>6.9377990430622001</v>
      </c>
      <c r="Z32" s="64">
        <f>'[1]Macro Fiscal'!F29</f>
        <v>3.1735537190082601</v>
      </c>
      <c r="AA32" s="64">
        <f>'[1]Socioeconomic Vulnerability'!F29</f>
        <v>0</v>
      </c>
      <c r="AB32" s="64">
        <f>'[1]Natural Hazard'!F29</f>
        <v>2.8333333333333299</v>
      </c>
      <c r="AC32" s="64">
        <f>'[1]Fragility and Conflict'!F29</f>
        <v>29</v>
      </c>
      <c r="AD32" s="61"/>
      <c r="AE32" s="64">
        <f>[1]Health!G29</f>
        <v>9.5238095238094793</v>
      </c>
      <c r="AF32" s="64">
        <f>'[1]Food Security'!G29</f>
        <v>3</v>
      </c>
      <c r="AG32" s="64">
        <f>'[1]Macro Fiscal'!G29</f>
        <v>3.86363636363637</v>
      </c>
      <c r="AH32" s="64">
        <f>'[1]Socioeconomic Vulnerability'!G29</f>
        <v>0</v>
      </c>
      <c r="AI32" s="64">
        <f>'[1]Natural Hazard'!G29</f>
        <v>0</v>
      </c>
      <c r="AJ32" s="64">
        <f>'[1]Fragility and Conflict'!G29</f>
        <v>0</v>
      </c>
      <c r="AK32" s="60"/>
      <c r="AL32" s="66">
        <v>0</v>
      </c>
      <c r="AM32" s="66">
        <v>0.4</v>
      </c>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0"/>
      <c r="BM32" s="60"/>
      <c r="BN32" s="60"/>
      <c r="BO32" s="60"/>
      <c r="BP32" s="60"/>
      <c r="BQ32" s="60"/>
      <c r="BR32" s="60"/>
      <c r="BS32" s="60"/>
      <c r="BT32" s="60"/>
      <c r="BU32" s="60"/>
    </row>
    <row r="33" spans="1:73" s="67" customFormat="1" x14ac:dyDescent="0.2">
      <c r="A33" s="58">
        <v>28</v>
      </c>
      <c r="B33" s="59" t="s">
        <v>307</v>
      </c>
      <c r="C33" s="59" t="s">
        <v>308</v>
      </c>
      <c r="D33" s="60"/>
      <c r="E33" s="61">
        <f>COUNTIF($Q33:$V33,10)</f>
        <v>3</v>
      </c>
      <c r="F33" s="62">
        <f>E33</f>
        <v>3</v>
      </c>
      <c r="G33" s="61">
        <f>COUNTIF($X33:$AC33,10)</f>
        <v>4</v>
      </c>
      <c r="H33" s="63">
        <f>G33</f>
        <v>4</v>
      </c>
      <c r="I33" s="60">
        <f>COUNTIF($AE33:$AJ33,10)</f>
        <v>2</v>
      </c>
      <c r="J33" s="63">
        <f>I33</f>
        <v>2</v>
      </c>
      <c r="K33" s="63"/>
      <c r="L33" s="61">
        <f>COUNTIF($X33:$AC33,10)+COUNTIFS($X33:$AC33,"&gt;=7",$X33:$AC33,"&lt;10")/2</f>
        <v>4</v>
      </c>
      <c r="M33" s="63" t="str">
        <f>_xlfn.CONCAT(COUNTIF($X33:$AC33,10)+COUNTIFS($X33:$AC33,"&gt;=7",$X33:$AC33,"&lt;10")/2,REPT("*",COUNTBLANK($X33:$AC33)))</f>
        <v>4</v>
      </c>
      <c r="N33" s="60">
        <v>3.5</v>
      </c>
      <c r="O33" s="60">
        <v>3.5</v>
      </c>
      <c r="P33" s="60"/>
      <c r="Q33" s="64">
        <f>IFERROR(GEOMEAN(X33,AE33), MAX(X33,AE33))</f>
        <v>10</v>
      </c>
      <c r="R33" s="64">
        <f>IFERROR(GEOMEAN(Y33,AF33), MAX(Y33,AF33))</f>
        <v>10</v>
      </c>
      <c r="S33" s="64">
        <f>IFERROR(GEOMEAN(Z33,AG33), MAX(Z33,AG33))</f>
        <v>7.6870611478580688</v>
      </c>
      <c r="T33" s="64">
        <f>IFERROR(GEOMEAN(AA33,AH33), MAX(AA33,AH33))</f>
        <v>10</v>
      </c>
      <c r="U33" s="64">
        <f>IFERROR(GEOMEAN(AB33,AI33), MAX(AB33,AI33))</f>
        <v>3.5</v>
      </c>
      <c r="V33" s="64">
        <f>IFERROR(GEOMEAN(AC33,AJ33), MAX(AC33,AJ33))</f>
        <v>15.946684649838472</v>
      </c>
      <c r="W33" s="61"/>
      <c r="X33" s="64">
        <f>[1]Health!F30</f>
        <v>10</v>
      </c>
      <c r="Y33" s="64">
        <f>'[1]Food Security'!F30</f>
        <v>10</v>
      </c>
      <c r="Z33" s="64">
        <f>'[1]Macro Fiscal'!F30</f>
        <v>10</v>
      </c>
      <c r="AA33" s="64">
        <f>'[1]Socioeconomic Vulnerability'!F30</f>
        <v>10</v>
      </c>
      <c r="AB33" s="64">
        <f>'[1]Natural Hazard'!F30</f>
        <v>3.5</v>
      </c>
      <c r="AC33" s="64">
        <f>'[1]Fragility and Conflict'!F30</f>
        <v>30</v>
      </c>
      <c r="AD33" s="61"/>
      <c r="AE33" s="64">
        <f>[1]Health!G30</f>
        <v>10</v>
      </c>
      <c r="AF33" s="64">
        <f>'[1]Food Security'!G30</f>
        <v>10</v>
      </c>
      <c r="AG33" s="64">
        <f>'[1]Macro Fiscal'!G30</f>
        <v>5.9090909090909003</v>
      </c>
      <c r="AH33" s="64">
        <f>'[1]Socioeconomic Vulnerability'!G30</f>
        <v>0</v>
      </c>
      <c r="AI33" s="64">
        <f>'[1]Natural Hazard'!G30</f>
        <v>0</v>
      </c>
      <c r="AJ33" s="64">
        <f>'[1]Fragility and Conflict'!G30</f>
        <v>8.4765583773797992</v>
      </c>
      <c r="AK33" s="60"/>
      <c r="AL33" s="66">
        <v>0</v>
      </c>
      <c r="AM33" s="66">
        <v>0.4</v>
      </c>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0"/>
      <c r="BM33" s="60"/>
      <c r="BN33" s="60"/>
      <c r="BO33" s="60"/>
      <c r="BP33" s="60"/>
      <c r="BQ33" s="60"/>
      <c r="BR33" s="60"/>
      <c r="BS33" s="60"/>
      <c r="BT33" s="60"/>
      <c r="BU33" s="60"/>
    </row>
    <row r="34" spans="1:73" s="67" customFormat="1" x14ac:dyDescent="0.2">
      <c r="A34" s="58">
        <v>29</v>
      </c>
      <c r="B34" s="59" t="s">
        <v>314</v>
      </c>
      <c r="C34" s="59" t="s">
        <v>315</v>
      </c>
      <c r="D34" s="60"/>
      <c r="E34" s="61">
        <f>COUNTIF($Q34:$V34,10)</f>
        <v>0</v>
      </c>
      <c r="F34" s="62">
        <f>E34</f>
        <v>0</v>
      </c>
      <c r="G34" s="61">
        <f>COUNTIF($X34:$AC34,10)</f>
        <v>0</v>
      </c>
      <c r="H34" s="63">
        <f>G34</f>
        <v>0</v>
      </c>
      <c r="I34" s="60">
        <f>COUNTIF($AE34:$AJ34,10)</f>
        <v>0</v>
      </c>
      <c r="J34" s="63">
        <f>I34</f>
        <v>0</v>
      </c>
      <c r="K34" s="63"/>
      <c r="L34" s="61">
        <f>COUNTIF($X34:$AC34,10)+COUNTIFS($X34:$AC34,"&gt;=7",$X34:$AC34,"&lt;10")/2</f>
        <v>0.5</v>
      </c>
      <c r="M34" s="63" t="str">
        <f>_xlfn.CONCAT(COUNTIF($X34:$AC34,10)+COUNTIFS($X34:$AC34,"&gt;=7",$X34:$AC34,"&lt;10")/2,REPT("*",COUNTBLANK($X34:$AC34)))</f>
        <v>0.5</v>
      </c>
      <c r="N34" s="60">
        <v>1</v>
      </c>
      <c r="O34" s="60">
        <v>1</v>
      </c>
      <c r="P34" s="60"/>
      <c r="Q34" s="64">
        <v>0</v>
      </c>
      <c r="R34" s="64">
        <v>0.83732057416267802</v>
      </c>
      <c r="S34" s="64">
        <v>1.6510318949343299</v>
      </c>
      <c r="T34" s="64">
        <v>0.57142857142857095</v>
      </c>
      <c r="U34" s="64">
        <v>8.5883395521711492</v>
      </c>
      <c r="V34" s="64">
        <v>2.0777777777777802</v>
      </c>
      <c r="W34" s="61"/>
      <c r="X34" s="64">
        <f>[1]Health!F31</f>
        <v>0</v>
      </c>
      <c r="Y34" s="64">
        <f>'[1]Food Security'!F31</f>
        <v>0.83732057416267802</v>
      </c>
      <c r="Z34" s="64">
        <f>'[1]Macro Fiscal'!F31</f>
        <v>0.34710743801652899</v>
      </c>
      <c r="AA34" s="64">
        <f>'[1]Socioeconomic Vulnerability'!F31</f>
        <v>7</v>
      </c>
      <c r="AB34" s="64">
        <f>'[1]Natural Hazard'!F31</f>
        <v>5.6666666666666696</v>
      </c>
      <c r="AC34" s="64">
        <f>'[1]Fragility and Conflict'!F31</f>
        <v>31</v>
      </c>
      <c r="AD34" s="61"/>
      <c r="AE34" s="64">
        <f>[1]Health!G31</f>
        <v>4.7619047619047397</v>
      </c>
      <c r="AF34" s="64">
        <f>'[1]Food Security'!G31</f>
        <v>3</v>
      </c>
      <c r="AG34" s="64">
        <f>'[1]Macro Fiscal'!G31</f>
        <v>5.2272727272727204</v>
      </c>
      <c r="AH34" s="64">
        <f>'[1]Socioeconomic Vulnerability'!G31</f>
        <v>0</v>
      </c>
      <c r="AI34" s="64">
        <f>'[1]Natural Hazard'!G31</f>
        <v>0</v>
      </c>
      <c r="AJ34" s="64">
        <f>'[1]Fragility and Conflict'!G31</f>
        <v>0</v>
      </c>
      <c r="AK34" s="60"/>
      <c r="AL34" s="66">
        <v>0</v>
      </c>
      <c r="AM34" s="66">
        <v>0.5</v>
      </c>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c r="BM34" s="60"/>
      <c r="BN34" s="60"/>
      <c r="BO34" s="60"/>
      <c r="BP34" s="60"/>
      <c r="BQ34" s="60"/>
      <c r="BR34" s="60"/>
      <c r="BS34" s="60"/>
      <c r="BT34" s="60"/>
      <c r="BU34" s="60"/>
    </row>
    <row r="35" spans="1:73" s="67" customFormat="1" x14ac:dyDescent="0.2">
      <c r="A35" s="58">
        <v>30</v>
      </c>
      <c r="B35" s="59" t="s">
        <v>320</v>
      </c>
      <c r="C35" s="59" t="s">
        <v>321</v>
      </c>
      <c r="D35" s="60"/>
      <c r="E35" s="61">
        <f>COUNTIF($Q35:$V35,10)</f>
        <v>0</v>
      </c>
      <c r="F35" s="62">
        <f>E35</f>
        <v>0</v>
      </c>
      <c r="G35" s="61">
        <f>COUNTIF($X35:$AC35,10)</f>
        <v>0</v>
      </c>
      <c r="H35" s="63">
        <f>G35</f>
        <v>0</v>
      </c>
      <c r="I35" s="60">
        <f>COUNTIF($AE35:$AJ35,10)</f>
        <v>0</v>
      </c>
      <c r="J35" s="63">
        <f>I35</f>
        <v>0</v>
      </c>
      <c r="K35" s="63"/>
      <c r="L35" s="61">
        <f>COUNTIF($X35:$AC35,10)+COUNTIFS($X35:$AC35,"&gt;=7",$X35:$AC35,"&lt;10")/2</f>
        <v>0</v>
      </c>
      <c r="M35" s="63" t="str">
        <f>_xlfn.CONCAT(COUNTIF($X35:$AC35,10)+COUNTIFS($X35:$AC35,"&gt;=7",$X35:$AC35,"&lt;10")/2,REPT("*",COUNTBLANK($X35:$AC35)))</f>
        <v>0</v>
      </c>
      <c r="N35" s="60">
        <v>0.5</v>
      </c>
      <c r="O35" s="60">
        <v>0.5</v>
      </c>
      <c r="P35" s="60"/>
      <c r="Q35" s="64">
        <v>0.60000000000000098</v>
      </c>
      <c r="R35" s="64">
        <v>0</v>
      </c>
      <c r="S35" s="64">
        <v>0</v>
      </c>
      <c r="T35" s="64">
        <v>0.42857142857142899</v>
      </c>
      <c r="U35" s="64">
        <v>7.5560469525470202</v>
      </c>
      <c r="V35" s="64">
        <v>1.9</v>
      </c>
      <c r="W35" s="61"/>
      <c r="X35" s="64">
        <f>[1]Health!F32</f>
        <v>0.60000000000000098</v>
      </c>
      <c r="Y35" s="64">
        <f>'[1]Food Security'!F32</f>
        <v>0</v>
      </c>
      <c r="Z35" s="64">
        <f>'[1]Macro Fiscal'!F32</f>
        <v>0</v>
      </c>
      <c r="AA35" s="64">
        <f>'[1]Socioeconomic Vulnerability'!F32</f>
        <v>0</v>
      </c>
      <c r="AB35" s="64">
        <f>'[1]Natural Hazard'!F32</f>
        <v>2.1666666666666701</v>
      </c>
      <c r="AC35" s="64">
        <f>'[1]Fragility and Conflict'!F32</f>
        <v>32</v>
      </c>
      <c r="AD35" s="61"/>
      <c r="AE35" s="64">
        <f>[1]Health!G32</f>
        <v>4.6535200000000003</v>
      </c>
      <c r="AF35" s="64">
        <f>'[1]Food Security'!G32</f>
        <v>1</v>
      </c>
      <c r="AG35" s="64">
        <f>'[1]Macro Fiscal'!G32</f>
        <v>0</v>
      </c>
      <c r="AH35" s="64">
        <f>'[1]Socioeconomic Vulnerability'!G32</f>
        <v>0</v>
      </c>
      <c r="AI35" s="64">
        <f>'[1]Natural Hazard'!G32</f>
        <v>0</v>
      </c>
      <c r="AJ35" s="64">
        <f>'[1]Fragility and Conflict'!G32</f>
        <v>0</v>
      </c>
      <c r="AK35" s="60"/>
      <c r="AL35" s="66">
        <v>0</v>
      </c>
      <c r="AM35" s="66">
        <v>0.4</v>
      </c>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c r="BQ35" s="60"/>
      <c r="BR35" s="60"/>
      <c r="BS35" s="60"/>
      <c r="BT35" s="60"/>
      <c r="BU35" s="60"/>
    </row>
    <row r="36" spans="1:73" s="67" customFormat="1" x14ac:dyDescent="0.2">
      <c r="A36" s="58">
        <v>31</v>
      </c>
      <c r="B36" s="59" t="s">
        <v>325</v>
      </c>
      <c r="C36" s="59" t="s">
        <v>326</v>
      </c>
      <c r="D36" s="60"/>
      <c r="E36" s="61">
        <f>COUNTIF($Q36:$V36,10)</f>
        <v>0</v>
      </c>
      <c r="F36" s="62">
        <f>E36</f>
        <v>0</v>
      </c>
      <c r="G36" s="61">
        <f>COUNTIF($X36:$AC36,10)</f>
        <v>0</v>
      </c>
      <c r="H36" s="63">
        <f>G36</f>
        <v>0</v>
      </c>
      <c r="I36" s="60">
        <f>COUNTIF($AE36:$AJ36,10)</f>
        <v>1</v>
      </c>
      <c r="J36" s="63">
        <f>I36</f>
        <v>1</v>
      </c>
      <c r="K36" s="63"/>
      <c r="L36" s="61">
        <f>COUNTIF($X36:$AC36,10)+COUNTIFS($X36:$AC36,"&gt;=7",$X36:$AC36,"&lt;10")/2</f>
        <v>1</v>
      </c>
      <c r="M36" s="63" t="str">
        <f>_xlfn.CONCAT(COUNTIF($X36:$AC36,10)+COUNTIFS($X36:$AC36,"&gt;=7",$X36:$AC36,"&lt;10")/2,REPT("*",COUNTBLANK($X36:$AC36)))</f>
        <v>1</v>
      </c>
      <c r="N36" s="60">
        <v>2.5</v>
      </c>
      <c r="O36" s="60">
        <v>2.5</v>
      </c>
      <c r="P36" s="60"/>
      <c r="Q36" s="64">
        <v>2.5</v>
      </c>
      <c r="R36" s="64">
        <v>3.42105263157895</v>
      </c>
      <c r="S36" s="64">
        <v>2.66416510318949</v>
      </c>
      <c r="T36" s="64">
        <v>2.4285714285714302</v>
      </c>
      <c r="U36" s="64">
        <v>9.7164165786307404</v>
      </c>
      <c r="V36" s="64">
        <v>4.7222222222222197</v>
      </c>
      <c r="W36" s="61"/>
      <c r="X36" s="64">
        <f>[1]Health!F33</f>
        <v>2.5</v>
      </c>
      <c r="Y36" s="64">
        <f>'[1]Food Security'!F33</f>
        <v>3.42105263157895</v>
      </c>
      <c r="Z36" s="64">
        <f>'[1]Macro Fiscal'!F33</f>
        <v>1.8181818181818199</v>
      </c>
      <c r="AA36" s="64">
        <f>'[1]Socioeconomic Vulnerability'!F33</f>
        <v>7</v>
      </c>
      <c r="AB36" s="64">
        <f>'[1]Natural Hazard'!F33</f>
        <v>8.6666666666666696</v>
      </c>
      <c r="AC36" s="64">
        <f>'[1]Fragility and Conflict'!F33</f>
        <v>33</v>
      </c>
      <c r="AD36" s="61"/>
      <c r="AE36" s="64">
        <f>[1]Health!G33</f>
        <v>10</v>
      </c>
      <c r="AF36" s="64">
        <f>'[1]Food Security'!G33</f>
        <v>5</v>
      </c>
      <c r="AG36" s="64">
        <f>'[1]Macro Fiscal'!G33</f>
        <v>5</v>
      </c>
      <c r="AH36" s="64">
        <f>'[1]Socioeconomic Vulnerability'!G33</f>
        <v>0</v>
      </c>
      <c r="AI36" s="64">
        <f>'[1]Natural Hazard'!G33</f>
        <v>0</v>
      </c>
      <c r="AJ36" s="64">
        <f>'[1]Fragility and Conflict'!G33</f>
        <v>0</v>
      </c>
      <c r="AK36" s="60"/>
      <c r="AL36" s="66">
        <v>0</v>
      </c>
      <c r="AM36" s="66">
        <v>0.2</v>
      </c>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0"/>
      <c r="BM36" s="60"/>
      <c r="BN36" s="60"/>
      <c r="BO36" s="60"/>
      <c r="BP36" s="60"/>
      <c r="BQ36" s="60"/>
      <c r="BR36" s="60"/>
      <c r="BS36" s="60"/>
      <c r="BT36" s="60"/>
      <c r="BU36" s="60"/>
    </row>
    <row r="37" spans="1:73" s="67" customFormat="1" x14ac:dyDescent="0.2">
      <c r="A37" s="58">
        <v>32</v>
      </c>
      <c r="B37" s="59" t="s">
        <v>331</v>
      </c>
      <c r="C37" s="59" t="s">
        <v>332</v>
      </c>
      <c r="D37" s="60"/>
      <c r="E37" s="61">
        <f>COUNTIF($Q37:$V37,10)</f>
        <v>1</v>
      </c>
      <c r="F37" s="62">
        <f>E37</f>
        <v>1</v>
      </c>
      <c r="G37" s="61">
        <f>COUNTIF($X37:$AC37,10)</f>
        <v>1</v>
      </c>
      <c r="H37" s="63">
        <f>G37</f>
        <v>1</v>
      </c>
      <c r="I37" s="60">
        <f>COUNTIF($AE37:$AJ37,10)</f>
        <v>1</v>
      </c>
      <c r="J37" s="63">
        <f>I37</f>
        <v>1</v>
      </c>
      <c r="K37" s="63"/>
      <c r="L37" s="61">
        <f>COUNTIF($X37:$AC37,10)+COUNTIFS($X37:$AC37,"&gt;=7",$X37:$AC37,"&lt;10")/2</f>
        <v>1</v>
      </c>
      <c r="M37" s="63" t="str">
        <f>_xlfn.CONCAT(COUNTIF($X37:$AC37,10)+COUNTIFS($X37:$AC37,"&gt;=7",$X37:$AC37,"&lt;10")/2,REPT("*",COUNTBLANK($X37:$AC37)))</f>
        <v>1</v>
      </c>
      <c r="N37" s="60">
        <v>2</v>
      </c>
      <c r="O37" s="60">
        <v>2</v>
      </c>
      <c r="P37" s="60"/>
      <c r="Q37" s="64">
        <v>4.3600000000000003</v>
      </c>
      <c r="R37" s="64">
        <v>2.9186602870813401</v>
      </c>
      <c r="S37" s="64">
        <v>2.77673545966229</v>
      </c>
      <c r="T37" s="64">
        <v>3.71428571428571</v>
      </c>
      <c r="U37" s="64">
        <v>10</v>
      </c>
      <c r="V37" s="64">
        <v>7.7666666666666702</v>
      </c>
      <c r="W37" s="61"/>
      <c r="X37" s="64">
        <f>[1]Health!F34</f>
        <v>4.3600000000000003</v>
      </c>
      <c r="Y37" s="64">
        <f>'[1]Food Security'!F34</f>
        <v>2.9186602870813401</v>
      </c>
      <c r="Z37" s="64">
        <f>'[1]Macro Fiscal'!F34</f>
        <v>5.4214876033057902</v>
      </c>
      <c r="AA37" s="64">
        <f>'[1]Socioeconomic Vulnerability'!F34</f>
        <v>0</v>
      </c>
      <c r="AB37" s="64">
        <f>'[1]Natural Hazard'!F34</f>
        <v>10</v>
      </c>
      <c r="AC37" s="64">
        <f>'[1]Fragility and Conflict'!F34</f>
        <v>34</v>
      </c>
      <c r="AD37" s="61"/>
      <c r="AE37" s="64">
        <f>[1]Health!G34</f>
        <v>10</v>
      </c>
      <c r="AF37" s="64">
        <f>'[1]Food Security'!G34</f>
        <v>5</v>
      </c>
      <c r="AG37" s="64">
        <f>'[1]Macro Fiscal'!G34</f>
        <v>0</v>
      </c>
      <c r="AH37" s="64">
        <f>'[1]Socioeconomic Vulnerability'!G34</f>
        <v>0</v>
      </c>
      <c r="AI37" s="64">
        <f>'[1]Natural Hazard'!G34</f>
        <v>0</v>
      </c>
      <c r="AJ37" s="64">
        <f>'[1]Fragility and Conflict'!G34</f>
        <v>0</v>
      </c>
      <c r="AK37" s="60"/>
      <c r="AL37" s="66">
        <v>0</v>
      </c>
      <c r="AM37" s="66">
        <v>0.2</v>
      </c>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0"/>
      <c r="BM37" s="60"/>
      <c r="BN37" s="60"/>
      <c r="BO37" s="60"/>
      <c r="BP37" s="60"/>
      <c r="BQ37" s="60"/>
      <c r="BR37" s="60"/>
      <c r="BS37" s="60"/>
      <c r="BT37" s="60"/>
      <c r="BU37" s="60"/>
    </row>
    <row r="38" spans="1:73" s="67" customFormat="1" x14ac:dyDescent="0.2">
      <c r="A38" s="58">
        <v>33</v>
      </c>
      <c r="B38" s="59" t="s">
        <v>337</v>
      </c>
      <c r="C38" s="59" t="s">
        <v>338</v>
      </c>
      <c r="D38" s="60"/>
      <c r="E38" s="61">
        <f>COUNTIF($Q38:$V38,10)</f>
        <v>0</v>
      </c>
      <c r="F38" s="62">
        <f>E38</f>
        <v>0</v>
      </c>
      <c r="G38" s="61">
        <f>COUNTIF($X38:$AC38,10)</f>
        <v>0</v>
      </c>
      <c r="H38" s="63">
        <f>G38</f>
        <v>0</v>
      </c>
      <c r="I38" s="60">
        <f>COUNTIF($AE38:$AJ38,10)</f>
        <v>0</v>
      </c>
      <c r="J38" s="63">
        <f>I38</f>
        <v>0</v>
      </c>
      <c r="K38" s="63"/>
      <c r="L38" s="61">
        <f>COUNTIF($X38:$AC38,10)+COUNTIFS($X38:$AC38,"&gt;=7",$X38:$AC38,"&lt;10")/2</f>
        <v>1</v>
      </c>
      <c r="M38" s="63" t="str">
        <f>_xlfn.CONCAT(COUNTIF($X38:$AC38,10)+COUNTIFS($X38:$AC38,"&gt;=7",$X38:$AC38,"&lt;10")/2,REPT("*",COUNTBLANK($X38:$AC38)))</f>
        <v>1</v>
      </c>
      <c r="N38" s="60">
        <v>1.5</v>
      </c>
      <c r="O38" s="60">
        <v>1.5</v>
      </c>
      <c r="P38" s="60"/>
      <c r="Q38" s="64">
        <v>9</v>
      </c>
      <c r="R38" s="64">
        <v>7.2966507177033497</v>
      </c>
      <c r="S38" s="64">
        <v>7.7298311444652903</v>
      </c>
      <c r="T38" s="64">
        <v>8.5714285714285694</v>
      </c>
      <c r="U38" s="64">
        <v>7.1174890712645604</v>
      </c>
      <c r="V38" s="64">
        <v>9.9666666666666703</v>
      </c>
      <c r="W38" s="61"/>
      <c r="X38" s="64">
        <f>[1]Health!F35</f>
        <v>9</v>
      </c>
      <c r="Y38" s="64">
        <f>'[1]Food Security'!F35</f>
        <v>7.2966507177033497</v>
      </c>
      <c r="Z38" s="64">
        <f>'[1]Macro Fiscal'!F35</f>
        <v>6.9090909090909101</v>
      </c>
      <c r="AA38" s="64">
        <f>'[1]Socioeconomic Vulnerability'!F35</f>
        <v>0</v>
      </c>
      <c r="AB38" s="64">
        <f>'[1]Natural Hazard'!F35</f>
        <v>4.6666666666666696</v>
      </c>
      <c r="AC38" s="64">
        <f>'[1]Fragility and Conflict'!F35</f>
        <v>35</v>
      </c>
      <c r="AD38" s="61"/>
      <c r="AE38" s="64">
        <f>[1]Health!G35</f>
        <v>6.1538461538461497</v>
      </c>
      <c r="AF38" s="64">
        <f>'[1]Food Security'!G35</f>
        <v>3</v>
      </c>
      <c r="AG38" s="64">
        <f>'[1]Macro Fiscal'!G35</f>
        <v>5</v>
      </c>
      <c r="AH38" s="64">
        <f>'[1]Socioeconomic Vulnerability'!G35</f>
        <v>0</v>
      </c>
      <c r="AI38" s="64">
        <f>'[1]Natural Hazard'!G35</f>
        <v>0</v>
      </c>
      <c r="AJ38" s="64">
        <f>'[1]Fragility and Conflict'!G35</f>
        <v>0</v>
      </c>
      <c r="AK38" s="60"/>
      <c r="AL38" s="66">
        <v>0</v>
      </c>
      <c r="AM38" s="66">
        <v>0.3</v>
      </c>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0"/>
      <c r="BM38" s="60"/>
      <c r="BN38" s="60"/>
      <c r="BO38" s="60"/>
      <c r="BP38" s="60"/>
      <c r="BQ38" s="60"/>
      <c r="BR38" s="60"/>
      <c r="BS38" s="60"/>
      <c r="BT38" s="60"/>
      <c r="BU38" s="60"/>
    </row>
    <row r="39" spans="1:73" s="67" customFormat="1" x14ac:dyDescent="0.2">
      <c r="A39" s="58">
        <v>34</v>
      </c>
      <c r="B39" s="59" t="s">
        <v>343</v>
      </c>
      <c r="C39" s="59" t="s">
        <v>344</v>
      </c>
      <c r="D39" s="60"/>
      <c r="E39" s="61">
        <f>COUNTIF($Q39:$V39,10)</f>
        <v>2</v>
      </c>
      <c r="F39" s="62">
        <f>E39</f>
        <v>2</v>
      </c>
      <c r="G39" s="61">
        <f>COUNTIF($X39:$AC39,10)</f>
        <v>0</v>
      </c>
      <c r="H39" s="63">
        <f>G39</f>
        <v>0</v>
      </c>
      <c r="I39" s="60">
        <f>COUNTIF($AE39:$AJ39,10)</f>
        <v>3</v>
      </c>
      <c r="J39" s="63">
        <f>I39</f>
        <v>3</v>
      </c>
      <c r="K39" s="63"/>
      <c r="L39" s="61">
        <f>COUNTIF($X39:$AC39,10)+COUNTIFS($X39:$AC39,"&gt;=7",$X39:$AC39,"&lt;10")/2</f>
        <v>1.5</v>
      </c>
      <c r="M39" s="63" t="str">
        <f>_xlfn.CONCAT(COUNTIF($X39:$AC39,10)+COUNTIFS($X39:$AC39,"&gt;=7",$X39:$AC39,"&lt;10")/2,REPT("*",COUNTBLANK($X39:$AC39)))</f>
        <v>1.5</v>
      </c>
      <c r="N39" s="60">
        <v>2</v>
      </c>
      <c r="O39" s="60">
        <v>2</v>
      </c>
      <c r="P39" s="60"/>
      <c r="Q39" s="64">
        <v>9.25</v>
      </c>
      <c r="R39" s="64">
        <v>8.1339712918660307</v>
      </c>
      <c r="S39" s="64">
        <v>10</v>
      </c>
      <c r="T39" s="64">
        <v>8.4285714285714306</v>
      </c>
      <c r="U39" s="64">
        <v>8.7055056329612395</v>
      </c>
      <c r="V39" s="64">
        <v>10</v>
      </c>
      <c r="W39" s="61"/>
      <c r="X39" s="64">
        <f>[1]Health!F36</f>
        <v>9.25</v>
      </c>
      <c r="Y39" s="64">
        <f>'[1]Food Security'!F36</f>
        <v>8.1339712918660307</v>
      </c>
      <c r="Z39" s="64">
        <f>'[1]Macro Fiscal'!F36</f>
        <v>8.7603305785124004</v>
      </c>
      <c r="AA39" s="64">
        <f>'[1]Socioeconomic Vulnerability'!F36</f>
        <v>0</v>
      </c>
      <c r="AB39" s="64">
        <f>'[1]Natural Hazard'!F36</f>
        <v>4.3333333333333304</v>
      </c>
      <c r="AC39" s="64">
        <f>'[1]Fragility and Conflict'!F36</f>
        <v>36</v>
      </c>
      <c r="AD39" s="61"/>
      <c r="AE39" s="64">
        <f>[1]Health!G36</f>
        <v>10</v>
      </c>
      <c r="AF39" s="64">
        <f>'[1]Food Security'!G36</f>
        <v>10</v>
      </c>
      <c r="AG39" s="64">
        <f>'[1]Macro Fiscal'!G36</f>
        <v>4.5454545454545503</v>
      </c>
      <c r="AH39" s="64">
        <f>'[1]Socioeconomic Vulnerability'!G36</f>
        <v>0</v>
      </c>
      <c r="AI39" s="64">
        <f>'[1]Natural Hazard'!G36</f>
        <v>0</v>
      </c>
      <c r="AJ39" s="64">
        <f>'[1]Fragility and Conflict'!G36</f>
        <v>10</v>
      </c>
      <c r="AK39" s="60"/>
      <c r="AL39" s="66">
        <v>0</v>
      </c>
      <c r="AM39" s="66">
        <v>0.4</v>
      </c>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row>
    <row r="40" spans="1:73" s="67" customFormat="1" x14ac:dyDescent="0.2">
      <c r="A40" s="58">
        <v>35</v>
      </c>
      <c r="B40" s="59" t="s">
        <v>352</v>
      </c>
      <c r="C40" s="59" t="s">
        <v>353</v>
      </c>
      <c r="D40" s="60"/>
      <c r="E40" s="61">
        <f>COUNTIF($Q40:$V40,10)</f>
        <v>2</v>
      </c>
      <c r="F40" s="62">
        <f>E40</f>
        <v>2</v>
      </c>
      <c r="G40" s="61">
        <f>COUNTIF($X40:$AC40,10)</f>
        <v>3</v>
      </c>
      <c r="H40" s="63">
        <f>G40</f>
        <v>3</v>
      </c>
      <c r="I40" s="60">
        <f>COUNTIF($AE40:$AJ40,10)</f>
        <v>3</v>
      </c>
      <c r="J40" s="63">
        <f>I40</f>
        <v>3</v>
      </c>
      <c r="K40" s="63"/>
      <c r="L40" s="61">
        <f>COUNTIF($X40:$AC40,10)+COUNTIFS($X40:$AC40,"&gt;=7",$X40:$AC40,"&lt;10")/2</f>
        <v>3</v>
      </c>
      <c r="M40" s="63" t="str">
        <f>_xlfn.CONCAT(COUNTIF($X40:$AC40,10)+COUNTIFS($X40:$AC40,"&gt;=7",$X40:$AC40,"&lt;10")/2,REPT("*",COUNTBLANK($X40:$AC40)))</f>
        <v>3</v>
      </c>
      <c r="N40" s="60">
        <v>5</v>
      </c>
      <c r="O40" s="60">
        <v>5</v>
      </c>
      <c r="P40" s="60"/>
      <c r="Q40" s="64">
        <f>IFERROR(GEOMEAN(X40,AE40), MAX(X40,AE40))</f>
        <v>10</v>
      </c>
      <c r="R40" s="64">
        <f>IFERROR(GEOMEAN(Y40,AF40), MAX(Y40,AF40))</f>
        <v>10</v>
      </c>
      <c r="S40" s="64">
        <f>IFERROR(GEOMEAN(Z40,AG40), MAX(Z40,AG40))</f>
        <v>7.6870611478580688</v>
      </c>
      <c r="T40" s="64">
        <f>IFERROR(GEOMEAN(AA40,AH40), MAX(AA40,AH40))</f>
        <v>0</v>
      </c>
      <c r="U40" s="64">
        <f>IFERROR(GEOMEAN(AB40,AI40), MAX(AB40,AI40))</f>
        <v>5.8333333333333304</v>
      </c>
      <c r="V40" s="64">
        <f>IFERROR(GEOMEAN(AC40,AJ40), MAX(AC40,AJ40))</f>
        <v>19.235384061671343</v>
      </c>
      <c r="W40" s="61"/>
      <c r="X40" s="64">
        <f>[1]Health!F37</f>
        <v>10</v>
      </c>
      <c r="Y40" s="64">
        <f>'[1]Food Security'!F37</f>
        <v>10</v>
      </c>
      <c r="Z40" s="64">
        <f>'[1]Macro Fiscal'!F37</f>
        <v>10</v>
      </c>
      <c r="AA40" s="64">
        <f>'[1]Socioeconomic Vulnerability'!F37</f>
        <v>0</v>
      </c>
      <c r="AB40" s="64">
        <f>'[1]Natural Hazard'!F37</f>
        <v>5.8333333333333304</v>
      </c>
      <c r="AC40" s="64">
        <f>'[1]Fragility and Conflict'!F37</f>
        <v>37</v>
      </c>
      <c r="AD40" s="61"/>
      <c r="AE40" s="64">
        <f>[1]Health!G37</f>
        <v>10</v>
      </c>
      <c r="AF40" s="64">
        <f>'[1]Food Security'!G37</f>
        <v>10</v>
      </c>
      <c r="AG40" s="64">
        <f>'[1]Macro Fiscal'!G37</f>
        <v>5.9090909090909003</v>
      </c>
      <c r="AH40" s="64">
        <f>'[1]Socioeconomic Vulnerability'!G37</f>
        <v>0</v>
      </c>
      <c r="AI40" s="64">
        <f>'[1]Natural Hazard'!G37</f>
        <v>0</v>
      </c>
      <c r="AJ40" s="64">
        <f>'[1]Fragility and Conflict'!G37</f>
        <v>10</v>
      </c>
      <c r="AK40" s="60"/>
      <c r="AL40" s="66">
        <v>0</v>
      </c>
      <c r="AM40" s="66">
        <v>0.2</v>
      </c>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0"/>
      <c r="BM40" s="60"/>
      <c r="BN40" s="60"/>
      <c r="BO40" s="60"/>
      <c r="BP40" s="60"/>
      <c r="BQ40" s="60"/>
      <c r="BR40" s="60"/>
      <c r="BS40" s="60"/>
      <c r="BT40" s="60"/>
      <c r="BU40" s="60"/>
    </row>
    <row r="41" spans="1:73" s="67" customFormat="1" x14ac:dyDescent="0.2">
      <c r="A41" s="58">
        <v>36</v>
      </c>
      <c r="B41" s="59" t="s">
        <v>360</v>
      </c>
      <c r="C41" s="59" t="s">
        <v>361</v>
      </c>
      <c r="D41" s="60"/>
      <c r="E41" s="61">
        <f>COUNTIF($Q41:$V41,10)</f>
        <v>1</v>
      </c>
      <c r="F41" s="62">
        <f>E41</f>
        <v>1</v>
      </c>
      <c r="G41" s="61">
        <f>COUNTIF($X41:$AC41,10)</f>
        <v>1</v>
      </c>
      <c r="H41" s="63">
        <f>G41</f>
        <v>1</v>
      </c>
      <c r="I41" s="60">
        <f>COUNTIF($AE41:$AJ41,10)</f>
        <v>2</v>
      </c>
      <c r="J41" s="63">
        <f>I41</f>
        <v>2</v>
      </c>
      <c r="K41" s="63"/>
      <c r="L41" s="61">
        <f>COUNTIF($X41:$AC41,10)+COUNTIFS($X41:$AC41,"&gt;=7",$X41:$AC41,"&lt;10")/2</f>
        <v>2</v>
      </c>
      <c r="M41" s="63" t="str">
        <f>_xlfn.CONCAT(COUNTIF($X41:$AC41,10)+COUNTIFS($X41:$AC41,"&gt;=7",$X41:$AC41,"&lt;10")/2,REPT("*",COUNTBLANK($X41:$AC41)))</f>
        <v>2</v>
      </c>
      <c r="N41" s="60">
        <v>2</v>
      </c>
      <c r="O41" s="60">
        <v>2</v>
      </c>
      <c r="P41" s="60"/>
      <c r="Q41" s="64">
        <f>IFERROR(GEOMEAN(X41,AE41), MAX(X41,AE41))</f>
        <v>9.633275663033837</v>
      </c>
      <c r="R41" s="64">
        <f>IFERROR(GEOMEAN(Y41,AF41), MAX(Y41,AF41))</f>
        <v>10</v>
      </c>
      <c r="S41" s="64">
        <f>IFERROR(GEOMEAN(Z41,AG41), MAX(Z41,AG41))</f>
        <v>7.6404947503452041</v>
      </c>
      <c r="T41" s="64">
        <f>IFERROR(GEOMEAN(AA41,AH41), MAX(AA41,AH41))</f>
        <v>0</v>
      </c>
      <c r="U41" s="64">
        <f>IFERROR(GEOMEAN(AB41,AI41), MAX(AB41,AI41))</f>
        <v>4.8333333333333304</v>
      </c>
      <c r="V41" s="64">
        <f>IFERROR(GEOMEAN(AC41,AJ41), MAX(AC41,AJ41))</f>
        <v>19.493588689617926</v>
      </c>
      <c r="W41" s="61"/>
      <c r="X41" s="64">
        <f>[1]Health!F38</f>
        <v>9.2799999999999994</v>
      </c>
      <c r="Y41" s="64">
        <f>'[1]Food Security'!F38</f>
        <v>10</v>
      </c>
      <c r="Z41" s="64">
        <f>'[1]Macro Fiscal'!F38</f>
        <v>9.1735537190082592</v>
      </c>
      <c r="AA41" s="64">
        <f>'[1]Socioeconomic Vulnerability'!F38</f>
        <v>0</v>
      </c>
      <c r="AB41" s="64">
        <f>'[1]Natural Hazard'!F38</f>
        <v>4.8333333333333304</v>
      </c>
      <c r="AC41" s="64">
        <f>'[1]Fragility and Conflict'!F38</f>
        <v>38</v>
      </c>
      <c r="AD41" s="61"/>
      <c r="AE41" s="64">
        <f>[1]Health!G38</f>
        <v>10</v>
      </c>
      <c r="AF41" s="64">
        <f>'[1]Food Security'!G38</f>
        <v>0</v>
      </c>
      <c r="AG41" s="64">
        <f>'[1]Macro Fiscal'!G38</f>
        <v>6.3636363636363704</v>
      </c>
      <c r="AH41" s="64">
        <f>'[1]Socioeconomic Vulnerability'!G38</f>
        <v>0</v>
      </c>
      <c r="AI41" s="64">
        <f>'[1]Natural Hazard'!G38</f>
        <v>0</v>
      </c>
      <c r="AJ41" s="64">
        <f>'[1]Fragility and Conflict'!G38</f>
        <v>10</v>
      </c>
      <c r="AK41" s="60"/>
      <c r="AL41" s="66">
        <v>0</v>
      </c>
      <c r="AM41" s="66">
        <v>0.4</v>
      </c>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0"/>
      <c r="BM41" s="60"/>
      <c r="BN41" s="60"/>
      <c r="BO41" s="60"/>
      <c r="BP41" s="60"/>
      <c r="BQ41" s="60"/>
      <c r="BR41" s="60"/>
      <c r="BS41" s="60"/>
      <c r="BT41" s="60"/>
      <c r="BU41" s="60"/>
    </row>
    <row r="42" spans="1:73" s="67" customFormat="1" x14ac:dyDescent="0.2">
      <c r="A42" s="58">
        <v>37</v>
      </c>
      <c r="B42" s="59" t="s">
        <v>365</v>
      </c>
      <c r="C42" s="59" t="s">
        <v>366</v>
      </c>
      <c r="D42" s="60"/>
      <c r="E42" s="61">
        <f>COUNTIF($Q42:$V42,10)</f>
        <v>0</v>
      </c>
      <c r="F42" s="62">
        <f>E42</f>
        <v>0</v>
      </c>
      <c r="G42" s="61">
        <f>COUNTIF($X42:$AC42,10)</f>
        <v>0</v>
      </c>
      <c r="H42" s="63">
        <f>G42</f>
        <v>0</v>
      </c>
      <c r="I42" s="60">
        <f>COUNTIF($AE42:$AJ42,10)</f>
        <v>0</v>
      </c>
      <c r="J42" s="63">
        <f>I42</f>
        <v>0</v>
      </c>
      <c r="K42" s="63"/>
      <c r="L42" s="61">
        <f>COUNTIF($X42:$AC42,10)+COUNTIFS($X42:$AC42,"&gt;=7",$X42:$AC42,"&lt;10")/2</f>
        <v>1</v>
      </c>
      <c r="M42" s="63" t="str">
        <f>_xlfn.CONCAT(COUNTIF($X42:$AC42,10)+COUNTIFS($X42:$AC42,"&gt;=7",$X42:$AC42,"&lt;10")/2,REPT("*",COUNTBLANK($X42:$AC42)))</f>
        <v>1</v>
      </c>
      <c r="N42" s="60">
        <v>3</v>
      </c>
      <c r="O42" s="60">
        <v>3</v>
      </c>
      <c r="P42" s="60"/>
      <c r="Q42" s="64">
        <v>5.75</v>
      </c>
      <c r="R42" s="64">
        <v>5.0717703349282299</v>
      </c>
      <c r="S42" s="64">
        <v>2.3076923076923102</v>
      </c>
      <c r="T42" s="64">
        <v>5.28571428571429</v>
      </c>
      <c r="U42" s="64">
        <v>9.5</v>
      </c>
      <c r="V42" s="64">
        <v>8.5111111111111093</v>
      </c>
      <c r="W42" s="61"/>
      <c r="X42" s="64">
        <f>[1]Health!F39</f>
        <v>5.75</v>
      </c>
      <c r="Y42" s="64">
        <f>'[1]Food Security'!F39</f>
        <v>5.0717703349282299</v>
      </c>
      <c r="Z42" s="64">
        <f>'[1]Macro Fiscal'!F39</f>
        <v>5.2066115702479303</v>
      </c>
      <c r="AA42" s="64">
        <f>'[1]Socioeconomic Vulnerability'!F39</f>
        <v>7</v>
      </c>
      <c r="AB42" s="64">
        <f>'[1]Natural Hazard'!F39</f>
        <v>9.5</v>
      </c>
      <c r="AC42" s="64">
        <f>'[1]Fragility and Conflict'!F39</f>
        <v>39</v>
      </c>
      <c r="AD42" s="61"/>
      <c r="AE42" s="64">
        <f>[1]Health!G39</f>
        <v>7.1428571428571104</v>
      </c>
      <c r="AF42" s="64">
        <f>'[1]Food Security'!G39</f>
        <v>5</v>
      </c>
      <c r="AG42" s="64">
        <f>'[1]Macro Fiscal'!G39</f>
        <v>0.90909090909091705</v>
      </c>
      <c r="AH42" s="64">
        <f>'[1]Socioeconomic Vulnerability'!G39</f>
        <v>0</v>
      </c>
      <c r="AI42" s="64">
        <f>'[1]Natural Hazard'!G39</f>
        <v>7</v>
      </c>
      <c r="AJ42" s="64">
        <f>'[1]Fragility and Conflict'!G39</f>
        <v>9.2561716553139295</v>
      </c>
      <c r="AK42" s="60"/>
      <c r="AL42" s="66">
        <v>0</v>
      </c>
      <c r="AM42" s="66">
        <v>0.3</v>
      </c>
      <c r="AN42" s="60"/>
      <c r="AO42" s="60"/>
      <c r="AP42" s="60"/>
      <c r="AQ42" s="60"/>
      <c r="AR42" s="60"/>
      <c r="AS42" s="60"/>
      <c r="AT42" s="60"/>
      <c r="AU42" s="60"/>
      <c r="AV42" s="60"/>
      <c r="AW42" s="60"/>
      <c r="AX42" s="60"/>
      <c r="AY42" s="60"/>
      <c r="AZ42" s="60"/>
      <c r="BA42" s="60"/>
      <c r="BB42" s="60"/>
      <c r="BC42" s="60"/>
      <c r="BD42" s="60"/>
      <c r="BE42" s="60"/>
      <c r="BF42" s="60"/>
      <c r="BG42" s="60"/>
      <c r="BH42" s="60"/>
      <c r="BI42" s="60"/>
      <c r="BJ42" s="60"/>
      <c r="BK42" s="60"/>
      <c r="BL42" s="60"/>
      <c r="BM42" s="60"/>
      <c r="BN42" s="60"/>
      <c r="BO42" s="60"/>
      <c r="BP42" s="60"/>
      <c r="BQ42" s="60"/>
      <c r="BR42" s="60"/>
      <c r="BS42" s="60"/>
      <c r="BT42" s="60"/>
      <c r="BU42" s="60"/>
    </row>
    <row r="43" spans="1:73" s="67" customFormat="1" x14ac:dyDescent="0.2">
      <c r="A43" s="58">
        <v>38</v>
      </c>
      <c r="B43" s="59" t="s">
        <v>373</v>
      </c>
      <c r="C43" s="59" t="s">
        <v>374</v>
      </c>
      <c r="D43" s="60"/>
      <c r="E43" s="61">
        <f>COUNTIF($Q43:$V43,10)</f>
        <v>0</v>
      </c>
      <c r="F43" s="62">
        <f>E43</f>
        <v>0</v>
      </c>
      <c r="G43" s="61">
        <f>COUNTIF($X43:$AC43,10)</f>
        <v>1</v>
      </c>
      <c r="H43" s="63">
        <f>G43</f>
        <v>1</v>
      </c>
      <c r="I43" s="60">
        <f>COUNTIF($AE43:$AJ43,10)</f>
        <v>0</v>
      </c>
      <c r="J43" s="63">
        <f>I43</f>
        <v>0</v>
      </c>
      <c r="K43" s="63"/>
      <c r="L43" s="61">
        <f>COUNTIF($X43:$AC43,10)+COUNTIFS($X43:$AC43,"&gt;=7",$X43:$AC43,"&lt;10")/2</f>
        <v>1.5</v>
      </c>
      <c r="M43" s="63" t="str">
        <f>_xlfn.CONCAT(COUNTIF($X43:$AC43,10)+COUNTIFS($X43:$AC43,"&gt;=7",$X43:$AC43,"&lt;10")/2,REPT("*",COUNTBLANK($X43:$AC43)))</f>
        <v>1.5</v>
      </c>
      <c r="N43" s="60">
        <v>2</v>
      </c>
      <c r="O43" s="60">
        <v>2</v>
      </c>
      <c r="P43" s="60"/>
      <c r="Q43" s="64">
        <f>IFERROR(GEOMEAN(X43,AE43), MAX(X43,AE43))</f>
        <v>6.7823299831252681</v>
      </c>
      <c r="R43" s="64">
        <f>IFERROR(GEOMEAN(Y43,AF43), MAX(Y43,AF43))</f>
        <v>8.2296650717703397</v>
      </c>
      <c r="S43" s="64">
        <f>IFERROR(GEOMEAN(Z43,AG43), MAX(Z43,AG43))</f>
        <v>0</v>
      </c>
      <c r="T43" s="64">
        <f>IFERROR(GEOMEAN(AA43,AH43), MAX(AA43,AH43))</f>
        <v>0</v>
      </c>
      <c r="U43" s="64">
        <f>IFERROR(GEOMEAN(AB43,AI43), MAX(AB43,AI43))</f>
        <v>2.8333333333333299</v>
      </c>
      <c r="V43" s="64">
        <f>IFERROR(GEOMEAN(AC43,AJ43), MAX(AC43,AJ43))</f>
        <v>40</v>
      </c>
      <c r="W43" s="61"/>
      <c r="X43" s="64">
        <f>[1]Health!F40</f>
        <v>10</v>
      </c>
      <c r="Y43" s="64">
        <f>'[1]Food Security'!F40</f>
        <v>8.2296650717703397</v>
      </c>
      <c r="Z43" s="64">
        <f>'[1]Macro Fiscal'!F40</f>
        <v>0</v>
      </c>
      <c r="AA43" s="64">
        <f>'[1]Socioeconomic Vulnerability'!F40</f>
        <v>0</v>
      </c>
      <c r="AB43" s="64">
        <f>'[1]Natural Hazard'!F40</f>
        <v>2.8333333333333299</v>
      </c>
      <c r="AC43" s="64">
        <f>'[1]Fragility and Conflict'!F40</f>
        <v>40</v>
      </c>
      <c r="AD43" s="61"/>
      <c r="AE43" s="64">
        <f>[1]Health!G40</f>
        <v>4.5999999999999996</v>
      </c>
      <c r="AF43" s="64">
        <f>'[1]Food Security'!G40</f>
        <v>0</v>
      </c>
      <c r="AG43" s="64">
        <f>'[1]Macro Fiscal'!G40</f>
        <v>0</v>
      </c>
      <c r="AH43" s="64">
        <f>'[1]Socioeconomic Vulnerability'!G40</f>
        <v>0</v>
      </c>
      <c r="AI43" s="64">
        <f>'[1]Natural Hazard'!G40</f>
        <v>0</v>
      </c>
      <c r="AJ43" s="64">
        <f>'[1]Fragility and Conflict'!G40</f>
        <v>0</v>
      </c>
      <c r="AK43" s="60"/>
      <c r="AL43" s="66">
        <v>0</v>
      </c>
      <c r="AM43" s="66">
        <v>0.5</v>
      </c>
      <c r="AN43" s="60"/>
      <c r="AO43" s="60"/>
      <c r="AP43" s="60"/>
      <c r="AQ43" s="60"/>
      <c r="AR43" s="60"/>
      <c r="AS43" s="60"/>
      <c r="AT43" s="60"/>
      <c r="AU43" s="60"/>
      <c r="AV43" s="60"/>
      <c r="AW43" s="60"/>
      <c r="AX43" s="60"/>
      <c r="AY43" s="60"/>
      <c r="AZ43" s="60"/>
      <c r="BA43" s="60"/>
      <c r="BB43" s="60"/>
      <c r="BC43" s="60"/>
      <c r="BD43" s="60"/>
      <c r="BE43" s="60"/>
      <c r="BF43" s="60"/>
      <c r="BG43" s="60"/>
      <c r="BH43" s="60"/>
      <c r="BI43" s="60"/>
      <c r="BJ43" s="60"/>
      <c r="BK43" s="60"/>
      <c r="BL43" s="60"/>
      <c r="BM43" s="60"/>
      <c r="BN43" s="60"/>
      <c r="BO43" s="60"/>
      <c r="BP43" s="60"/>
      <c r="BQ43" s="60"/>
      <c r="BR43" s="60"/>
      <c r="BS43" s="60"/>
      <c r="BT43" s="60"/>
      <c r="BU43" s="60"/>
    </row>
    <row r="44" spans="1:73" s="67" customFormat="1" x14ac:dyDescent="0.2">
      <c r="A44" s="58">
        <v>39</v>
      </c>
      <c r="B44" s="59" t="s">
        <v>377</v>
      </c>
      <c r="C44" s="59" t="s">
        <v>378</v>
      </c>
      <c r="D44" s="60"/>
      <c r="E44" s="61">
        <f>COUNTIF($Q44:$V44,10)</f>
        <v>0</v>
      </c>
      <c r="F44" s="62">
        <f>E44</f>
        <v>0</v>
      </c>
      <c r="G44" s="61">
        <f>COUNTIF($X44:$AC44,10)</f>
        <v>0</v>
      </c>
      <c r="H44" s="63">
        <f>G44</f>
        <v>0</v>
      </c>
      <c r="I44" s="60">
        <f>COUNTIF($AE44:$AJ44,10)</f>
        <v>0</v>
      </c>
      <c r="J44" s="63">
        <f>I44</f>
        <v>0</v>
      </c>
      <c r="K44" s="63"/>
      <c r="L44" s="61">
        <f>COUNTIF($X44:$AC44,10)+COUNTIFS($X44:$AC44,"&gt;=7",$X44:$AC44,"&lt;10")/2</f>
        <v>1</v>
      </c>
      <c r="M44" s="63" t="str">
        <f>_xlfn.CONCAT(COUNTIF($X44:$AC44,10)+COUNTIFS($X44:$AC44,"&gt;=7",$X44:$AC44,"&lt;10")/2,REPT("*",COUNTBLANK($X44:$AC44)))</f>
        <v>1</v>
      </c>
      <c r="N44" s="60">
        <v>3</v>
      </c>
      <c r="O44" s="60">
        <v>3</v>
      </c>
      <c r="P44" s="60"/>
      <c r="Q44" s="64">
        <f>IFERROR(GEOMEAN(X44,AE44), MAX(X44,AE44))</f>
        <v>5.0679042611320115</v>
      </c>
      <c r="R44" s="64">
        <f>IFERROR(GEOMEAN(Y44,AF44), MAX(Y44,AF44))</f>
        <v>4.3693144875265135</v>
      </c>
      <c r="S44" s="64">
        <f>IFERROR(GEOMEAN(Z44,AG44), MAX(Z44,AG44))</f>
        <v>4.0284487956872486</v>
      </c>
      <c r="T44" s="64">
        <f>IFERROR(GEOMEAN(AA44,AH44), MAX(AA44,AH44))</f>
        <v>7</v>
      </c>
      <c r="U44" s="64">
        <f>IFERROR(GEOMEAN(AB44,AI44), MAX(AB44,AI44))</f>
        <v>0.83333333333333404</v>
      </c>
      <c r="V44" s="64">
        <f>IFERROR(GEOMEAN(AC44,AJ44), MAX(AC44,AJ44))</f>
        <v>41</v>
      </c>
      <c r="W44" s="61"/>
      <c r="X44" s="64">
        <f>[1]Health!F41</f>
        <v>8.14</v>
      </c>
      <c r="Y44" s="64">
        <f>'[1]Food Security'!F41</f>
        <v>6.3636363636363598</v>
      </c>
      <c r="Z44" s="64">
        <f>'[1]Macro Fiscal'!F41</f>
        <v>4.4628099173553704</v>
      </c>
      <c r="AA44" s="64">
        <f>'[1]Socioeconomic Vulnerability'!F41</f>
        <v>7</v>
      </c>
      <c r="AB44" s="64">
        <f>'[1]Natural Hazard'!F41</f>
        <v>0.83333333333333404</v>
      </c>
      <c r="AC44" s="64">
        <f>'[1]Fragility and Conflict'!F41</f>
        <v>41</v>
      </c>
      <c r="AD44" s="61"/>
      <c r="AE44" s="64">
        <f>[1]Health!G41</f>
        <v>3.15524</v>
      </c>
      <c r="AF44" s="64">
        <f>'[1]Food Security'!G41</f>
        <v>3</v>
      </c>
      <c r="AG44" s="64">
        <f>'[1]Macro Fiscal'!G41</f>
        <v>3.63636363636363</v>
      </c>
      <c r="AH44" s="64">
        <f>'[1]Socioeconomic Vulnerability'!G41</f>
        <v>0</v>
      </c>
      <c r="AI44" s="64">
        <f>'[1]Natural Hazard'!G41</f>
        <v>0</v>
      </c>
      <c r="AJ44" s="64">
        <f>'[1]Fragility and Conflict'!G41</f>
        <v>0</v>
      </c>
      <c r="AK44" s="60"/>
      <c r="AL44" s="66">
        <v>0</v>
      </c>
      <c r="AM44" s="66">
        <v>0.4</v>
      </c>
      <c r="AN44" s="60"/>
      <c r="AO44" s="60"/>
      <c r="AP44" s="60"/>
      <c r="AQ44" s="60"/>
      <c r="AR44" s="60"/>
      <c r="AS44" s="60"/>
      <c r="AT44" s="60"/>
      <c r="AU44" s="60"/>
      <c r="AV44" s="60"/>
      <c r="AW44" s="60"/>
      <c r="AX44" s="60"/>
      <c r="AY44" s="60"/>
      <c r="AZ44" s="60"/>
      <c r="BA44" s="60"/>
      <c r="BB44" s="60"/>
      <c r="BC44" s="60"/>
      <c r="BD44" s="60"/>
      <c r="BE44" s="60"/>
      <c r="BF44" s="60"/>
      <c r="BG44" s="60"/>
      <c r="BH44" s="60"/>
      <c r="BI44" s="60"/>
      <c r="BJ44" s="60"/>
      <c r="BK44" s="60"/>
      <c r="BL44" s="60"/>
      <c r="BM44" s="60"/>
      <c r="BN44" s="60"/>
      <c r="BO44" s="60"/>
      <c r="BP44" s="60"/>
      <c r="BQ44" s="60"/>
      <c r="BR44" s="60"/>
      <c r="BS44" s="60"/>
      <c r="BT44" s="60"/>
      <c r="BU44" s="60"/>
    </row>
    <row r="45" spans="1:73" s="67" customFormat="1" x14ac:dyDescent="0.2">
      <c r="A45" s="58">
        <v>40</v>
      </c>
      <c r="B45" s="59" t="s">
        <v>383</v>
      </c>
      <c r="C45" s="59" t="s">
        <v>384</v>
      </c>
      <c r="D45" s="60"/>
      <c r="E45" s="61">
        <f>COUNTIF($Q45:$V45,10)</f>
        <v>0</v>
      </c>
      <c r="F45" s="62">
        <f>E45</f>
        <v>0</v>
      </c>
      <c r="G45" s="61">
        <f>COUNTIF($X45:$AC45,10)</f>
        <v>1</v>
      </c>
      <c r="H45" s="63">
        <f>G45</f>
        <v>1</v>
      </c>
      <c r="I45" s="60">
        <f>COUNTIF($AE45:$AJ45,10)</f>
        <v>0</v>
      </c>
      <c r="J45" s="63">
        <f>I45</f>
        <v>0</v>
      </c>
      <c r="K45" s="63"/>
      <c r="L45" s="61">
        <f>COUNTIF($X45:$AC45,10)+COUNTIFS($X45:$AC45,"&gt;=7",$X45:$AC45,"&lt;10")/2</f>
        <v>1.5</v>
      </c>
      <c r="M45" s="63" t="str">
        <f>_xlfn.CONCAT(COUNTIF($X45:$AC45,10)+COUNTIFS($X45:$AC45,"&gt;=7",$X45:$AC45,"&lt;10")/2,REPT("*",COUNTBLANK($X45:$AC45)))</f>
        <v>1.5</v>
      </c>
      <c r="N45" s="60">
        <v>2</v>
      </c>
      <c r="O45" s="60">
        <v>2</v>
      </c>
      <c r="P45" s="60"/>
      <c r="Q45" s="64">
        <v>4.9800000000000004</v>
      </c>
      <c r="R45" s="64">
        <v>3.3971291866028701</v>
      </c>
      <c r="S45" s="64">
        <v>3.63977485928705</v>
      </c>
      <c r="T45" s="64">
        <v>3.2857142857142798</v>
      </c>
      <c r="U45" s="64">
        <v>8.9108165507543209</v>
      </c>
      <c r="V45" s="64">
        <v>4.4666666666666703</v>
      </c>
      <c r="W45" s="61"/>
      <c r="X45" s="64">
        <f>[1]Health!F42</f>
        <v>4.9800000000000004</v>
      </c>
      <c r="Y45" s="64">
        <f>'[1]Food Security'!F42</f>
        <v>3.3971291866028701</v>
      </c>
      <c r="Z45" s="64">
        <f>'[1]Macro Fiscal'!F42</f>
        <v>3.2066115702479299</v>
      </c>
      <c r="AA45" s="64">
        <f>'[1]Socioeconomic Vulnerability'!F42</f>
        <v>10</v>
      </c>
      <c r="AB45" s="64">
        <f>'[1]Natural Hazard'!F42</f>
        <v>8.3333333333333304</v>
      </c>
      <c r="AC45" s="64">
        <f>'[1]Fragility and Conflict'!F42</f>
        <v>42</v>
      </c>
      <c r="AD45" s="61"/>
      <c r="AE45" s="64">
        <f>[1]Health!G42</f>
        <v>4.7619047619047397</v>
      </c>
      <c r="AF45" s="64">
        <f>'[1]Food Security'!G42</f>
        <v>1</v>
      </c>
      <c r="AG45" s="64">
        <f>'[1]Macro Fiscal'!G42</f>
        <v>5.9090909090909198</v>
      </c>
      <c r="AH45" s="64">
        <f>'[1]Socioeconomic Vulnerability'!G42</f>
        <v>0</v>
      </c>
      <c r="AI45" s="64">
        <f>'[1]Natural Hazard'!G42</f>
        <v>0</v>
      </c>
      <c r="AJ45" s="64">
        <f>'[1]Fragility and Conflict'!G42</f>
        <v>0</v>
      </c>
      <c r="AK45" s="60"/>
      <c r="AL45" s="66">
        <v>0</v>
      </c>
      <c r="AM45" s="66">
        <v>0.2</v>
      </c>
      <c r="AN45" s="60"/>
      <c r="AO45" s="60"/>
      <c r="AP45" s="60"/>
      <c r="AQ45" s="60"/>
      <c r="AR45" s="60"/>
      <c r="AS45" s="60"/>
      <c r="AT45" s="60"/>
      <c r="AU45" s="60"/>
      <c r="AV45" s="60"/>
      <c r="AW45" s="60"/>
      <c r="AX45" s="60"/>
      <c r="AY45" s="60"/>
      <c r="AZ45" s="60"/>
      <c r="BA45" s="60"/>
      <c r="BB45" s="60"/>
      <c r="BC45" s="60"/>
      <c r="BD45" s="60"/>
      <c r="BE45" s="60"/>
      <c r="BF45" s="60"/>
      <c r="BG45" s="60"/>
      <c r="BH45" s="60"/>
      <c r="BI45" s="60"/>
      <c r="BJ45" s="60"/>
      <c r="BK45" s="60"/>
      <c r="BL45" s="60"/>
      <c r="BM45" s="60"/>
      <c r="BN45" s="60"/>
      <c r="BO45" s="60"/>
      <c r="BP45" s="60"/>
      <c r="BQ45" s="60"/>
      <c r="BR45" s="60"/>
      <c r="BS45" s="60"/>
      <c r="BT45" s="60"/>
      <c r="BU45" s="60"/>
    </row>
    <row r="46" spans="1:73" s="67" customFormat="1" x14ac:dyDescent="0.2">
      <c r="A46" s="58">
        <v>41</v>
      </c>
      <c r="B46" s="59" t="s">
        <v>390</v>
      </c>
      <c r="C46" s="59" t="s">
        <v>391</v>
      </c>
      <c r="D46" s="60"/>
      <c r="E46" s="61">
        <f>COUNTIF($Q46:$V46,10)</f>
        <v>0</v>
      </c>
      <c r="F46" s="62">
        <f>E46</f>
        <v>0</v>
      </c>
      <c r="G46" s="61">
        <f>COUNTIF($X46:$AC46,10)</f>
        <v>0</v>
      </c>
      <c r="H46" s="63">
        <f>G46</f>
        <v>0</v>
      </c>
      <c r="I46" s="60">
        <f>COUNTIF($AE46:$AJ46,10)</f>
        <v>1</v>
      </c>
      <c r="J46" s="63">
        <f>I46</f>
        <v>1</v>
      </c>
      <c r="K46" s="63"/>
      <c r="L46" s="61">
        <f>COUNTIF($X46:$AC46,10)+COUNTIFS($X46:$AC46,"&gt;=7",$X46:$AC46,"&lt;10")/2</f>
        <v>1</v>
      </c>
      <c r="M46" s="63" t="str">
        <f>_xlfn.CONCAT(COUNTIF($X46:$AC46,10)+COUNTIFS($X46:$AC46,"&gt;=7",$X46:$AC46,"&lt;10")/2,REPT("*",COUNTBLANK($X46:$AC46)))</f>
        <v>1</v>
      </c>
      <c r="N46" s="60">
        <v>1.5</v>
      </c>
      <c r="O46" s="60">
        <v>1.5</v>
      </c>
      <c r="P46" s="60"/>
      <c r="Q46" s="64">
        <v>6.96</v>
      </c>
      <c r="R46" s="64">
        <v>4.3301435406698499</v>
      </c>
      <c r="S46" s="64">
        <v>9.8311444652908104</v>
      </c>
      <c r="T46" s="64">
        <v>3.1428571428571401</v>
      </c>
      <c r="U46" s="64">
        <v>8.2187591475861304</v>
      </c>
      <c r="V46" s="64">
        <v>6.5777777777777802</v>
      </c>
      <c r="W46" s="61"/>
      <c r="X46" s="64">
        <f>[1]Health!F43</f>
        <v>6.96</v>
      </c>
      <c r="Y46" s="64">
        <f>'[1]Food Security'!F43</f>
        <v>4.3301435406698596</v>
      </c>
      <c r="Z46" s="64">
        <f>'[1]Macro Fiscal'!F43</f>
        <v>8.0661157024793404</v>
      </c>
      <c r="AA46" s="64">
        <f>'[1]Socioeconomic Vulnerability'!F43</f>
        <v>0</v>
      </c>
      <c r="AB46" s="64">
        <f>'[1]Natural Hazard'!F43</f>
        <v>7.6666666666666696</v>
      </c>
      <c r="AC46" s="64">
        <f>'[1]Fragility and Conflict'!F43</f>
        <v>43</v>
      </c>
      <c r="AD46" s="61"/>
      <c r="AE46" s="64">
        <f>[1]Health!G43</f>
        <v>4.7619047619047397</v>
      </c>
      <c r="AF46" s="64">
        <f>'[1]Food Security'!G43</f>
        <v>0</v>
      </c>
      <c r="AG46" s="64">
        <f>'[1]Macro Fiscal'!G43</f>
        <v>4.0909090909090802</v>
      </c>
      <c r="AH46" s="64">
        <f>'[1]Socioeconomic Vulnerability'!G43</f>
        <v>0</v>
      </c>
      <c r="AI46" s="64">
        <f>'[1]Natural Hazard'!G43</f>
        <v>10</v>
      </c>
      <c r="AJ46" s="64">
        <f>'[1]Fragility and Conflict'!G43</f>
        <v>0</v>
      </c>
      <c r="AK46" s="60"/>
      <c r="AL46" s="66">
        <v>0</v>
      </c>
      <c r="AM46" s="66">
        <v>0.5</v>
      </c>
      <c r="AN46" s="60"/>
      <c r="AO46" s="60"/>
      <c r="AP46" s="60"/>
      <c r="AQ46" s="60"/>
      <c r="AR46" s="60"/>
      <c r="AS46" s="60"/>
      <c r="AT46" s="60"/>
      <c r="AU46" s="60"/>
      <c r="AV46" s="60"/>
      <c r="AW46" s="60"/>
      <c r="AX46" s="60"/>
      <c r="AY46" s="60"/>
      <c r="AZ46" s="60"/>
      <c r="BA46" s="60"/>
      <c r="BB46" s="60"/>
      <c r="BC46" s="60"/>
      <c r="BD46" s="60"/>
      <c r="BE46" s="60"/>
      <c r="BF46" s="60"/>
      <c r="BG46" s="60"/>
      <c r="BH46" s="60"/>
      <c r="BI46" s="60"/>
      <c r="BJ46" s="60"/>
      <c r="BK46" s="60"/>
      <c r="BL46" s="60"/>
      <c r="BM46" s="60"/>
      <c r="BN46" s="60"/>
      <c r="BO46" s="60"/>
      <c r="BP46" s="60"/>
      <c r="BQ46" s="60"/>
      <c r="BR46" s="60"/>
      <c r="BS46" s="60"/>
      <c r="BT46" s="60"/>
      <c r="BU46" s="60"/>
    </row>
    <row r="47" spans="1:73" s="67" customFormat="1" x14ac:dyDescent="0.2">
      <c r="A47" s="58">
        <v>42</v>
      </c>
      <c r="B47" s="59" t="s">
        <v>394</v>
      </c>
      <c r="C47" s="59" t="s">
        <v>395</v>
      </c>
      <c r="D47" s="60"/>
      <c r="E47" s="61">
        <f>COUNTIF($Q47:$V47,10)</f>
        <v>0</v>
      </c>
      <c r="F47" s="62">
        <f>E47</f>
        <v>0</v>
      </c>
      <c r="G47" s="61">
        <f>COUNTIF($X47:$AC47,10)</f>
        <v>0</v>
      </c>
      <c r="H47" s="63">
        <f>G47</f>
        <v>0</v>
      </c>
      <c r="I47" s="60">
        <f>COUNTIF($AE47:$AJ47,10)</f>
        <v>1</v>
      </c>
      <c r="J47" s="63">
        <f>I47</f>
        <v>1</v>
      </c>
      <c r="K47" s="63"/>
      <c r="L47" s="61">
        <f>COUNTIF($X47:$AC47,10)+COUNTIFS($X47:$AC47,"&gt;=7",$X47:$AC47,"&lt;10")/2</f>
        <v>0.5</v>
      </c>
      <c r="M47" s="63" t="str">
        <f>_xlfn.CONCAT(COUNTIF($X47:$AC47,10)+COUNTIFS($X47:$AC47,"&gt;=7",$X47:$AC47,"&lt;10")/2,REPT("*",COUNTBLANK($X47:$AC47)))</f>
        <v>0.5</v>
      </c>
      <c r="N47" s="60">
        <v>2</v>
      </c>
      <c r="O47" s="60">
        <v>2</v>
      </c>
      <c r="P47" s="60"/>
      <c r="Q47" s="64">
        <v>5.4</v>
      </c>
      <c r="R47" s="64">
        <v>2.12918660287081</v>
      </c>
      <c r="S47" s="64">
        <v>5.7786116322701702</v>
      </c>
      <c r="T47" s="64">
        <v>1</v>
      </c>
      <c r="U47" s="64">
        <v>6.9843877303344302</v>
      </c>
      <c r="V47" s="64">
        <v>6.2333333333333298</v>
      </c>
      <c r="W47" s="61"/>
      <c r="X47" s="64">
        <f>[1]Health!F44</f>
        <v>5.4</v>
      </c>
      <c r="Y47" s="64">
        <f>'[1]Food Security'!F44</f>
        <v>2.12918660287081</v>
      </c>
      <c r="Z47" s="64">
        <f>'[1]Macro Fiscal'!F44</f>
        <v>3.3553719008264502</v>
      </c>
      <c r="AA47" s="64">
        <f>'[1]Socioeconomic Vulnerability'!F44</f>
        <v>7</v>
      </c>
      <c r="AB47" s="64">
        <f>'[1]Natural Hazard'!F44</f>
        <v>5.5</v>
      </c>
      <c r="AC47" s="64">
        <f>'[1]Fragility and Conflict'!F44</f>
        <v>44</v>
      </c>
      <c r="AD47" s="61"/>
      <c r="AE47" s="64">
        <f>[1]Health!G44</f>
        <v>10</v>
      </c>
      <c r="AF47" s="64">
        <f>'[1]Food Security'!G44</f>
        <v>1</v>
      </c>
      <c r="AG47" s="64">
        <f>'[1]Macro Fiscal'!G44</f>
        <v>6.3636363636363704</v>
      </c>
      <c r="AH47" s="64">
        <f>'[1]Socioeconomic Vulnerability'!G44</f>
        <v>0</v>
      </c>
      <c r="AI47" s="64">
        <f>'[1]Natural Hazard'!G44</f>
        <v>0</v>
      </c>
      <c r="AJ47" s="64">
        <f>'[1]Fragility and Conflict'!G44</f>
        <v>0</v>
      </c>
      <c r="AK47" s="60"/>
      <c r="AL47" s="66">
        <v>0</v>
      </c>
      <c r="AM47" s="66">
        <v>0.5</v>
      </c>
      <c r="AN47" s="60"/>
      <c r="AO47" s="60"/>
      <c r="AP47" s="60"/>
      <c r="AQ47" s="60"/>
      <c r="AR47" s="60"/>
      <c r="AS47" s="60"/>
      <c r="AT47" s="60"/>
      <c r="AU47" s="60"/>
      <c r="AV47" s="60"/>
      <c r="AW47" s="60"/>
      <c r="AX47" s="60"/>
      <c r="AY47" s="60"/>
      <c r="AZ47" s="60"/>
      <c r="BA47" s="60"/>
      <c r="BB47" s="60"/>
      <c r="BC47" s="60"/>
      <c r="BD47" s="60"/>
      <c r="BE47" s="60"/>
      <c r="BF47" s="60"/>
      <c r="BG47" s="60"/>
      <c r="BH47" s="60"/>
      <c r="BI47" s="60"/>
      <c r="BJ47" s="60"/>
      <c r="BK47" s="60"/>
      <c r="BL47" s="60"/>
      <c r="BM47" s="60"/>
      <c r="BN47" s="60"/>
      <c r="BO47" s="60"/>
      <c r="BP47" s="60"/>
      <c r="BQ47" s="60"/>
      <c r="BR47" s="60"/>
      <c r="BS47" s="60"/>
      <c r="BT47" s="60"/>
      <c r="BU47" s="60"/>
    </row>
    <row r="48" spans="1:73" s="67" customFormat="1" x14ac:dyDescent="0.2">
      <c r="A48" s="58">
        <v>43</v>
      </c>
      <c r="B48" s="59" t="s">
        <v>401</v>
      </c>
      <c r="C48" s="59" t="s">
        <v>402</v>
      </c>
      <c r="D48" s="60"/>
      <c r="E48" s="61">
        <f>COUNTIF($Q48:$V48,10)</f>
        <v>0</v>
      </c>
      <c r="F48" s="62">
        <f>E48</f>
        <v>0</v>
      </c>
      <c r="G48" s="61">
        <f>COUNTIF($X48:$AC48,10)</f>
        <v>0</v>
      </c>
      <c r="H48" s="63">
        <f>G48</f>
        <v>0</v>
      </c>
      <c r="I48" s="60">
        <f>COUNTIF($AE48:$AJ48,10)</f>
        <v>1</v>
      </c>
      <c r="J48" s="63">
        <f>I48</f>
        <v>1</v>
      </c>
      <c r="K48" s="63"/>
      <c r="L48" s="61">
        <f>COUNTIF($X48:$AC48,10)+COUNTIFS($X48:$AC48,"&gt;=7",$X48:$AC48,"&lt;10")/2</f>
        <v>0</v>
      </c>
      <c r="M48" s="63" t="str">
        <f>_xlfn.CONCAT(COUNTIF($X48:$AC48,10)+COUNTIFS($X48:$AC48,"&gt;=7",$X48:$AC48,"&lt;10")/2,REPT("*",COUNTBLANK($X48:$AC48)))</f>
        <v>0</v>
      </c>
      <c r="N48" s="60">
        <v>1.5</v>
      </c>
      <c r="O48" s="60">
        <v>1.5</v>
      </c>
      <c r="P48" s="60"/>
      <c r="Q48" s="64">
        <v>3.6</v>
      </c>
      <c r="R48" s="64">
        <v>0</v>
      </c>
      <c r="S48" s="64">
        <v>1.5759849906191401</v>
      </c>
      <c r="T48" s="64">
        <v>0.57142857142857095</v>
      </c>
      <c r="U48" s="64">
        <v>7.8730505312922299</v>
      </c>
      <c r="V48" s="64">
        <v>3.9666666666666699</v>
      </c>
      <c r="W48" s="61"/>
      <c r="X48" s="64">
        <f>[1]Health!F45</f>
        <v>3.6</v>
      </c>
      <c r="Y48" s="64">
        <f>'[1]Food Security'!F45</f>
        <v>0</v>
      </c>
      <c r="Z48" s="64">
        <f>'[1]Macro Fiscal'!F45</f>
        <v>3.0578512396694202</v>
      </c>
      <c r="AA48" s="64">
        <f>'[1]Socioeconomic Vulnerability'!F45</f>
        <v>0</v>
      </c>
      <c r="AB48" s="64">
        <f>'[1]Natural Hazard'!F45</f>
        <v>1.1666666666666701</v>
      </c>
      <c r="AC48" s="64">
        <f>'[1]Fragility and Conflict'!F45</f>
        <v>45</v>
      </c>
      <c r="AD48" s="61"/>
      <c r="AE48" s="64">
        <f>[1]Health!G45</f>
        <v>10</v>
      </c>
      <c r="AF48" s="64">
        <f>'[1]Food Security'!G45</f>
        <v>3</v>
      </c>
      <c r="AG48" s="64">
        <f>'[1]Macro Fiscal'!G45</f>
        <v>0</v>
      </c>
      <c r="AH48" s="64">
        <f>'[1]Socioeconomic Vulnerability'!G45</f>
        <v>0</v>
      </c>
      <c r="AI48" s="64">
        <f>'[1]Natural Hazard'!G45</f>
        <v>0</v>
      </c>
      <c r="AJ48" s="64">
        <f>'[1]Fragility and Conflict'!G45</f>
        <v>0</v>
      </c>
      <c r="AK48" s="60"/>
      <c r="AL48" s="66">
        <v>0</v>
      </c>
      <c r="AM48" s="66">
        <v>0.4</v>
      </c>
      <c r="AN48" s="60"/>
      <c r="AO48" s="60"/>
      <c r="AP48" s="60"/>
      <c r="AQ48" s="60"/>
      <c r="AR48" s="60"/>
      <c r="AS48" s="60"/>
      <c r="AT48" s="60"/>
      <c r="AU48" s="60"/>
      <c r="AV48" s="60"/>
      <c r="AW48" s="60"/>
      <c r="AX48" s="60"/>
      <c r="AY48" s="60"/>
      <c r="AZ48" s="60"/>
      <c r="BA48" s="60"/>
      <c r="BB48" s="60"/>
      <c r="BC48" s="60"/>
      <c r="BD48" s="60"/>
      <c r="BE48" s="60"/>
      <c r="BF48" s="60"/>
      <c r="BG48" s="60"/>
      <c r="BH48" s="60"/>
      <c r="BI48" s="60"/>
      <c r="BJ48" s="60"/>
      <c r="BK48" s="60"/>
      <c r="BL48" s="60"/>
      <c r="BM48" s="60"/>
      <c r="BN48" s="60"/>
      <c r="BO48" s="60"/>
      <c r="BP48" s="60"/>
      <c r="BQ48" s="60"/>
      <c r="BR48" s="60"/>
      <c r="BS48" s="60"/>
      <c r="BT48" s="60"/>
      <c r="BU48" s="60"/>
    </row>
    <row r="49" spans="1:73" s="67" customFormat="1" x14ac:dyDescent="0.2">
      <c r="A49" s="58">
        <v>44</v>
      </c>
      <c r="B49" s="59" t="s">
        <v>406</v>
      </c>
      <c r="C49" s="59" t="s">
        <v>407</v>
      </c>
      <c r="D49" s="60"/>
      <c r="E49" s="61">
        <f>COUNTIF($Q49:$V49,10)</f>
        <v>0</v>
      </c>
      <c r="F49" s="62">
        <f>E49</f>
        <v>0</v>
      </c>
      <c r="G49" s="61">
        <f>COUNTIF($X49:$AC49,10)</f>
        <v>0</v>
      </c>
      <c r="H49" s="63">
        <f>G49</f>
        <v>0</v>
      </c>
      <c r="I49" s="60">
        <f>COUNTIF($AE49:$AJ49,10)</f>
        <v>0</v>
      </c>
      <c r="J49" s="63">
        <f>I49</f>
        <v>0</v>
      </c>
      <c r="K49" s="63"/>
      <c r="L49" s="61">
        <f>COUNTIF($X49:$AC49,10)+COUNTIFS($X49:$AC49,"&gt;=7",$X49:$AC49,"&lt;10")/2</f>
        <v>0</v>
      </c>
      <c r="M49" s="63" t="str">
        <f>_xlfn.CONCAT(COUNTIF($X49:$AC49,10)+COUNTIFS($X49:$AC49,"&gt;=7",$X49:$AC49,"&lt;10")/2,REPT("*",COUNTBLANK($X49:$AC49)))</f>
        <v>0</v>
      </c>
      <c r="N49" s="60">
        <v>1</v>
      </c>
      <c r="O49" s="60">
        <v>1</v>
      </c>
      <c r="P49" s="60"/>
      <c r="Q49" s="64">
        <v>0.79999999999999905</v>
      </c>
      <c r="R49" s="64">
        <v>0</v>
      </c>
      <c r="S49" s="64">
        <v>1.6510318949343299</v>
      </c>
      <c r="T49" s="64">
        <v>0.57142857142857095</v>
      </c>
      <c r="U49" s="64">
        <v>7.5391890309329597</v>
      </c>
      <c r="V49" s="64">
        <v>2.5777777777777802</v>
      </c>
      <c r="W49" s="61"/>
      <c r="X49" s="64">
        <f>[1]Health!F46</f>
        <v>0.79999999999999905</v>
      </c>
      <c r="Y49" s="64">
        <f>'[1]Food Security'!F46</f>
        <v>0</v>
      </c>
      <c r="Z49" s="64">
        <f>'[1]Macro Fiscal'!F46</f>
        <v>1.2066115702479301</v>
      </c>
      <c r="AA49" s="64">
        <f>'[1]Socioeconomic Vulnerability'!F46</f>
        <v>0</v>
      </c>
      <c r="AB49" s="64">
        <f>'[1]Natural Hazard'!F46</f>
        <v>2.5</v>
      </c>
      <c r="AC49" s="64">
        <f>'[1]Fragility and Conflict'!F46</f>
        <v>46</v>
      </c>
      <c r="AD49" s="61"/>
      <c r="AE49" s="64">
        <f>[1]Health!G46</f>
        <v>9.6820000000000004</v>
      </c>
      <c r="AF49" s="64">
        <f>'[1]Food Security'!G46</f>
        <v>3</v>
      </c>
      <c r="AG49" s="64">
        <f>'[1]Macro Fiscal'!G46</f>
        <v>0</v>
      </c>
      <c r="AH49" s="64">
        <f>'[1]Socioeconomic Vulnerability'!G46</f>
        <v>0</v>
      </c>
      <c r="AI49" s="64">
        <f>'[1]Natural Hazard'!G46</f>
        <v>0</v>
      </c>
      <c r="AJ49" s="64">
        <f>'[1]Fragility and Conflict'!G46</f>
        <v>0</v>
      </c>
      <c r="AK49" s="60"/>
      <c r="AL49" s="66">
        <v>0</v>
      </c>
      <c r="AM49" s="66">
        <v>0.4</v>
      </c>
      <c r="AN49" s="60"/>
      <c r="AO49" s="60"/>
      <c r="AP49" s="60"/>
      <c r="AQ49" s="60"/>
      <c r="AR49" s="60"/>
      <c r="AS49" s="60"/>
      <c r="AT49" s="60"/>
      <c r="AU49" s="60"/>
      <c r="AV49" s="60"/>
      <c r="AW49" s="60"/>
      <c r="AX49" s="60"/>
      <c r="AY49" s="60"/>
      <c r="AZ49" s="60"/>
      <c r="BA49" s="60"/>
      <c r="BB49" s="60"/>
      <c r="BC49" s="60"/>
      <c r="BD49" s="60"/>
      <c r="BE49" s="60"/>
      <c r="BF49" s="60"/>
      <c r="BG49" s="60"/>
      <c r="BH49" s="60"/>
      <c r="BI49" s="60"/>
      <c r="BJ49" s="60"/>
      <c r="BK49" s="60"/>
      <c r="BL49" s="60"/>
      <c r="BM49" s="60"/>
      <c r="BN49" s="60"/>
      <c r="BO49" s="60"/>
      <c r="BP49" s="60"/>
      <c r="BQ49" s="60"/>
      <c r="BR49" s="60"/>
      <c r="BS49" s="60"/>
      <c r="BT49" s="60"/>
      <c r="BU49" s="60"/>
    </row>
    <row r="50" spans="1:73" s="67" customFormat="1" x14ac:dyDescent="0.2">
      <c r="A50" s="58">
        <v>45</v>
      </c>
      <c r="B50" s="59" t="s">
        <v>412</v>
      </c>
      <c r="C50" s="59" t="s">
        <v>413</v>
      </c>
      <c r="D50" s="60"/>
      <c r="E50" s="61">
        <f>COUNTIF($Q50:$V50,10)</f>
        <v>1</v>
      </c>
      <c r="F50" s="62">
        <f>E50</f>
        <v>1</v>
      </c>
      <c r="G50" s="61">
        <f>COUNTIF($X50:$AC50,10)</f>
        <v>0</v>
      </c>
      <c r="H50" s="63">
        <f>G50</f>
        <v>0</v>
      </c>
      <c r="I50" s="60">
        <f>COUNTIF($AE50:$AJ50,10)</f>
        <v>1</v>
      </c>
      <c r="J50" s="63">
        <f>I50</f>
        <v>1</v>
      </c>
      <c r="K50" s="63"/>
      <c r="L50" s="61">
        <f>COUNTIF($X50:$AC50,10)+COUNTIFS($X50:$AC50,"&gt;=7",$X50:$AC50,"&lt;10")/2</f>
        <v>2.5</v>
      </c>
      <c r="M50" s="63" t="str">
        <f>_xlfn.CONCAT(COUNTIF($X50:$AC50,10)+COUNTIFS($X50:$AC50,"&gt;=7",$X50:$AC50,"&lt;10")/2,REPT("*",COUNTBLANK($X50:$AC50)))</f>
        <v>2.5</v>
      </c>
      <c r="N50" s="60">
        <v>2</v>
      </c>
      <c r="O50" s="60">
        <v>2</v>
      </c>
      <c r="P50" s="60"/>
      <c r="Q50" s="64">
        <v>9.36</v>
      </c>
      <c r="R50" s="64">
        <v>8.2535885167464098</v>
      </c>
      <c r="S50" s="64">
        <v>10</v>
      </c>
      <c r="T50" s="64">
        <v>8.2857142857142794</v>
      </c>
      <c r="U50" s="64">
        <v>7.3333333333333304</v>
      </c>
      <c r="V50" s="64">
        <v>9.18888888888889</v>
      </c>
      <c r="W50" s="61"/>
      <c r="X50" s="64">
        <f>[1]Health!F47</f>
        <v>9.36</v>
      </c>
      <c r="Y50" s="64">
        <f>'[1]Food Security'!F47</f>
        <v>8.2535885167464098</v>
      </c>
      <c r="Z50" s="64">
        <f>'[1]Macro Fiscal'!F47</f>
        <v>7.0082644628099198</v>
      </c>
      <c r="AA50" s="64">
        <f>'[1]Socioeconomic Vulnerability'!F47</f>
        <v>8.8847092522515201</v>
      </c>
      <c r="AB50" s="64">
        <f>'[1]Natural Hazard'!F47</f>
        <v>7.3333333333333304</v>
      </c>
      <c r="AC50" s="64">
        <f>'[1]Fragility and Conflict'!F47</f>
        <v>47</v>
      </c>
      <c r="AD50" s="61"/>
      <c r="AE50" s="64">
        <f>[1]Health!G47</f>
        <v>10</v>
      </c>
      <c r="AF50" s="64">
        <f>'[1]Food Security'!G47</f>
        <v>3</v>
      </c>
      <c r="AG50" s="64">
        <f>'[1]Macro Fiscal'!G47</f>
        <v>3.63636363636363</v>
      </c>
      <c r="AH50" s="64">
        <f>'[1]Socioeconomic Vulnerability'!G47</f>
        <v>0</v>
      </c>
      <c r="AI50" s="64">
        <f>'[1]Natural Hazard'!G47</f>
        <v>7</v>
      </c>
      <c r="AJ50" s="64">
        <f>'[1]Fragility and Conflict'!G47</f>
        <v>0</v>
      </c>
      <c r="AK50" s="60"/>
      <c r="AL50" s="66">
        <v>0</v>
      </c>
      <c r="AM50" s="66">
        <v>0.3</v>
      </c>
      <c r="AN50" s="60"/>
      <c r="AO50" s="60"/>
      <c r="AP50" s="60"/>
      <c r="AQ50" s="60"/>
      <c r="AR50" s="60"/>
      <c r="AS50" s="60"/>
      <c r="AT50" s="60"/>
      <c r="AU50" s="60"/>
      <c r="AV50" s="60"/>
      <c r="AW50" s="60"/>
      <c r="AX50" s="60"/>
      <c r="AY50" s="60"/>
      <c r="AZ50" s="60"/>
      <c r="BA50" s="60"/>
      <c r="BB50" s="60"/>
      <c r="BC50" s="60"/>
      <c r="BD50" s="60"/>
      <c r="BE50" s="60"/>
      <c r="BF50" s="60"/>
      <c r="BG50" s="60"/>
      <c r="BH50" s="60"/>
      <c r="BI50" s="60"/>
      <c r="BJ50" s="60"/>
      <c r="BK50" s="60"/>
      <c r="BL50" s="60"/>
      <c r="BM50" s="60"/>
      <c r="BN50" s="60"/>
      <c r="BO50" s="60"/>
      <c r="BP50" s="60"/>
      <c r="BQ50" s="60"/>
      <c r="BR50" s="60"/>
      <c r="BS50" s="60"/>
      <c r="BT50" s="60"/>
      <c r="BU50" s="60"/>
    </row>
    <row r="51" spans="1:73" s="67" customFormat="1" x14ac:dyDescent="0.2">
      <c r="A51" s="58">
        <v>46</v>
      </c>
      <c r="B51" s="59" t="s">
        <v>416</v>
      </c>
      <c r="C51" s="59" t="s">
        <v>417</v>
      </c>
      <c r="D51" s="60"/>
      <c r="E51" s="61">
        <f>COUNTIF($Q51:$V51,10)</f>
        <v>1</v>
      </c>
      <c r="F51" s="62">
        <f>E51</f>
        <v>1</v>
      </c>
      <c r="G51" s="61">
        <f>COUNTIF($X51:$AC51,10)</f>
        <v>0</v>
      </c>
      <c r="H51" s="63">
        <f>G51</f>
        <v>0</v>
      </c>
      <c r="I51" s="60">
        <f>COUNTIF($AE51:$AJ51,10)</f>
        <v>0</v>
      </c>
      <c r="J51" s="63">
        <f>I51</f>
        <v>0</v>
      </c>
      <c r="K51" s="63"/>
      <c r="L51" s="61">
        <f>COUNTIF($X51:$AC51,10)+COUNTIFS($X51:$AC51,"&gt;=7",$X51:$AC51,"&lt;10")/2</f>
        <v>0.5</v>
      </c>
      <c r="M51" s="63" t="str">
        <f>_xlfn.CONCAT(COUNTIF($X51:$AC51,10)+COUNTIFS($X51:$AC51,"&gt;=7",$X51:$AC51,"&lt;10")/2,REPT("*",COUNTBLANK($X51:$AC51)))</f>
        <v>0.5</v>
      </c>
      <c r="N51" s="60">
        <v>1.5</v>
      </c>
      <c r="O51" s="60">
        <v>1.5</v>
      </c>
      <c r="P51" s="60"/>
      <c r="Q51" s="64">
        <v>9.1999999999999993</v>
      </c>
      <c r="R51" s="64">
        <v>5.5023923444976104</v>
      </c>
      <c r="S51" s="64">
        <v>10</v>
      </c>
      <c r="T51" s="64">
        <v>4.71428571428571</v>
      </c>
      <c r="U51" s="64">
        <v>6.5</v>
      </c>
      <c r="V51" s="68"/>
      <c r="W51" s="61"/>
      <c r="X51" s="64">
        <f>[1]Health!F48</f>
        <v>9.1999999999999993</v>
      </c>
      <c r="Y51" s="64">
        <f>'[1]Food Security'!F48</f>
        <v>5.5023923444976104</v>
      </c>
      <c r="Z51" s="64">
        <f>'[1]Macro Fiscal'!F48</f>
        <v>0</v>
      </c>
      <c r="AA51" s="64">
        <f>'[1]Socioeconomic Vulnerability'!F48</f>
        <v>0</v>
      </c>
      <c r="AB51" s="64">
        <f>'[1]Natural Hazard'!F48</f>
        <v>6.5</v>
      </c>
      <c r="AC51" s="64">
        <f>'[1]Fragility and Conflict'!F48</f>
        <v>48</v>
      </c>
      <c r="AD51" s="61"/>
      <c r="AE51" s="64">
        <f>[1]Health!G48</f>
        <v>9.5238095238094793</v>
      </c>
      <c r="AF51" s="64">
        <f>'[1]Food Security'!G48</f>
        <v>0</v>
      </c>
      <c r="AG51" s="64">
        <f>'[1]Macro Fiscal'!G48</f>
        <v>0</v>
      </c>
      <c r="AH51" s="64">
        <f>'[1]Socioeconomic Vulnerability'!G48</f>
        <v>0</v>
      </c>
      <c r="AI51" s="64">
        <f>'[1]Natural Hazard'!G48</f>
        <v>0</v>
      </c>
      <c r="AJ51" s="64">
        <f>'[1]Fragility and Conflict'!G48</f>
        <v>0</v>
      </c>
      <c r="AK51" s="60"/>
      <c r="AL51" s="66">
        <v>0.2</v>
      </c>
      <c r="AM51" s="66">
        <v>0.6</v>
      </c>
      <c r="AN51" s="60"/>
      <c r="AO51" s="60"/>
      <c r="AP51" s="60"/>
      <c r="AQ51" s="60"/>
      <c r="AR51" s="60"/>
      <c r="AS51" s="60"/>
      <c r="AT51" s="60"/>
      <c r="AU51" s="60"/>
      <c r="AV51" s="60"/>
      <c r="AW51" s="60"/>
      <c r="AX51" s="60"/>
      <c r="AY51" s="60"/>
      <c r="AZ51" s="60"/>
      <c r="BA51" s="60"/>
      <c r="BB51" s="60"/>
      <c r="BC51" s="60"/>
      <c r="BD51" s="60"/>
      <c r="BE51" s="60"/>
      <c r="BF51" s="60"/>
      <c r="BG51" s="60"/>
      <c r="BH51" s="60"/>
      <c r="BI51" s="60"/>
      <c r="BJ51" s="60"/>
      <c r="BK51" s="60"/>
      <c r="BL51" s="60"/>
      <c r="BM51" s="60"/>
      <c r="BN51" s="60"/>
      <c r="BO51" s="60"/>
      <c r="BP51" s="60"/>
      <c r="BQ51" s="60"/>
      <c r="BR51" s="60"/>
      <c r="BS51" s="60"/>
      <c r="BT51" s="60"/>
      <c r="BU51" s="60"/>
    </row>
    <row r="52" spans="1:73" s="67" customFormat="1" x14ac:dyDescent="0.2">
      <c r="A52" s="58">
        <v>47</v>
      </c>
      <c r="B52" s="59" t="s">
        <v>421</v>
      </c>
      <c r="C52" s="59" t="s">
        <v>422</v>
      </c>
      <c r="D52" s="60"/>
      <c r="E52" s="61">
        <f>COUNTIF($Q52:$V52,10)</f>
        <v>0</v>
      </c>
      <c r="F52" s="62">
        <f>E52</f>
        <v>0</v>
      </c>
      <c r="G52" s="61">
        <f>COUNTIF($X52:$AC52,10)</f>
        <v>0</v>
      </c>
      <c r="H52" s="63">
        <f>G52</f>
        <v>0</v>
      </c>
      <c r="I52" s="60">
        <f>COUNTIF($AE52:$AJ52,10)</f>
        <v>1</v>
      </c>
      <c r="J52" s="63">
        <f>I52</f>
        <v>1</v>
      </c>
      <c r="K52" s="63"/>
      <c r="L52" s="61">
        <f>COUNTIF($X52:$AC52,10)+COUNTIFS($X52:$AC52,"&gt;=7",$X52:$AC52,"&lt;10")/2</f>
        <v>0.5</v>
      </c>
      <c r="M52" s="63" t="str">
        <f>_xlfn.CONCAT(COUNTIF($X52:$AC52,10)+COUNTIFS($X52:$AC52,"&gt;=7",$X52:$AC52,"&lt;10")/2,REPT("*",COUNTBLANK($X52:$AC52)))</f>
        <v>0.5</v>
      </c>
      <c r="N52" s="60">
        <v>1.5</v>
      </c>
      <c r="O52" s="60">
        <v>1.5</v>
      </c>
      <c r="P52" s="60"/>
      <c r="Q52" s="64">
        <v>0.25</v>
      </c>
      <c r="R52" s="64">
        <v>0</v>
      </c>
      <c r="S52" s="64">
        <v>2.0262664165103201</v>
      </c>
      <c r="T52" s="64">
        <v>0.28571428571428598</v>
      </c>
      <c r="U52" s="64">
        <v>5.0658650679570503</v>
      </c>
      <c r="V52" s="64">
        <v>1.9111111111111101</v>
      </c>
      <c r="W52" s="61"/>
      <c r="X52" s="64">
        <f>[1]Health!F49</f>
        <v>0.25</v>
      </c>
      <c r="Y52" s="64">
        <f>'[1]Food Security'!F49</f>
        <v>0</v>
      </c>
      <c r="Z52" s="64">
        <f>'[1]Macro Fiscal'!F49</f>
        <v>8.2644628099172807E-2</v>
      </c>
      <c r="AA52" s="64">
        <f>'[1]Socioeconomic Vulnerability'!F49</f>
        <v>7</v>
      </c>
      <c r="AB52" s="64">
        <f>'[1]Natural Hazard'!F49</f>
        <v>0.66666666666666796</v>
      </c>
      <c r="AC52" s="64">
        <f>'[1]Fragility and Conflict'!F49</f>
        <v>49</v>
      </c>
      <c r="AD52" s="61"/>
      <c r="AE52" s="64">
        <f>[1]Health!G49</f>
        <v>10</v>
      </c>
      <c r="AF52" s="64">
        <f>'[1]Food Security'!G49</f>
        <v>1</v>
      </c>
      <c r="AG52" s="64">
        <f>'[1]Macro Fiscal'!G49</f>
        <v>6.3636363636363598</v>
      </c>
      <c r="AH52" s="64">
        <f>'[1]Socioeconomic Vulnerability'!G49</f>
        <v>0</v>
      </c>
      <c r="AI52" s="64">
        <f>'[1]Natural Hazard'!G49</f>
        <v>0</v>
      </c>
      <c r="AJ52" s="64">
        <f>'[1]Fragility and Conflict'!G49</f>
        <v>0</v>
      </c>
      <c r="AK52" s="60"/>
      <c r="AL52" s="66">
        <v>0</v>
      </c>
      <c r="AM52" s="66">
        <v>0.5</v>
      </c>
      <c r="AN52" s="60"/>
      <c r="AO52" s="60"/>
      <c r="AP52" s="60"/>
      <c r="AQ52" s="60"/>
      <c r="AR52" s="60"/>
      <c r="AS52" s="60"/>
      <c r="AT52" s="60"/>
      <c r="AU52" s="60"/>
      <c r="AV52" s="60"/>
      <c r="AW52" s="60"/>
      <c r="AX52" s="60"/>
      <c r="AY52" s="60"/>
      <c r="AZ52" s="60"/>
      <c r="BA52" s="60"/>
      <c r="BB52" s="60"/>
      <c r="BC52" s="60"/>
      <c r="BD52" s="60"/>
      <c r="BE52" s="60"/>
      <c r="BF52" s="60"/>
      <c r="BG52" s="60"/>
      <c r="BH52" s="60"/>
      <c r="BI52" s="60"/>
      <c r="BJ52" s="60"/>
      <c r="BK52" s="60"/>
      <c r="BL52" s="60"/>
      <c r="BM52" s="60"/>
      <c r="BN52" s="60"/>
      <c r="BO52" s="60"/>
      <c r="BP52" s="60"/>
      <c r="BQ52" s="60"/>
      <c r="BR52" s="60"/>
      <c r="BS52" s="60"/>
      <c r="BT52" s="60"/>
      <c r="BU52" s="60"/>
    </row>
    <row r="53" spans="1:73" s="67" customFormat="1" x14ac:dyDescent="0.2">
      <c r="A53" s="58">
        <v>48</v>
      </c>
      <c r="B53" s="59" t="s">
        <v>427</v>
      </c>
      <c r="C53" s="59" t="s">
        <v>428</v>
      </c>
      <c r="D53" s="60"/>
      <c r="E53" s="61">
        <f>COUNTIF($Q53:$V53,10)</f>
        <v>0</v>
      </c>
      <c r="F53" s="62">
        <f>E53</f>
        <v>0</v>
      </c>
      <c r="G53" s="61">
        <f>COUNTIF($X53:$AC53,10)</f>
        <v>0</v>
      </c>
      <c r="H53" s="63">
        <f>G53</f>
        <v>0</v>
      </c>
      <c r="I53" s="60">
        <f>COUNTIF($AE53:$AJ53,10)</f>
        <v>0</v>
      </c>
      <c r="J53" s="63">
        <f>I53</f>
        <v>0</v>
      </c>
      <c r="K53" s="63"/>
      <c r="L53" s="61">
        <f>COUNTIF($X53:$AC53,10)+COUNTIFS($X53:$AC53,"&gt;=7",$X53:$AC53,"&lt;10")/2</f>
        <v>1</v>
      </c>
      <c r="M53" s="63" t="str">
        <f>_xlfn.CONCAT(COUNTIF($X53:$AC53,10)+COUNTIFS($X53:$AC53,"&gt;=7",$X53:$AC53,"&lt;10")/2,REPT("*",COUNTBLANK($X53:$AC53)))</f>
        <v>1</v>
      </c>
      <c r="N53" s="60">
        <v>1.5</v>
      </c>
      <c r="O53" s="60">
        <v>1.5</v>
      </c>
      <c r="P53" s="60"/>
      <c r="Q53" s="64">
        <v>6.34</v>
      </c>
      <c r="R53" s="64">
        <v>4.5933014354067003</v>
      </c>
      <c r="S53" s="64">
        <v>4.8217636022514103</v>
      </c>
      <c r="T53" s="64">
        <v>5</v>
      </c>
      <c r="U53" s="64">
        <v>9.5</v>
      </c>
      <c r="V53" s="64">
        <v>7.1555555555555603</v>
      </c>
      <c r="W53" s="61"/>
      <c r="X53" s="64">
        <f>[1]Health!F50</f>
        <v>6.34</v>
      </c>
      <c r="Y53" s="64">
        <f>'[1]Food Security'!F50</f>
        <v>4.5933014354067003</v>
      </c>
      <c r="Z53" s="64">
        <f>'[1]Macro Fiscal'!F50</f>
        <v>5.7190082644628104</v>
      </c>
      <c r="AA53" s="64">
        <f>'[1]Socioeconomic Vulnerability'!F50</f>
        <v>7</v>
      </c>
      <c r="AB53" s="64">
        <f>'[1]Natural Hazard'!F50</f>
        <v>9.5</v>
      </c>
      <c r="AC53" s="64">
        <f>'[1]Fragility and Conflict'!F50</f>
        <v>50</v>
      </c>
      <c r="AD53" s="61"/>
      <c r="AE53" s="64">
        <f>[1]Health!G50</f>
        <v>3.3338461538461499</v>
      </c>
      <c r="AF53" s="64">
        <f>'[1]Food Security'!G50</f>
        <v>3</v>
      </c>
      <c r="AG53" s="64">
        <f>'[1]Macro Fiscal'!G50</f>
        <v>6.3636363636363704</v>
      </c>
      <c r="AH53" s="64">
        <f>'[1]Socioeconomic Vulnerability'!G50</f>
        <v>0</v>
      </c>
      <c r="AI53" s="64">
        <f>'[1]Natural Hazard'!G50</f>
        <v>0</v>
      </c>
      <c r="AJ53" s="64">
        <f>'[1]Fragility and Conflict'!G50</f>
        <v>0</v>
      </c>
      <c r="AK53" s="60"/>
      <c r="AL53" s="66">
        <v>0</v>
      </c>
      <c r="AM53" s="66">
        <v>0.4</v>
      </c>
      <c r="AN53" s="60"/>
      <c r="AO53" s="60"/>
      <c r="AP53" s="60"/>
      <c r="AQ53" s="60"/>
      <c r="AR53" s="60"/>
      <c r="AS53" s="60"/>
      <c r="AT53" s="60"/>
      <c r="AU53" s="60"/>
      <c r="AV53" s="60"/>
      <c r="AW53" s="60"/>
      <c r="AX53" s="60"/>
      <c r="AY53" s="60"/>
      <c r="AZ53" s="60"/>
      <c r="BA53" s="60"/>
      <c r="BB53" s="60"/>
      <c r="BC53" s="60"/>
      <c r="BD53" s="60"/>
      <c r="BE53" s="60"/>
      <c r="BF53" s="60"/>
      <c r="BG53" s="60"/>
      <c r="BH53" s="60"/>
      <c r="BI53" s="60"/>
      <c r="BJ53" s="60"/>
      <c r="BK53" s="60"/>
      <c r="BL53" s="60"/>
      <c r="BM53" s="60"/>
      <c r="BN53" s="60"/>
      <c r="BO53" s="60"/>
      <c r="BP53" s="60"/>
      <c r="BQ53" s="60"/>
      <c r="BR53" s="60"/>
      <c r="BS53" s="60"/>
      <c r="BT53" s="60"/>
      <c r="BU53" s="60"/>
    </row>
    <row r="54" spans="1:73" s="67" customFormat="1" x14ac:dyDescent="0.2">
      <c r="A54" s="58">
        <v>49</v>
      </c>
      <c r="B54" s="59" t="s">
        <v>432</v>
      </c>
      <c r="C54" s="59" t="s">
        <v>433</v>
      </c>
      <c r="D54" s="60"/>
      <c r="E54" s="61">
        <f>COUNTIF($Q54:$V54,10)</f>
        <v>0</v>
      </c>
      <c r="F54" s="62">
        <f>E54</f>
        <v>0</v>
      </c>
      <c r="G54" s="61">
        <f>COUNTIF($X54:$AC54,10)</f>
        <v>0</v>
      </c>
      <c r="H54" s="63">
        <f>G54</f>
        <v>0</v>
      </c>
      <c r="I54" s="60">
        <f>COUNTIF($AE54:$AJ54,10)</f>
        <v>0</v>
      </c>
      <c r="J54" s="63">
        <f>I54</f>
        <v>0</v>
      </c>
      <c r="K54" s="63"/>
      <c r="L54" s="61">
        <f>COUNTIF($X54:$AC54,10)+COUNTIFS($X54:$AC54,"&gt;=7",$X54:$AC54,"&lt;10")/2</f>
        <v>1.5</v>
      </c>
      <c r="M54" s="63" t="str">
        <f>_xlfn.CONCAT(COUNTIF($X54:$AC54,10)+COUNTIFS($X54:$AC54,"&gt;=7",$X54:$AC54,"&lt;10")/2,REPT("*",COUNTBLANK($X54:$AC54)))</f>
        <v>1.5</v>
      </c>
      <c r="N54" s="60">
        <v>2.5</v>
      </c>
      <c r="O54" s="60">
        <v>2.5</v>
      </c>
      <c r="P54" s="60"/>
      <c r="Q54" s="64">
        <v>9.2799999999999994</v>
      </c>
      <c r="R54" s="64">
        <v>2.9665071770334901</v>
      </c>
      <c r="S54" s="64">
        <v>2.4765478424015002</v>
      </c>
      <c r="T54" s="64">
        <v>3.4285714285714302</v>
      </c>
      <c r="U54" s="64">
        <v>7.8921826499882703</v>
      </c>
      <c r="V54" s="64">
        <v>8.2888888888888896</v>
      </c>
      <c r="W54" s="61"/>
      <c r="X54" s="64">
        <f>[1]Health!F51</f>
        <v>9.2799999999999994</v>
      </c>
      <c r="Y54" s="64">
        <f>'[1]Food Security'!F51</f>
        <v>2.9665071770334901</v>
      </c>
      <c r="Z54" s="64">
        <f>'[1]Macro Fiscal'!F51</f>
        <v>9.0743801652892593</v>
      </c>
      <c r="AA54" s="64">
        <f>'[1]Socioeconomic Vulnerability'!F51</f>
        <v>7</v>
      </c>
      <c r="AB54" s="64">
        <f>'[1]Natural Hazard'!F51</f>
        <v>6.1666666666666696</v>
      </c>
      <c r="AC54" s="64">
        <f>'[1]Fragility and Conflict'!F51</f>
        <v>51</v>
      </c>
      <c r="AD54" s="61"/>
      <c r="AE54" s="64">
        <f>[1]Health!G51</f>
        <v>2.9907692307692302</v>
      </c>
      <c r="AF54" s="64">
        <f>'[1]Food Security'!G51</f>
        <v>1</v>
      </c>
      <c r="AG54" s="64">
        <f>'[1]Macro Fiscal'!G51</f>
        <v>5.2272727272727302</v>
      </c>
      <c r="AH54" s="64">
        <f>'[1]Socioeconomic Vulnerability'!G51</f>
        <v>0</v>
      </c>
      <c r="AI54" s="64">
        <f>'[1]Natural Hazard'!G51</f>
        <v>0</v>
      </c>
      <c r="AJ54" s="64">
        <f>'[1]Fragility and Conflict'!G51</f>
        <v>0</v>
      </c>
      <c r="AK54" s="60"/>
      <c r="AL54" s="66">
        <v>0</v>
      </c>
      <c r="AM54" s="66">
        <v>0.2</v>
      </c>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c r="BM54" s="60"/>
      <c r="BN54" s="60"/>
      <c r="BO54" s="60"/>
      <c r="BP54" s="60"/>
      <c r="BQ54" s="60"/>
      <c r="BR54" s="60"/>
      <c r="BS54" s="60"/>
      <c r="BT54" s="60"/>
      <c r="BU54" s="60"/>
    </row>
    <row r="55" spans="1:73" s="67" customFormat="1" x14ac:dyDescent="0.2">
      <c r="A55" s="58">
        <v>50</v>
      </c>
      <c r="B55" s="59" t="s">
        <v>438</v>
      </c>
      <c r="C55" s="59" t="s">
        <v>439</v>
      </c>
      <c r="D55" s="60"/>
      <c r="E55" s="61">
        <f>COUNTIF($Q55:$V55,10)</f>
        <v>0</v>
      </c>
      <c r="F55" s="62">
        <f>E55</f>
        <v>0</v>
      </c>
      <c r="G55" s="61">
        <f>COUNTIF($X55:$AC55,10)</f>
        <v>0</v>
      </c>
      <c r="H55" s="63">
        <f>G55</f>
        <v>0</v>
      </c>
      <c r="I55" s="60">
        <f>COUNTIF($AE55:$AJ55,10)</f>
        <v>0</v>
      </c>
      <c r="J55" s="63">
        <f>I55</f>
        <v>0</v>
      </c>
      <c r="K55" s="63"/>
      <c r="L55" s="61">
        <f>COUNTIF($X55:$AC55,10)+COUNTIFS($X55:$AC55,"&gt;=7",$X55:$AC55,"&lt;10")/2</f>
        <v>1.5</v>
      </c>
      <c r="M55" s="63" t="str">
        <f>_xlfn.CONCAT(COUNTIF($X55:$AC55,10)+COUNTIFS($X55:$AC55,"&gt;=7",$X55:$AC55,"&lt;10")/2,REPT("*",COUNTBLANK($X55:$AC55)))</f>
        <v>1.5</v>
      </c>
      <c r="N55" s="60">
        <v>3</v>
      </c>
      <c r="O55" s="60">
        <v>3</v>
      </c>
      <c r="P55" s="60"/>
      <c r="Q55" s="64">
        <v>4.75</v>
      </c>
      <c r="R55" s="64">
        <v>5.1435406698564599</v>
      </c>
      <c r="S55" s="64">
        <v>2.70168855534709</v>
      </c>
      <c r="T55" s="64">
        <v>4.8571428571428603</v>
      </c>
      <c r="U55" s="64">
        <v>9.8333333333333304</v>
      </c>
      <c r="V55" s="64">
        <v>7.7111111111111104</v>
      </c>
      <c r="W55" s="61"/>
      <c r="X55" s="64">
        <f>[1]Health!F52</f>
        <v>4.75</v>
      </c>
      <c r="Y55" s="64">
        <f>'[1]Food Security'!F52</f>
        <v>5.1435406698564599</v>
      </c>
      <c r="Z55" s="64">
        <f>'[1]Macro Fiscal'!F52</f>
        <v>7.1900826446280997</v>
      </c>
      <c r="AA55" s="64">
        <f>'[1]Socioeconomic Vulnerability'!F52</f>
        <v>7</v>
      </c>
      <c r="AB55" s="64">
        <f>'[1]Natural Hazard'!F52</f>
        <v>9.8333333333333304</v>
      </c>
      <c r="AC55" s="64">
        <f>'[1]Fragility and Conflict'!F52</f>
        <v>52</v>
      </c>
      <c r="AD55" s="61"/>
      <c r="AE55" s="64">
        <f>[1]Health!G52</f>
        <v>4.7619047619047397</v>
      </c>
      <c r="AF55" s="64">
        <f>'[1]Food Security'!G52</f>
        <v>3</v>
      </c>
      <c r="AG55" s="64">
        <f>'[1]Macro Fiscal'!G52</f>
        <v>3.63636363636363</v>
      </c>
      <c r="AH55" s="64">
        <f>'[1]Socioeconomic Vulnerability'!G52</f>
        <v>0</v>
      </c>
      <c r="AI55" s="64">
        <f>'[1]Natural Hazard'!G52</f>
        <v>0</v>
      </c>
      <c r="AJ55" s="64">
        <f>'[1]Fragility and Conflict'!G52</f>
        <v>0</v>
      </c>
      <c r="AK55" s="60"/>
      <c r="AL55" s="66">
        <v>0</v>
      </c>
      <c r="AM55" s="66">
        <v>0.3</v>
      </c>
      <c r="AN55" s="60"/>
      <c r="AO55" s="60"/>
      <c r="AP55" s="60"/>
      <c r="AQ55" s="60"/>
      <c r="AR55" s="60"/>
      <c r="AS55" s="60"/>
      <c r="AT55" s="60"/>
      <c r="AU55" s="60"/>
      <c r="AV55" s="60"/>
      <c r="AW55" s="60"/>
      <c r="AX55" s="60"/>
      <c r="AY55" s="60"/>
      <c r="AZ55" s="60"/>
      <c r="BA55" s="60"/>
      <c r="BB55" s="60"/>
      <c r="BC55" s="60"/>
      <c r="BD55" s="60"/>
      <c r="BE55" s="60"/>
      <c r="BF55" s="60"/>
      <c r="BG55" s="60"/>
      <c r="BH55" s="60"/>
      <c r="BI55" s="60"/>
      <c r="BJ55" s="60"/>
      <c r="BK55" s="60"/>
      <c r="BL55" s="60"/>
      <c r="BM55" s="60"/>
      <c r="BN55" s="60"/>
      <c r="BO55" s="60"/>
      <c r="BP55" s="60"/>
      <c r="BQ55" s="60"/>
      <c r="BR55" s="60"/>
      <c r="BS55" s="60"/>
      <c r="BT55" s="60"/>
      <c r="BU55" s="60"/>
    </row>
    <row r="56" spans="1:73" s="67" customFormat="1" x14ac:dyDescent="0.2">
      <c r="A56" s="58">
        <v>51</v>
      </c>
      <c r="B56" s="59" t="s">
        <v>443</v>
      </c>
      <c r="C56" s="59" t="s">
        <v>444</v>
      </c>
      <c r="D56" s="60"/>
      <c r="E56" s="61">
        <f>COUNTIF($Q56:$V56,10)</f>
        <v>0</v>
      </c>
      <c r="F56" s="62">
        <f>E56</f>
        <v>0</v>
      </c>
      <c r="G56" s="61">
        <f>COUNTIF($X56:$AC56,10)</f>
        <v>0</v>
      </c>
      <c r="H56" s="63">
        <f>G56</f>
        <v>0</v>
      </c>
      <c r="I56" s="60">
        <f>COUNTIF($AE56:$AJ56,10)</f>
        <v>0</v>
      </c>
      <c r="J56" s="63">
        <f>I56</f>
        <v>0</v>
      </c>
      <c r="K56" s="63"/>
      <c r="L56" s="61">
        <f>COUNTIF($X56:$AC56,10)+COUNTIFS($X56:$AC56,"&gt;=7",$X56:$AC56,"&lt;10")/2</f>
        <v>0.5</v>
      </c>
      <c r="M56" s="63" t="str">
        <f>_xlfn.CONCAT(COUNTIF($X56:$AC56,10)+COUNTIFS($X56:$AC56,"&gt;=7",$X56:$AC56,"&lt;10")/2,REPT("*",COUNTBLANK($X56:$AC56)))</f>
        <v>0.5</v>
      </c>
      <c r="N56" s="60">
        <v>2</v>
      </c>
      <c r="O56" s="60">
        <v>2</v>
      </c>
      <c r="P56" s="60"/>
      <c r="Q56" s="64">
        <v>6.02</v>
      </c>
      <c r="R56" s="64">
        <v>1.79425837320574</v>
      </c>
      <c r="S56" s="64">
        <v>7.9549718574108796</v>
      </c>
      <c r="T56" s="64">
        <v>5</v>
      </c>
      <c r="U56" s="64">
        <v>9.0856029641606995</v>
      </c>
      <c r="V56" s="64">
        <v>9.5555555555555607</v>
      </c>
      <c r="W56" s="61"/>
      <c r="X56" s="64">
        <f>[1]Health!F53</f>
        <v>6.02</v>
      </c>
      <c r="Y56" s="64">
        <f>'[1]Food Security'!F53</f>
        <v>1.79425837320574</v>
      </c>
      <c r="Z56" s="64">
        <f>'[1]Macro Fiscal'!F53</f>
        <v>6.6280991735537196</v>
      </c>
      <c r="AA56" s="64">
        <f>'[1]Socioeconomic Vulnerability'!F53</f>
        <v>9.1046643938336995</v>
      </c>
      <c r="AB56" s="64">
        <f>'[1]Natural Hazard'!F53</f>
        <v>6.5</v>
      </c>
      <c r="AC56" s="64">
        <f>'[1]Fragility and Conflict'!F53</f>
        <v>53</v>
      </c>
      <c r="AD56" s="61"/>
      <c r="AE56" s="64">
        <f>[1]Health!G53</f>
        <v>2.7861538461538502</v>
      </c>
      <c r="AF56" s="64">
        <f>'[1]Food Security'!G53</f>
        <v>1</v>
      </c>
      <c r="AG56" s="64">
        <f>'[1]Macro Fiscal'!G53</f>
        <v>3.86363636363637</v>
      </c>
      <c r="AH56" s="64">
        <f>'[1]Socioeconomic Vulnerability'!G53</f>
        <v>0</v>
      </c>
      <c r="AI56" s="64">
        <f>'[1]Natural Hazard'!G53</f>
        <v>0</v>
      </c>
      <c r="AJ56" s="64">
        <f>'[1]Fragility and Conflict'!G53</f>
        <v>0</v>
      </c>
      <c r="AK56" s="60"/>
      <c r="AL56" s="66">
        <v>0</v>
      </c>
      <c r="AM56" s="66">
        <v>0.3</v>
      </c>
      <c r="AN56" s="60"/>
      <c r="AO56" s="60"/>
      <c r="AP56" s="60"/>
      <c r="AQ56" s="60"/>
      <c r="AR56" s="60"/>
      <c r="AS56" s="60"/>
      <c r="AT56" s="60"/>
      <c r="AU56" s="60"/>
      <c r="AV56" s="60"/>
      <c r="AW56" s="60"/>
      <c r="AX56" s="60"/>
      <c r="AY56" s="60"/>
      <c r="AZ56" s="60"/>
      <c r="BA56" s="60"/>
      <c r="BB56" s="60"/>
      <c r="BC56" s="60"/>
      <c r="BD56" s="60"/>
      <c r="BE56" s="60"/>
      <c r="BF56" s="60"/>
      <c r="BG56" s="60"/>
      <c r="BH56" s="60"/>
      <c r="BI56" s="60"/>
      <c r="BJ56" s="60"/>
      <c r="BK56" s="60"/>
      <c r="BL56" s="60"/>
      <c r="BM56" s="60"/>
      <c r="BN56" s="60"/>
      <c r="BO56" s="60"/>
      <c r="BP56" s="60"/>
      <c r="BQ56" s="60"/>
      <c r="BR56" s="60"/>
      <c r="BS56" s="60"/>
      <c r="BT56" s="60"/>
      <c r="BU56" s="60"/>
    </row>
    <row r="57" spans="1:73" s="67" customFormat="1" x14ac:dyDescent="0.2">
      <c r="A57" s="58">
        <v>52</v>
      </c>
      <c r="B57" s="59" t="s">
        <v>449</v>
      </c>
      <c r="C57" s="59" t="s">
        <v>450</v>
      </c>
      <c r="D57" s="60"/>
      <c r="E57" s="61">
        <f>COUNTIF($Q57:$V57,10)</f>
        <v>2</v>
      </c>
      <c r="F57" s="62">
        <f>E57</f>
        <v>2</v>
      </c>
      <c r="G57" s="61">
        <f>COUNTIF($X57:$AC57,10)</f>
        <v>2</v>
      </c>
      <c r="H57" s="63">
        <f>G57</f>
        <v>2</v>
      </c>
      <c r="I57" s="60">
        <f>COUNTIF($AE57:$AJ57,10)</f>
        <v>1</v>
      </c>
      <c r="J57" s="63">
        <f>I57</f>
        <v>1</v>
      </c>
      <c r="K57" s="63"/>
      <c r="L57" s="61">
        <f>COUNTIF($X57:$AC57,10)+COUNTIFS($X57:$AC57,"&gt;=7",$X57:$AC57,"&lt;10")/2</f>
        <v>2.5</v>
      </c>
      <c r="M57" s="63" t="str">
        <f>_xlfn.CONCAT(COUNTIF($X57:$AC57,10)+COUNTIFS($X57:$AC57,"&gt;=7",$X57:$AC57,"&lt;10")/2,REPT("*",COUNTBLANK($X57:$AC57)))</f>
        <v>2.5</v>
      </c>
      <c r="N57" s="60">
        <v>2</v>
      </c>
      <c r="O57" s="60">
        <v>2</v>
      </c>
      <c r="P57" s="60"/>
      <c r="Q57" s="64">
        <v>9.75</v>
      </c>
      <c r="R57" s="64">
        <v>10</v>
      </c>
      <c r="S57" s="68"/>
      <c r="T57" s="64">
        <v>9</v>
      </c>
      <c r="U57" s="64">
        <v>7.65291182249846</v>
      </c>
      <c r="V57" s="64">
        <v>10</v>
      </c>
      <c r="W57" s="61"/>
      <c r="X57" s="64">
        <f>[1]Health!F54</f>
        <v>9.75</v>
      </c>
      <c r="Y57" s="64">
        <f>'[1]Food Security'!F54</f>
        <v>10</v>
      </c>
      <c r="Z57" s="64">
        <f>'[1]Macro Fiscal'!F54</f>
        <v>10</v>
      </c>
      <c r="AA57" s="64">
        <f>'[1]Socioeconomic Vulnerability'!F54</f>
        <v>0</v>
      </c>
      <c r="AB57" s="64">
        <f>'[1]Natural Hazard'!F54</f>
        <v>4.5</v>
      </c>
      <c r="AC57" s="64">
        <f>'[1]Fragility and Conflict'!F54</f>
        <v>54</v>
      </c>
      <c r="AD57" s="61"/>
      <c r="AE57" s="64">
        <f>[1]Health!G54</f>
        <v>9.5238095238094793</v>
      </c>
      <c r="AF57" s="64">
        <f>'[1]Food Security'!G54</f>
        <v>0</v>
      </c>
      <c r="AG57" s="64">
        <f>'[1]Macro Fiscal'!G54</f>
        <v>3.63636363636363</v>
      </c>
      <c r="AH57" s="64">
        <f>'[1]Socioeconomic Vulnerability'!G54</f>
        <v>0</v>
      </c>
      <c r="AI57" s="64">
        <f>'[1]Natural Hazard'!G54</f>
        <v>10</v>
      </c>
      <c r="AJ57" s="64">
        <f>'[1]Fragility and Conflict'!G54</f>
        <v>0</v>
      </c>
      <c r="AK57" s="60"/>
      <c r="AL57" s="66">
        <v>0.1</v>
      </c>
      <c r="AM57" s="66">
        <v>0.4</v>
      </c>
      <c r="AN57" s="60"/>
      <c r="AO57" s="60"/>
      <c r="AP57" s="60"/>
      <c r="AQ57" s="60"/>
      <c r="AR57" s="60"/>
      <c r="AS57" s="60"/>
      <c r="AT57" s="60"/>
      <c r="AU57" s="60"/>
      <c r="AV57" s="60"/>
      <c r="AW57" s="60"/>
      <c r="AX57" s="60"/>
      <c r="AY57" s="60"/>
      <c r="AZ57" s="60"/>
      <c r="BA57" s="60"/>
      <c r="BB57" s="60"/>
      <c r="BC57" s="60"/>
      <c r="BD57" s="60"/>
      <c r="BE57" s="60"/>
      <c r="BF57" s="60"/>
      <c r="BG57" s="60"/>
      <c r="BH57" s="60"/>
      <c r="BI57" s="60"/>
      <c r="BJ57" s="60"/>
      <c r="BK57" s="60"/>
      <c r="BL57" s="60"/>
      <c r="BM57" s="60"/>
      <c r="BN57" s="60"/>
      <c r="BO57" s="60"/>
      <c r="BP57" s="60"/>
      <c r="BQ57" s="60"/>
      <c r="BR57" s="60"/>
      <c r="BS57" s="60"/>
      <c r="BT57" s="60"/>
      <c r="BU57" s="60"/>
    </row>
    <row r="58" spans="1:73" s="67" customFormat="1" x14ac:dyDescent="0.2">
      <c r="A58" s="58">
        <v>53</v>
      </c>
      <c r="B58" s="59" t="s">
        <v>453</v>
      </c>
      <c r="C58" s="59" t="s">
        <v>454</v>
      </c>
      <c r="D58" s="60"/>
      <c r="E58" s="61">
        <f>COUNTIF($Q58:$V58,10)</f>
        <v>0</v>
      </c>
      <c r="F58" s="62">
        <f>E58</f>
        <v>0</v>
      </c>
      <c r="G58" s="61">
        <f>COUNTIF($X58:$AC58,10)</f>
        <v>0</v>
      </c>
      <c r="H58" s="63">
        <f>G58</f>
        <v>0</v>
      </c>
      <c r="I58" s="60">
        <f>COUNTIF($AE58:$AJ58,10)</f>
        <v>2</v>
      </c>
      <c r="J58" s="63">
        <f>I58</f>
        <v>2</v>
      </c>
      <c r="K58" s="63"/>
      <c r="L58" s="61">
        <f>COUNTIF($X58:$AC58,10)+COUNTIFS($X58:$AC58,"&gt;=7",$X58:$AC58,"&lt;10")/2</f>
        <v>0.5</v>
      </c>
      <c r="M58" s="63" t="str">
        <f>_xlfn.CONCAT(COUNTIF($X58:$AC58,10)+COUNTIFS($X58:$AC58,"&gt;=7",$X58:$AC58,"&lt;10")/2,REPT("*",COUNTBLANK($X58:$AC58)))</f>
        <v>0.5</v>
      </c>
      <c r="N58" s="60">
        <v>1.5</v>
      </c>
      <c r="O58" s="60">
        <v>1.5</v>
      </c>
      <c r="P58" s="60"/>
      <c r="Q58" s="64">
        <v>2</v>
      </c>
      <c r="R58" s="64">
        <v>0</v>
      </c>
      <c r="S58" s="64">
        <v>3.67729831144465</v>
      </c>
      <c r="T58" s="64">
        <v>0.71428571428571397</v>
      </c>
      <c r="U58" s="64">
        <v>8.9130122898300197</v>
      </c>
      <c r="V58" s="64">
        <v>4.4888888888888898</v>
      </c>
      <c r="W58" s="61"/>
      <c r="X58" s="64">
        <f>[1]Health!F55</f>
        <v>2</v>
      </c>
      <c r="Y58" s="64">
        <f>'[1]Food Security'!F55</f>
        <v>0</v>
      </c>
      <c r="Z58" s="64">
        <f>'[1]Macro Fiscal'!F55</f>
        <v>2.7272727272727302</v>
      </c>
      <c r="AA58" s="64">
        <f>'[1]Socioeconomic Vulnerability'!F55</f>
        <v>7</v>
      </c>
      <c r="AB58" s="64">
        <f>'[1]Natural Hazard'!F55</f>
        <v>5.1666666666666696</v>
      </c>
      <c r="AC58" s="64">
        <f>'[1]Fragility and Conflict'!F55</f>
        <v>55</v>
      </c>
      <c r="AD58" s="61"/>
      <c r="AE58" s="64">
        <f>[1]Health!G55</f>
        <v>10</v>
      </c>
      <c r="AF58" s="64">
        <f>'[1]Food Security'!G55</f>
        <v>3</v>
      </c>
      <c r="AG58" s="64">
        <f>'[1]Macro Fiscal'!G55</f>
        <v>10</v>
      </c>
      <c r="AH58" s="64">
        <f>'[1]Socioeconomic Vulnerability'!G55</f>
        <v>0</v>
      </c>
      <c r="AI58" s="64">
        <f>'[1]Natural Hazard'!G55</f>
        <v>0</v>
      </c>
      <c r="AJ58" s="64">
        <f>'[1]Fragility and Conflict'!G55</f>
        <v>0</v>
      </c>
      <c r="AK58" s="60"/>
      <c r="AL58" s="66">
        <v>0</v>
      </c>
      <c r="AM58" s="66">
        <v>0.3</v>
      </c>
      <c r="AN58" s="60"/>
      <c r="AO58" s="60"/>
      <c r="AP58" s="60"/>
      <c r="AQ58" s="60"/>
      <c r="AR58" s="60"/>
      <c r="AS58" s="60"/>
      <c r="AT58" s="60"/>
      <c r="AU58" s="60"/>
      <c r="AV58" s="60"/>
      <c r="AW58" s="60"/>
      <c r="AX58" s="60"/>
      <c r="AY58" s="60"/>
      <c r="AZ58" s="60"/>
      <c r="BA58" s="60"/>
      <c r="BB58" s="60"/>
      <c r="BC58" s="60"/>
      <c r="BD58" s="60"/>
      <c r="BE58" s="60"/>
      <c r="BF58" s="60"/>
      <c r="BG58" s="60"/>
      <c r="BH58" s="60"/>
      <c r="BI58" s="60"/>
      <c r="BJ58" s="60"/>
      <c r="BK58" s="60"/>
      <c r="BL58" s="60"/>
      <c r="BM58" s="60"/>
      <c r="BN58" s="60"/>
      <c r="BO58" s="60"/>
      <c r="BP58" s="60"/>
      <c r="BQ58" s="60"/>
      <c r="BR58" s="60"/>
      <c r="BS58" s="60"/>
      <c r="BT58" s="60"/>
      <c r="BU58" s="60"/>
    </row>
    <row r="59" spans="1:73" s="67" customFormat="1" x14ac:dyDescent="0.2">
      <c r="A59" s="58">
        <v>54</v>
      </c>
      <c r="B59" s="59" t="s">
        <v>459</v>
      </c>
      <c r="C59" s="59" t="s">
        <v>460</v>
      </c>
      <c r="D59" s="60"/>
      <c r="E59" s="61">
        <f>COUNTIF($Q59:$V59,10)</f>
        <v>0</v>
      </c>
      <c r="F59" s="62">
        <f>E59</f>
        <v>0</v>
      </c>
      <c r="G59" s="61">
        <f>COUNTIF($X59:$AC59,10)</f>
        <v>0</v>
      </c>
      <c r="H59" s="63">
        <f>G59</f>
        <v>0</v>
      </c>
      <c r="I59" s="60">
        <f>COUNTIF($AE59:$AJ59,10)</f>
        <v>1</v>
      </c>
      <c r="J59" s="63">
        <f>I59</f>
        <v>1</v>
      </c>
      <c r="K59" s="63"/>
      <c r="L59" s="61">
        <f>COUNTIF($X59:$AC59,10)+COUNTIFS($X59:$AC59,"&gt;=7",$X59:$AC59,"&lt;10")/2</f>
        <v>0.5</v>
      </c>
      <c r="M59" s="63" t="str">
        <f>_xlfn.CONCAT(COUNTIF($X59:$AC59,10)+COUNTIFS($X59:$AC59,"&gt;=7",$X59:$AC59,"&lt;10")/2,REPT("*",COUNTBLANK($X59:$AC59)))</f>
        <v>0.5</v>
      </c>
      <c r="N59" s="60">
        <v>2.5</v>
      </c>
      <c r="O59" s="60">
        <v>2.5</v>
      </c>
      <c r="P59" s="60"/>
      <c r="Q59" s="64">
        <v>2.6</v>
      </c>
      <c r="R59" s="64">
        <v>2.2488038277512001</v>
      </c>
      <c r="S59" s="64">
        <v>3.30206378986867</v>
      </c>
      <c r="T59" s="64">
        <v>0.85714285714285599</v>
      </c>
      <c r="U59" s="64">
        <v>6.03422595517016</v>
      </c>
      <c r="V59" s="64">
        <v>4.2777777777777803</v>
      </c>
      <c r="W59" s="61"/>
      <c r="X59" s="64">
        <f>[1]Health!F56</f>
        <v>2.6</v>
      </c>
      <c r="Y59" s="64">
        <f>'[1]Food Security'!F56</f>
        <v>2.2488038277512001</v>
      </c>
      <c r="Z59" s="64">
        <f>'[1]Macro Fiscal'!F56</f>
        <v>1.8842975206611601</v>
      </c>
      <c r="AA59" s="64">
        <f>'[1]Socioeconomic Vulnerability'!F56</f>
        <v>7</v>
      </c>
      <c r="AB59" s="64">
        <f>'[1]Natural Hazard'!F56</f>
        <v>0</v>
      </c>
      <c r="AC59" s="64">
        <f>'[1]Fragility and Conflict'!F56</f>
        <v>56</v>
      </c>
      <c r="AD59" s="61"/>
      <c r="AE59" s="64">
        <f>[1]Health!G56</f>
        <v>10</v>
      </c>
      <c r="AF59" s="64">
        <f>'[1]Food Security'!G56</f>
        <v>3</v>
      </c>
      <c r="AG59" s="64">
        <f>'[1]Macro Fiscal'!G56</f>
        <v>1.5909090909090899</v>
      </c>
      <c r="AH59" s="64">
        <f>'[1]Socioeconomic Vulnerability'!G56</f>
        <v>0</v>
      </c>
      <c r="AI59" s="64">
        <f>'[1]Natural Hazard'!G56</f>
        <v>0</v>
      </c>
      <c r="AJ59" s="64">
        <f>'[1]Fragility and Conflict'!G56</f>
        <v>0</v>
      </c>
      <c r="AK59" s="60"/>
      <c r="AL59" s="66">
        <v>0</v>
      </c>
      <c r="AM59" s="66">
        <v>0.4</v>
      </c>
      <c r="AN59" s="60"/>
      <c r="AO59" s="60"/>
      <c r="AP59" s="60"/>
      <c r="AQ59" s="60"/>
      <c r="AR59" s="60"/>
      <c r="AS59" s="60"/>
      <c r="AT59" s="60"/>
      <c r="AU59" s="60"/>
      <c r="AV59" s="60"/>
      <c r="AW59" s="60"/>
      <c r="AX59" s="60"/>
      <c r="AY59" s="60"/>
      <c r="AZ59" s="60"/>
      <c r="BA59" s="60"/>
      <c r="BB59" s="60"/>
      <c r="BC59" s="60"/>
      <c r="BD59" s="60"/>
      <c r="BE59" s="60"/>
      <c r="BF59" s="60"/>
      <c r="BG59" s="60"/>
      <c r="BH59" s="60"/>
      <c r="BI59" s="60"/>
      <c r="BJ59" s="60"/>
      <c r="BK59" s="60"/>
      <c r="BL59" s="60"/>
      <c r="BM59" s="60"/>
      <c r="BN59" s="60"/>
      <c r="BO59" s="60"/>
      <c r="BP59" s="60"/>
      <c r="BQ59" s="60"/>
      <c r="BR59" s="60"/>
      <c r="BS59" s="60"/>
      <c r="BT59" s="60"/>
      <c r="BU59" s="60"/>
    </row>
    <row r="60" spans="1:73" s="67" customFormat="1" x14ac:dyDescent="0.2">
      <c r="A60" s="58">
        <v>55</v>
      </c>
      <c r="B60" s="59" t="s">
        <v>465</v>
      </c>
      <c r="C60" s="59" t="s">
        <v>466</v>
      </c>
      <c r="D60" s="60"/>
      <c r="E60" s="61">
        <f>COUNTIF($Q60:$V60,10)</f>
        <v>2</v>
      </c>
      <c r="F60" s="62">
        <f>E60</f>
        <v>2</v>
      </c>
      <c r="G60" s="61">
        <f>COUNTIF($X60:$AC60,10)</f>
        <v>2</v>
      </c>
      <c r="H60" s="63">
        <f>G60</f>
        <v>2</v>
      </c>
      <c r="I60" s="60">
        <f>COUNTIF($AE60:$AJ60,10)</f>
        <v>3</v>
      </c>
      <c r="J60" s="63">
        <f>I60</f>
        <v>3</v>
      </c>
      <c r="K60" s="63"/>
      <c r="L60" s="61">
        <f>COUNTIF($X60:$AC60,10)+COUNTIFS($X60:$AC60,"&gt;=7",$X60:$AC60,"&lt;10")/2</f>
        <v>3</v>
      </c>
      <c r="M60" s="63" t="str">
        <f>_xlfn.CONCAT(COUNTIF($X60:$AC60,10)+COUNTIFS($X60:$AC60,"&gt;=7",$X60:$AC60,"&lt;10")/2,REPT("*",COUNTBLANK($X60:$AC60)))</f>
        <v>3</v>
      </c>
      <c r="N60" s="60">
        <v>4.5</v>
      </c>
      <c r="O60" s="60">
        <v>4.5</v>
      </c>
      <c r="P60" s="60"/>
      <c r="Q60" s="64">
        <f>IFERROR(GEOMEAN(X60,AE60), MAX(X60,AE60))</f>
        <v>9.8742088290657488</v>
      </c>
      <c r="R60" s="64">
        <f>IFERROR(GEOMEAN(Y60,AF60), MAX(Y60,AF60))</f>
        <v>10</v>
      </c>
      <c r="S60" s="64">
        <f>IFERROR(GEOMEAN(Z60,AG60), MAX(Z60,AG60))</f>
        <v>8.1742389136959925</v>
      </c>
      <c r="T60" s="64">
        <f>IFERROR(GEOMEAN(AA60,AH60), MAX(AA60,AH60))</f>
        <v>10</v>
      </c>
      <c r="U60" s="64">
        <f>IFERROR(GEOMEAN(AB60,AI60), MAX(AB60,AI60))</f>
        <v>7.5277265270908122</v>
      </c>
      <c r="V60" s="64">
        <f>IFERROR(GEOMEAN(AC60,AJ60), MAX(AC60,AJ60))</f>
        <v>20.682829048228403</v>
      </c>
      <c r="W60" s="61"/>
      <c r="X60" s="64">
        <f>[1]Health!F57</f>
        <v>9.75</v>
      </c>
      <c r="Y60" s="64">
        <f>'[1]Food Security'!F57</f>
        <v>10</v>
      </c>
      <c r="Z60" s="64">
        <f>'[1]Macro Fiscal'!F57</f>
        <v>8.9090909090909101</v>
      </c>
      <c r="AA60" s="64">
        <f>'[1]Socioeconomic Vulnerability'!F57</f>
        <v>10</v>
      </c>
      <c r="AB60" s="64">
        <f>'[1]Natural Hazard'!F57</f>
        <v>5.6666666666666696</v>
      </c>
      <c r="AC60" s="64">
        <f>'[1]Fragility and Conflict'!F57</f>
        <v>57</v>
      </c>
      <c r="AD60" s="61"/>
      <c r="AE60" s="64">
        <f>[1]Health!G57</f>
        <v>10</v>
      </c>
      <c r="AF60" s="64">
        <f>'[1]Food Security'!G57</f>
        <v>10</v>
      </c>
      <c r="AG60" s="64">
        <f>'[1]Macro Fiscal'!G57</f>
        <v>7.5</v>
      </c>
      <c r="AH60" s="64">
        <f>'[1]Socioeconomic Vulnerability'!G57</f>
        <v>0</v>
      </c>
      <c r="AI60" s="64">
        <f>'[1]Natural Hazard'!G57</f>
        <v>10</v>
      </c>
      <c r="AJ60" s="64">
        <f>'[1]Fragility and Conflict'!G57</f>
        <v>7.5049020603200098</v>
      </c>
      <c r="AK60" s="60"/>
      <c r="AL60" s="66">
        <v>0</v>
      </c>
      <c r="AM60" s="66">
        <v>0.2</v>
      </c>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row>
    <row r="61" spans="1:73" s="67" customFormat="1" x14ac:dyDescent="0.2">
      <c r="A61" s="58">
        <v>56</v>
      </c>
      <c r="B61" s="59" t="s">
        <v>471</v>
      </c>
      <c r="C61" s="59" t="s">
        <v>472</v>
      </c>
      <c r="D61" s="60"/>
      <c r="E61" s="61">
        <f>COUNTIF($Q61:$V61,10)</f>
        <v>0</v>
      </c>
      <c r="F61" s="62">
        <f>E61</f>
        <v>0</v>
      </c>
      <c r="G61" s="61">
        <f>COUNTIF($X61:$AC61,10)</f>
        <v>0</v>
      </c>
      <c r="H61" s="63">
        <f>G61</f>
        <v>0</v>
      </c>
      <c r="I61" s="60">
        <f>COUNTIF($AE61:$AJ61,10)</f>
        <v>0</v>
      </c>
      <c r="J61" s="63">
        <f>I61</f>
        <v>0</v>
      </c>
      <c r="K61" s="63"/>
      <c r="L61" s="61">
        <f>COUNTIF($X61:$AC61,10)+COUNTIFS($X61:$AC61,"&gt;=7",$X61:$AC61,"&lt;10")/2</f>
        <v>0.5</v>
      </c>
      <c r="M61" s="63" t="str">
        <f>_xlfn.CONCAT(COUNTIF($X61:$AC61,10)+COUNTIFS($X61:$AC61,"&gt;=7",$X61:$AC61,"&lt;10")/2,REPT("*",COUNTBLANK($X61:$AC61)))</f>
        <v>0.5</v>
      </c>
      <c r="N61" s="60">
        <v>2</v>
      </c>
      <c r="O61" s="60">
        <v>2</v>
      </c>
      <c r="P61" s="60"/>
      <c r="Q61" s="64">
        <v>0.26</v>
      </c>
      <c r="R61" s="64">
        <v>0.88516746411483305</v>
      </c>
      <c r="S61" s="64">
        <v>2.2514071294559099</v>
      </c>
      <c r="T61" s="64">
        <v>0.28571428571428598</v>
      </c>
      <c r="U61" s="64">
        <v>3.9127114501832199</v>
      </c>
      <c r="V61" s="64">
        <v>1.62222222222222</v>
      </c>
      <c r="W61" s="61"/>
      <c r="X61" s="64">
        <f>[1]Health!F58</f>
        <v>0.26</v>
      </c>
      <c r="Y61" s="64">
        <f>'[1]Food Security'!F58</f>
        <v>0.88516746411483305</v>
      </c>
      <c r="Z61" s="64">
        <f>'[1]Macro Fiscal'!F58</f>
        <v>0.34710743801652899</v>
      </c>
      <c r="AA61" s="64">
        <f>'[1]Socioeconomic Vulnerability'!F58</f>
        <v>7</v>
      </c>
      <c r="AB61" s="64">
        <f>'[1]Natural Hazard'!F58</f>
        <v>0</v>
      </c>
      <c r="AC61" s="64">
        <f>'[1]Fragility and Conflict'!F58</f>
        <v>58</v>
      </c>
      <c r="AD61" s="61"/>
      <c r="AE61" s="64">
        <f>[1]Health!G58</f>
        <v>9.5238095238094793</v>
      </c>
      <c r="AF61" s="64">
        <f>'[1]Food Security'!G58</f>
        <v>1</v>
      </c>
      <c r="AG61" s="64">
        <f>'[1]Macro Fiscal'!G58</f>
        <v>7.7272727272727204</v>
      </c>
      <c r="AH61" s="64">
        <f>'[1]Socioeconomic Vulnerability'!G58</f>
        <v>0</v>
      </c>
      <c r="AI61" s="64">
        <f>'[1]Natural Hazard'!G58</f>
        <v>0</v>
      </c>
      <c r="AJ61" s="64">
        <f>'[1]Fragility and Conflict'!G58</f>
        <v>0</v>
      </c>
      <c r="AK61" s="60"/>
      <c r="AL61" s="66">
        <v>0</v>
      </c>
      <c r="AM61" s="66">
        <v>0.5</v>
      </c>
      <c r="AN61" s="60"/>
      <c r="AO61" s="60"/>
      <c r="AP61" s="60"/>
      <c r="AQ61" s="60"/>
      <c r="AR61" s="60"/>
      <c r="AS61" s="60"/>
      <c r="AT61" s="60"/>
      <c r="AU61" s="60"/>
      <c r="AV61" s="60"/>
      <c r="AW61" s="60"/>
      <c r="AX61" s="60"/>
      <c r="AY61" s="60"/>
      <c r="AZ61" s="60"/>
      <c r="BA61" s="60"/>
      <c r="BB61" s="60"/>
      <c r="BC61" s="60"/>
      <c r="BD61" s="60"/>
      <c r="BE61" s="60"/>
      <c r="BF61" s="60"/>
      <c r="BG61" s="60"/>
      <c r="BH61" s="60"/>
      <c r="BI61" s="60"/>
      <c r="BJ61" s="60"/>
      <c r="BK61" s="60"/>
      <c r="BL61" s="60"/>
      <c r="BM61" s="60"/>
      <c r="BN61" s="60"/>
      <c r="BO61" s="60"/>
      <c r="BP61" s="60"/>
      <c r="BQ61" s="60"/>
      <c r="BR61" s="60"/>
      <c r="BS61" s="60"/>
      <c r="BT61" s="60"/>
      <c r="BU61" s="60"/>
    </row>
    <row r="62" spans="1:73" s="67" customFormat="1" x14ac:dyDescent="0.2">
      <c r="A62" s="58">
        <v>57</v>
      </c>
      <c r="B62" s="59" t="s">
        <v>476</v>
      </c>
      <c r="C62" s="59" t="s">
        <v>477</v>
      </c>
      <c r="D62" s="60"/>
      <c r="E62" s="61">
        <f>COUNTIF($Q62:$V62,10)</f>
        <v>0</v>
      </c>
      <c r="F62" s="62">
        <f>E62</f>
        <v>0</v>
      </c>
      <c r="G62" s="61">
        <f>COUNTIF($X62:$AC62,10)</f>
        <v>0</v>
      </c>
      <c r="H62" s="63">
        <f>G62</f>
        <v>0</v>
      </c>
      <c r="I62" s="60">
        <f>COUNTIF($AE62:$AJ62,10)</f>
        <v>2</v>
      </c>
      <c r="J62" s="63">
        <f>I62</f>
        <v>2</v>
      </c>
      <c r="K62" s="63"/>
      <c r="L62" s="61">
        <f>COUNTIF($X62:$AC62,10)+COUNTIFS($X62:$AC62,"&gt;=7",$X62:$AC62,"&lt;10")/2</f>
        <v>1</v>
      </c>
      <c r="M62" s="63" t="str">
        <f>_xlfn.CONCAT(COUNTIF($X62:$AC62,10)+COUNTIFS($X62:$AC62,"&gt;=7",$X62:$AC62,"&lt;10")/2,REPT("*",COUNTBLANK($X62:$AC62)))</f>
        <v>1</v>
      </c>
      <c r="N62" s="60">
        <v>3</v>
      </c>
      <c r="O62" s="60">
        <v>3</v>
      </c>
      <c r="P62" s="60"/>
      <c r="Q62" s="64">
        <v>8.86</v>
      </c>
      <c r="R62" s="64">
        <v>4.9043062200956902</v>
      </c>
      <c r="S62" s="64">
        <v>8.7054409005628504</v>
      </c>
      <c r="T62" s="64">
        <v>4.8571428571428603</v>
      </c>
      <c r="U62" s="64">
        <v>8.0638574767920108</v>
      </c>
      <c r="V62" s="64">
        <v>7.7666666666666702</v>
      </c>
      <c r="W62" s="61"/>
      <c r="X62" s="64">
        <f>[1]Health!F59</f>
        <v>8.86</v>
      </c>
      <c r="Y62" s="64">
        <f>'[1]Food Security'!F59</f>
        <v>4.9043062200956902</v>
      </c>
      <c r="Z62" s="64">
        <f>'[1]Macro Fiscal'!F59</f>
        <v>0</v>
      </c>
      <c r="AA62" s="64">
        <f>'[1]Socioeconomic Vulnerability'!F59</f>
        <v>7</v>
      </c>
      <c r="AB62" s="64">
        <f>'[1]Natural Hazard'!F59</f>
        <v>4.8333333333333304</v>
      </c>
      <c r="AC62" s="64">
        <f>'[1]Fragility and Conflict'!F59</f>
        <v>59</v>
      </c>
      <c r="AD62" s="61"/>
      <c r="AE62" s="64">
        <f>[1]Health!G59</f>
        <v>10</v>
      </c>
      <c r="AF62" s="64">
        <f>'[1]Food Security'!G59</f>
        <v>1</v>
      </c>
      <c r="AG62" s="64">
        <f>'[1]Macro Fiscal'!G59</f>
        <v>0</v>
      </c>
      <c r="AH62" s="64">
        <f>'[1]Socioeconomic Vulnerability'!G59</f>
        <v>0</v>
      </c>
      <c r="AI62" s="64">
        <f>'[1]Natural Hazard'!G59</f>
        <v>10</v>
      </c>
      <c r="AJ62" s="64">
        <f>'[1]Fragility and Conflict'!G59</f>
        <v>0</v>
      </c>
      <c r="AK62" s="60"/>
      <c r="AL62" s="66">
        <v>0</v>
      </c>
      <c r="AM62" s="66">
        <v>0.3</v>
      </c>
      <c r="AN62" s="60"/>
      <c r="AO62" s="60"/>
      <c r="AP62" s="60"/>
      <c r="AQ62" s="60"/>
      <c r="AR62" s="60"/>
      <c r="AS62" s="60"/>
      <c r="AT62" s="60"/>
      <c r="AU62" s="60"/>
      <c r="AV62" s="60"/>
      <c r="AW62" s="60"/>
      <c r="AX62" s="60"/>
      <c r="AY62" s="60"/>
      <c r="AZ62" s="60"/>
      <c r="BA62" s="60"/>
      <c r="BB62" s="60"/>
      <c r="BC62" s="60"/>
      <c r="BD62" s="60"/>
      <c r="BE62" s="60"/>
      <c r="BF62" s="60"/>
      <c r="BG62" s="60"/>
      <c r="BH62" s="60"/>
      <c r="BI62" s="60"/>
      <c r="BJ62" s="60"/>
      <c r="BK62" s="60"/>
      <c r="BL62" s="60"/>
      <c r="BM62" s="60"/>
      <c r="BN62" s="60"/>
      <c r="BO62" s="60"/>
      <c r="BP62" s="60"/>
      <c r="BQ62" s="60"/>
      <c r="BR62" s="60"/>
      <c r="BS62" s="60"/>
      <c r="BT62" s="60"/>
      <c r="BU62" s="60"/>
    </row>
    <row r="63" spans="1:73" s="67" customFormat="1" x14ac:dyDescent="0.2">
      <c r="A63" s="58">
        <v>58</v>
      </c>
      <c r="B63" s="59" t="s">
        <v>481</v>
      </c>
      <c r="C63" s="59" t="s">
        <v>482</v>
      </c>
      <c r="D63" s="60"/>
      <c r="E63" s="61">
        <f>COUNTIF($Q63:$V63,10)</f>
        <v>0</v>
      </c>
      <c r="F63" s="62">
        <f>E63</f>
        <v>0</v>
      </c>
      <c r="G63" s="61">
        <f>COUNTIF($X63:$AC63,10)</f>
        <v>0</v>
      </c>
      <c r="H63" s="63">
        <f>G63</f>
        <v>0</v>
      </c>
      <c r="I63" s="60">
        <f>COUNTIF($AE63:$AJ63,10)</f>
        <v>1</v>
      </c>
      <c r="J63" s="63">
        <f>I63</f>
        <v>1</v>
      </c>
      <c r="K63" s="63"/>
      <c r="L63" s="61">
        <f>COUNTIF($X63:$AC63,10)+COUNTIFS($X63:$AC63,"&gt;=7",$X63:$AC63,"&lt;10")/2</f>
        <v>0.5</v>
      </c>
      <c r="M63" s="63" t="str">
        <f>_xlfn.CONCAT(COUNTIF($X63:$AC63,10)+COUNTIFS($X63:$AC63,"&gt;=7",$X63:$AC63,"&lt;10")/2,REPT("*",COUNTBLANK($X63:$AC63)))</f>
        <v>0.5</v>
      </c>
      <c r="N63" s="60">
        <v>1.5</v>
      </c>
      <c r="O63" s="60">
        <v>1.5</v>
      </c>
      <c r="P63" s="60"/>
      <c r="Q63" s="64">
        <v>2.5</v>
      </c>
      <c r="R63" s="64">
        <v>0</v>
      </c>
      <c r="S63" s="64">
        <v>2.2514071294559099</v>
      </c>
      <c r="T63" s="64">
        <v>0.71428571428571397</v>
      </c>
      <c r="U63" s="64">
        <v>8.3161345203844306</v>
      </c>
      <c r="V63" s="64">
        <v>3.3888888888888902</v>
      </c>
      <c r="W63" s="61"/>
      <c r="X63" s="64">
        <f>[1]Health!F60</f>
        <v>2.5</v>
      </c>
      <c r="Y63" s="64">
        <f>'[1]Food Security'!F60</f>
        <v>0</v>
      </c>
      <c r="Z63" s="64">
        <f>'[1]Macro Fiscal'!F60</f>
        <v>1.8842975206611601</v>
      </c>
      <c r="AA63" s="64">
        <f>'[1]Socioeconomic Vulnerability'!F60</f>
        <v>7</v>
      </c>
      <c r="AB63" s="64">
        <f>'[1]Natural Hazard'!F60</f>
        <v>4</v>
      </c>
      <c r="AC63" s="64">
        <f>'[1]Fragility and Conflict'!F60</f>
        <v>60</v>
      </c>
      <c r="AD63" s="61"/>
      <c r="AE63" s="64">
        <f>[1]Health!G60</f>
        <v>10</v>
      </c>
      <c r="AF63" s="64">
        <f>'[1]Food Security'!G60</f>
        <v>1</v>
      </c>
      <c r="AG63" s="64">
        <f>'[1]Macro Fiscal'!G60</f>
        <v>1.5909090909090899</v>
      </c>
      <c r="AH63" s="64">
        <f>'[1]Socioeconomic Vulnerability'!G60</f>
        <v>0</v>
      </c>
      <c r="AI63" s="64">
        <f>'[1]Natural Hazard'!G60</f>
        <v>0</v>
      </c>
      <c r="AJ63" s="64">
        <f>'[1]Fragility and Conflict'!G60</f>
        <v>0</v>
      </c>
      <c r="AK63" s="60"/>
      <c r="AL63" s="66">
        <v>0</v>
      </c>
      <c r="AM63" s="66">
        <v>0.3</v>
      </c>
      <c r="AN63" s="60"/>
      <c r="AO63" s="60"/>
      <c r="AP63" s="60"/>
      <c r="AQ63" s="60"/>
      <c r="AR63" s="60"/>
      <c r="AS63" s="60"/>
      <c r="AT63" s="60"/>
      <c r="AU63" s="60"/>
      <c r="AV63" s="60"/>
      <c r="AW63" s="60"/>
      <c r="AX63" s="60"/>
      <c r="AY63" s="60"/>
      <c r="AZ63" s="60"/>
      <c r="BA63" s="60"/>
      <c r="BB63" s="60"/>
      <c r="BC63" s="60"/>
      <c r="BD63" s="60"/>
      <c r="BE63" s="60"/>
      <c r="BF63" s="60"/>
      <c r="BG63" s="60"/>
      <c r="BH63" s="60"/>
      <c r="BI63" s="60"/>
      <c r="BJ63" s="60"/>
      <c r="BK63" s="60"/>
      <c r="BL63" s="60"/>
      <c r="BM63" s="60"/>
      <c r="BN63" s="60"/>
      <c r="BO63" s="60"/>
      <c r="BP63" s="60"/>
      <c r="BQ63" s="60"/>
      <c r="BR63" s="60"/>
      <c r="BS63" s="60"/>
      <c r="BT63" s="60"/>
      <c r="BU63" s="60"/>
    </row>
    <row r="64" spans="1:73" s="67" customFormat="1" x14ac:dyDescent="0.2">
      <c r="A64" s="58">
        <v>59</v>
      </c>
      <c r="B64" s="59" t="s">
        <v>486</v>
      </c>
      <c r="C64" s="59" t="s">
        <v>487</v>
      </c>
      <c r="D64" s="60"/>
      <c r="E64" s="61">
        <f>COUNTIF($Q64:$V64,10)</f>
        <v>2</v>
      </c>
      <c r="F64" s="62">
        <f>E64</f>
        <v>2</v>
      </c>
      <c r="G64" s="61">
        <f>COUNTIF($X64:$AC64,10)</f>
        <v>0</v>
      </c>
      <c r="H64" s="63">
        <f>G64</f>
        <v>0</v>
      </c>
      <c r="I64" s="60">
        <f>COUNTIF($AE64:$AJ64,10)</f>
        <v>1</v>
      </c>
      <c r="J64" s="63">
        <f>I64</f>
        <v>1</v>
      </c>
      <c r="K64" s="63"/>
      <c r="L64" s="61">
        <f>COUNTIF($X64:$AC64,10)+COUNTIFS($X64:$AC64,"&gt;=7",$X64:$AC64,"&lt;10")/2</f>
        <v>0.5</v>
      </c>
      <c r="M64" s="63" t="str">
        <f>_xlfn.CONCAT(COUNTIF($X64:$AC64,10)+COUNTIFS($X64:$AC64,"&gt;=7",$X64:$AC64,"&lt;10")/2,REPT("*",COUNTBLANK($X64:$AC64)))</f>
        <v>0.5</v>
      </c>
      <c r="N64" s="60">
        <v>1</v>
      </c>
      <c r="O64" s="60">
        <v>1</v>
      </c>
      <c r="P64" s="60"/>
      <c r="Q64" s="64">
        <v>7.5</v>
      </c>
      <c r="R64" s="68"/>
      <c r="S64" s="64">
        <v>10</v>
      </c>
      <c r="T64" s="64">
        <v>8</v>
      </c>
      <c r="U64" s="64">
        <v>5.9489139474219304</v>
      </c>
      <c r="V64" s="64">
        <v>10</v>
      </c>
      <c r="W64" s="61"/>
      <c r="X64" s="64">
        <f>[1]Health!F61</f>
        <v>7.44</v>
      </c>
      <c r="Y64" s="64">
        <f>'[1]Food Security'!F61</f>
        <v>0</v>
      </c>
      <c r="Z64" s="64">
        <f>'[1]Macro Fiscal'!F61</f>
        <v>0</v>
      </c>
      <c r="AA64" s="64">
        <f>'[1]Socioeconomic Vulnerability'!F61</f>
        <v>0</v>
      </c>
      <c r="AB64" s="64">
        <f>'[1]Natural Hazard'!F61</f>
        <v>5.3333333333333304</v>
      </c>
      <c r="AC64" s="64">
        <f>'[1]Fragility and Conflict'!F61</f>
        <v>61</v>
      </c>
      <c r="AD64" s="61"/>
      <c r="AE64" s="64">
        <f>[1]Health!G61</f>
        <v>0</v>
      </c>
      <c r="AF64" s="64">
        <f>'[1]Food Security'!G61</f>
        <v>0</v>
      </c>
      <c r="AG64" s="64">
        <f>'[1]Macro Fiscal'!G61</f>
        <v>0</v>
      </c>
      <c r="AH64" s="64">
        <f>'[1]Socioeconomic Vulnerability'!G61</f>
        <v>0</v>
      </c>
      <c r="AI64" s="64">
        <f>'[1]Natural Hazard'!G61</f>
        <v>10</v>
      </c>
      <c r="AJ64" s="64">
        <f>'[1]Fragility and Conflict'!G61</f>
        <v>0</v>
      </c>
      <c r="AK64" s="60"/>
      <c r="AL64" s="66">
        <v>0.2</v>
      </c>
      <c r="AM64" s="66">
        <v>0.8</v>
      </c>
      <c r="AN64" s="60"/>
      <c r="AO64" s="60"/>
      <c r="AP64" s="60"/>
      <c r="AQ64" s="60"/>
      <c r="AR64" s="60"/>
      <c r="AS64" s="60"/>
      <c r="AT64" s="60"/>
      <c r="AU64" s="60"/>
      <c r="AV64" s="60"/>
      <c r="AW64" s="60"/>
      <c r="AX64" s="60"/>
      <c r="AY64" s="60"/>
      <c r="AZ64" s="60"/>
      <c r="BA64" s="60"/>
      <c r="BB64" s="60"/>
      <c r="BC64" s="60"/>
      <c r="BD64" s="60"/>
      <c r="BE64" s="60"/>
      <c r="BF64" s="60"/>
      <c r="BG64" s="60"/>
      <c r="BH64" s="60"/>
      <c r="BI64" s="60"/>
      <c r="BJ64" s="60"/>
      <c r="BK64" s="60"/>
      <c r="BL64" s="60"/>
      <c r="BM64" s="60"/>
      <c r="BN64" s="60"/>
      <c r="BO64" s="60"/>
      <c r="BP64" s="60"/>
      <c r="BQ64" s="60"/>
      <c r="BR64" s="60"/>
      <c r="BS64" s="60"/>
      <c r="BT64" s="60"/>
      <c r="BU64" s="60"/>
    </row>
    <row r="65" spans="1:73" s="67" customFormat="1" x14ac:dyDescent="0.2">
      <c r="A65" s="58">
        <v>60</v>
      </c>
      <c r="B65" s="59" t="s">
        <v>488</v>
      </c>
      <c r="C65" s="59" t="s">
        <v>489</v>
      </c>
      <c r="D65" s="60"/>
      <c r="E65" s="61">
        <f>COUNTIF($Q65:$V65,10)</f>
        <v>1</v>
      </c>
      <c r="F65" s="62">
        <f>E65</f>
        <v>1</v>
      </c>
      <c r="G65" s="61">
        <f>COUNTIF($X65:$AC65,10)</f>
        <v>2</v>
      </c>
      <c r="H65" s="63">
        <f>G65</f>
        <v>2</v>
      </c>
      <c r="I65" s="60">
        <f>COUNTIF($AE65:$AJ65,10)</f>
        <v>1</v>
      </c>
      <c r="J65" s="63">
        <f>I65</f>
        <v>1</v>
      </c>
      <c r="K65" s="63"/>
      <c r="L65" s="61">
        <f>COUNTIF($X65:$AC65,10)+COUNTIFS($X65:$AC65,"&gt;=7",$X65:$AC65,"&lt;10")/2</f>
        <v>2.5</v>
      </c>
      <c r="M65" s="63" t="str">
        <f>_xlfn.CONCAT(COUNTIF($X65:$AC65,10)+COUNTIFS($X65:$AC65,"&gt;=7",$X65:$AC65,"&lt;10")/2,REPT("*",COUNTBLANK($X65:$AC65)))</f>
        <v>2.5</v>
      </c>
      <c r="N65" s="60">
        <v>2.5</v>
      </c>
      <c r="O65" s="60">
        <v>2.5</v>
      </c>
      <c r="P65" s="60"/>
      <c r="Q65" s="64">
        <v>10</v>
      </c>
      <c r="R65" s="64">
        <v>6.6028708133971303</v>
      </c>
      <c r="S65" s="64">
        <v>0</v>
      </c>
      <c r="T65" s="64">
        <v>6.1428571428571397</v>
      </c>
      <c r="U65" s="64">
        <v>6.1014246793640501</v>
      </c>
      <c r="V65" s="64">
        <v>7.6777777777777798</v>
      </c>
      <c r="W65" s="61"/>
      <c r="X65" s="64">
        <f>[1]Health!F62</f>
        <v>10</v>
      </c>
      <c r="Y65" s="64">
        <f>'[1]Food Security'!F62</f>
        <v>6.6028708133971303</v>
      </c>
      <c r="Z65" s="64">
        <f>'[1]Macro Fiscal'!F62</f>
        <v>7.8347107438016499</v>
      </c>
      <c r="AA65" s="64">
        <f>'[1]Socioeconomic Vulnerability'!F62</f>
        <v>10</v>
      </c>
      <c r="AB65" s="64">
        <f>'[1]Natural Hazard'!F62</f>
        <v>2.5</v>
      </c>
      <c r="AC65" s="64">
        <f>'[1]Fragility and Conflict'!F62</f>
        <v>62</v>
      </c>
      <c r="AD65" s="61"/>
      <c r="AE65" s="64">
        <f>[1]Health!G62</f>
        <v>10</v>
      </c>
      <c r="AF65" s="64">
        <f>'[1]Food Security'!G62</f>
        <v>0</v>
      </c>
      <c r="AG65" s="64">
        <f>'[1]Macro Fiscal'!G62</f>
        <v>2.2727272727272698</v>
      </c>
      <c r="AH65" s="64">
        <f>'[1]Socioeconomic Vulnerability'!G62</f>
        <v>0</v>
      </c>
      <c r="AI65" s="64">
        <f>'[1]Natural Hazard'!G62</f>
        <v>0</v>
      </c>
      <c r="AJ65" s="64">
        <f>'[1]Fragility and Conflict'!G62</f>
        <v>0</v>
      </c>
      <c r="AK65" s="60"/>
      <c r="AL65" s="66">
        <v>0</v>
      </c>
      <c r="AM65" s="66">
        <v>0.4</v>
      </c>
      <c r="AN65" s="60"/>
      <c r="AO65" s="60"/>
      <c r="AP65" s="60"/>
      <c r="AQ65" s="60"/>
      <c r="AR65" s="60"/>
      <c r="AS65" s="60"/>
      <c r="AT65" s="60"/>
      <c r="AU65" s="60"/>
      <c r="AV65" s="60"/>
      <c r="AW65" s="60"/>
      <c r="AX65" s="60"/>
      <c r="AY65" s="60"/>
      <c r="AZ65" s="60"/>
      <c r="BA65" s="60"/>
      <c r="BB65" s="60"/>
      <c r="BC65" s="60"/>
      <c r="BD65" s="60"/>
      <c r="BE65" s="60"/>
      <c r="BF65" s="60"/>
      <c r="BG65" s="60"/>
      <c r="BH65" s="60"/>
      <c r="BI65" s="60"/>
      <c r="BJ65" s="60"/>
      <c r="BK65" s="60"/>
      <c r="BL65" s="60"/>
      <c r="BM65" s="60"/>
      <c r="BN65" s="60"/>
      <c r="BO65" s="60"/>
      <c r="BP65" s="60"/>
      <c r="BQ65" s="60"/>
      <c r="BR65" s="60"/>
      <c r="BS65" s="60"/>
      <c r="BT65" s="60"/>
      <c r="BU65" s="60"/>
    </row>
    <row r="66" spans="1:73" s="67" customFormat="1" x14ac:dyDescent="0.2">
      <c r="A66" s="58">
        <v>61</v>
      </c>
      <c r="B66" s="59" t="s">
        <v>492</v>
      </c>
      <c r="C66" s="59" t="s">
        <v>493</v>
      </c>
      <c r="D66" s="60"/>
      <c r="E66" s="61">
        <f>COUNTIF($Q66:$V66,10)</f>
        <v>0</v>
      </c>
      <c r="F66" s="62">
        <f>E66</f>
        <v>0</v>
      </c>
      <c r="G66" s="61">
        <f>COUNTIF($X66:$AC66,10)</f>
        <v>0</v>
      </c>
      <c r="H66" s="63">
        <f>G66</f>
        <v>0</v>
      </c>
      <c r="I66" s="60">
        <f>COUNTIF($AE66:$AJ66,10)</f>
        <v>1</v>
      </c>
      <c r="J66" s="63">
        <f>I66</f>
        <v>1</v>
      </c>
      <c r="K66" s="63"/>
      <c r="L66" s="61">
        <f>COUNTIF($X66:$AC66,10)+COUNTIFS($X66:$AC66,"&gt;=7",$X66:$AC66,"&lt;10")/2</f>
        <v>0.5</v>
      </c>
      <c r="M66" s="63" t="str">
        <f>_xlfn.CONCAT(COUNTIF($X66:$AC66,10)+COUNTIFS($X66:$AC66,"&gt;=7",$X66:$AC66,"&lt;10")/2,REPT("*",COUNTBLANK($X66:$AC66)))</f>
        <v>0.5</v>
      </c>
      <c r="N66" s="60">
        <v>1.5</v>
      </c>
      <c r="O66" s="60">
        <v>1.5</v>
      </c>
      <c r="P66" s="60"/>
      <c r="Q66" s="64">
        <v>1.5</v>
      </c>
      <c r="R66" s="64">
        <v>0</v>
      </c>
      <c r="S66" s="64">
        <v>3.75234521575985</v>
      </c>
      <c r="T66" s="64">
        <v>0.71428571428571397</v>
      </c>
      <c r="U66" s="64">
        <v>6.89357852670864</v>
      </c>
      <c r="V66" s="64">
        <v>4.25555555555556</v>
      </c>
      <c r="W66" s="61"/>
      <c r="X66" s="64">
        <f>[1]Health!F63</f>
        <v>1.5</v>
      </c>
      <c r="Y66" s="64">
        <f>'[1]Food Security'!F63</f>
        <v>0</v>
      </c>
      <c r="Z66" s="64">
        <f>'[1]Macro Fiscal'!F63</f>
        <v>1.5041322314049601</v>
      </c>
      <c r="AA66" s="64">
        <f>'[1]Socioeconomic Vulnerability'!F63</f>
        <v>7</v>
      </c>
      <c r="AB66" s="64">
        <f>'[1]Natural Hazard'!F63</f>
        <v>2.3333333333333299</v>
      </c>
      <c r="AC66" s="64">
        <f>'[1]Fragility and Conflict'!F63</f>
        <v>63</v>
      </c>
      <c r="AD66" s="61"/>
      <c r="AE66" s="64">
        <f>[1]Health!G63</f>
        <v>10</v>
      </c>
      <c r="AF66" s="64">
        <f>'[1]Food Security'!G63</f>
        <v>1</v>
      </c>
      <c r="AG66" s="64">
        <f>'[1]Macro Fiscal'!G63</f>
        <v>6.8181818181818201</v>
      </c>
      <c r="AH66" s="64">
        <f>'[1]Socioeconomic Vulnerability'!G63</f>
        <v>0</v>
      </c>
      <c r="AI66" s="64">
        <f>'[1]Natural Hazard'!G63</f>
        <v>0</v>
      </c>
      <c r="AJ66" s="64">
        <f>'[1]Fragility and Conflict'!G63</f>
        <v>0</v>
      </c>
      <c r="AK66" s="60"/>
      <c r="AL66" s="66">
        <v>0</v>
      </c>
      <c r="AM66" s="66">
        <v>0.5</v>
      </c>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row>
    <row r="67" spans="1:73" s="67" customFormat="1" x14ac:dyDescent="0.2">
      <c r="A67" s="58">
        <v>62</v>
      </c>
      <c r="B67" s="59" t="s">
        <v>495</v>
      </c>
      <c r="C67" s="59" t="s">
        <v>496</v>
      </c>
      <c r="D67" s="60"/>
      <c r="E67" s="61">
        <f>COUNTIF($Q67:$V67,10)</f>
        <v>0</v>
      </c>
      <c r="F67" s="62">
        <f>E67</f>
        <v>0</v>
      </c>
      <c r="G67" s="61">
        <f>COUNTIF($X67:$AC67,10)</f>
        <v>0</v>
      </c>
      <c r="H67" s="63">
        <f>G67</f>
        <v>0</v>
      </c>
      <c r="I67" s="60">
        <f>COUNTIF($AE67:$AJ67,10)</f>
        <v>1</v>
      </c>
      <c r="J67" s="63">
        <f>I67</f>
        <v>1</v>
      </c>
      <c r="K67" s="63"/>
      <c r="L67" s="61">
        <f>COUNTIF($X67:$AC67,10)+COUNTIFS($X67:$AC67,"&gt;=7",$X67:$AC67,"&lt;10")/2</f>
        <v>0</v>
      </c>
      <c r="M67" s="63" t="str">
        <f>_xlfn.CONCAT(COUNTIF($X67:$AC67,10)+COUNTIFS($X67:$AC67,"&gt;=7",$X67:$AC67,"&lt;10")/2,REPT("*",COUNTBLANK($X67:$AC67)))</f>
        <v>0</v>
      </c>
      <c r="N67" s="60">
        <v>3</v>
      </c>
      <c r="O67" s="60">
        <v>3</v>
      </c>
      <c r="P67" s="60"/>
      <c r="Q67" s="64">
        <v>5</v>
      </c>
      <c r="R67" s="64">
        <v>4.9282296650717701</v>
      </c>
      <c r="S67" s="64">
        <v>9.4183864915572197</v>
      </c>
      <c r="T67" s="64">
        <v>3.4285714285714302</v>
      </c>
      <c r="U67" s="64">
        <v>9.1700404320467097</v>
      </c>
      <c r="V67" s="64">
        <v>7.9111111111111097</v>
      </c>
      <c r="W67" s="61"/>
      <c r="X67" s="64">
        <f>[1]Health!F64</f>
        <v>5</v>
      </c>
      <c r="Y67" s="64">
        <f>'[1]Food Security'!F64</f>
        <v>4.9282296650717701</v>
      </c>
      <c r="Z67" s="64">
        <f>'[1]Macro Fiscal'!F64</f>
        <v>4.1157024793388404</v>
      </c>
      <c r="AA67" s="64">
        <f>'[1]Socioeconomic Vulnerability'!F64</f>
        <v>0</v>
      </c>
      <c r="AB67" s="64">
        <f>'[1]Natural Hazard'!F64</f>
        <v>5.8333333333333304</v>
      </c>
      <c r="AC67" s="64">
        <f>'[1]Fragility and Conflict'!F64</f>
        <v>64</v>
      </c>
      <c r="AD67" s="61"/>
      <c r="AE67" s="64">
        <f>[1]Health!G64</f>
        <v>9.5238095238094793</v>
      </c>
      <c r="AF67" s="64">
        <f>'[1]Food Security'!G64</f>
        <v>5</v>
      </c>
      <c r="AG67" s="64">
        <f>'[1]Macro Fiscal'!G64</f>
        <v>0.90909090909091705</v>
      </c>
      <c r="AH67" s="64">
        <f>'[1]Socioeconomic Vulnerability'!G64</f>
        <v>0</v>
      </c>
      <c r="AI67" s="64">
        <f>'[1]Natural Hazard'!G64</f>
        <v>0</v>
      </c>
      <c r="AJ67" s="64">
        <f>'[1]Fragility and Conflict'!G64</f>
        <v>10</v>
      </c>
      <c r="AK67" s="60"/>
      <c r="AL67" s="66">
        <v>0</v>
      </c>
      <c r="AM67" s="66">
        <v>0.3</v>
      </c>
      <c r="AN67" s="60"/>
      <c r="AO67" s="60"/>
      <c r="AP67" s="60"/>
      <c r="AQ67" s="60"/>
      <c r="AR67" s="60"/>
      <c r="AS67" s="60"/>
      <c r="AT67" s="60"/>
      <c r="AU67" s="60"/>
      <c r="AV67" s="60"/>
      <c r="AW67" s="60"/>
      <c r="AX67" s="60"/>
      <c r="AY67" s="60"/>
      <c r="AZ67" s="60"/>
      <c r="BA67" s="60"/>
      <c r="BB67" s="60"/>
      <c r="BC67" s="60"/>
      <c r="BD67" s="60"/>
      <c r="BE67" s="60"/>
      <c r="BF67" s="60"/>
      <c r="BG67" s="60"/>
      <c r="BH67" s="60"/>
      <c r="BI67" s="60"/>
      <c r="BJ67" s="60"/>
      <c r="BK67" s="60"/>
      <c r="BL67" s="60"/>
      <c r="BM67" s="60"/>
      <c r="BN67" s="60"/>
      <c r="BO67" s="60"/>
      <c r="BP67" s="60"/>
      <c r="BQ67" s="60"/>
      <c r="BR67" s="60"/>
      <c r="BS67" s="60"/>
      <c r="BT67" s="60"/>
      <c r="BU67" s="60"/>
    </row>
    <row r="68" spans="1:73" s="67" customFormat="1" x14ac:dyDescent="0.2">
      <c r="A68" s="58">
        <v>63</v>
      </c>
      <c r="B68" s="59" t="s">
        <v>501</v>
      </c>
      <c r="C68" s="59" t="s">
        <v>502</v>
      </c>
      <c r="D68" s="60"/>
      <c r="E68" s="61">
        <f>COUNTIF($Q68:$V68,10)</f>
        <v>1</v>
      </c>
      <c r="F68" s="62">
        <f>E68</f>
        <v>1</v>
      </c>
      <c r="G68" s="61">
        <f>COUNTIF($X68:$AC68,10)</f>
        <v>1</v>
      </c>
      <c r="H68" s="63">
        <f>G68</f>
        <v>1</v>
      </c>
      <c r="I68" s="60">
        <f>COUNTIF($AE68:$AJ68,10)</f>
        <v>0</v>
      </c>
      <c r="J68" s="63">
        <f>I68</f>
        <v>0</v>
      </c>
      <c r="K68" s="63"/>
      <c r="L68" s="61">
        <f>COUNTIF($X68:$AC68,10)+COUNTIFS($X68:$AC68,"&gt;=7",$X68:$AC68,"&lt;10")/2</f>
        <v>1.5</v>
      </c>
      <c r="M68" s="63" t="str">
        <f>_xlfn.CONCAT(COUNTIF($X68:$AC68,10)+COUNTIFS($X68:$AC68,"&gt;=7",$X68:$AC68,"&lt;10")/2,REPT("*",COUNTBLANK($X68:$AC68)))</f>
        <v>1.5</v>
      </c>
      <c r="N68" s="60">
        <v>3</v>
      </c>
      <c r="O68" s="60">
        <v>3</v>
      </c>
      <c r="P68" s="60"/>
      <c r="Q68" s="64">
        <v>6.9</v>
      </c>
      <c r="R68" s="64">
        <v>7.17703349282296</v>
      </c>
      <c r="S68" s="64">
        <v>10</v>
      </c>
      <c r="T68" s="64">
        <v>7.5714285714285703</v>
      </c>
      <c r="U68" s="64">
        <v>8.6853646949035106</v>
      </c>
      <c r="V68" s="64">
        <v>7.1333333333333302</v>
      </c>
      <c r="W68" s="61"/>
      <c r="X68" s="64">
        <f>[1]Health!F65</f>
        <v>6.9</v>
      </c>
      <c r="Y68" s="64">
        <f>'[1]Food Security'!F65</f>
        <v>7.1770334928229698</v>
      </c>
      <c r="Z68" s="64">
        <f>'[1]Macro Fiscal'!F65</f>
        <v>5.9834710743801596</v>
      </c>
      <c r="AA68" s="64">
        <f>'[1]Socioeconomic Vulnerability'!F65</f>
        <v>10</v>
      </c>
      <c r="AB68" s="64">
        <f>'[1]Natural Hazard'!F65</f>
        <v>4.5</v>
      </c>
      <c r="AC68" s="64">
        <f>'[1]Fragility and Conflict'!F65</f>
        <v>65</v>
      </c>
      <c r="AD68" s="61"/>
      <c r="AE68" s="64">
        <f>[1]Health!G65</f>
        <v>5.6415384615384596</v>
      </c>
      <c r="AF68" s="64">
        <f>'[1]Food Security'!G65</f>
        <v>5</v>
      </c>
      <c r="AG68" s="64">
        <f>'[1]Macro Fiscal'!G65</f>
        <v>7.7272727272727302</v>
      </c>
      <c r="AH68" s="64">
        <f>'[1]Socioeconomic Vulnerability'!G65</f>
        <v>0</v>
      </c>
      <c r="AI68" s="64">
        <f>'[1]Natural Hazard'!G65</f>
        <v>0</v>
      </c>
      <c r="AJ68" s="64">
        <f>'[1]Fragility and Conflict'!G65</f>
        <v>0</v>
      </c>
      <c r="AK68" s="60"/>
      <c r="AL68" s="66">
        <v>0</v>
      </c>
      <c r="AM68" s="66">
        <v>0.3</v>
      </c>
      <c r="AN68" s="60"/>
      <c r="AO68" s="60"/>
      <c r="AP68" s="60"/>
      <c r="AQ68" s="60"/>
      <c r="AR68" s="60"/>
      <c r="AS68" s="60"/>
      <c r="AT68" s="60"/>
      <c r="AU68" s="60"/>
      <c r="AV68" s="60"/>
      <c r="AW68" s="60"/>
      <c r="AX68" s="60"/>
      <c r="AY68" s="60"/>
      <c r="AZ68" s="60"/>
      <c r="BA68" s="60"/>
      <c r="BB68" s="60"/>
      <c r="BC68" s="60"/>
      <c r="BD68" s="60"/>
      <c r="BE68" s="60"/>
      <c r="BF68" s="60"/>
      <c r="BG68" s="60"/>
      <c r="BH68" s="60"/>
      <c r="BI68" s="60"/>
      <c r="BJ68" s="60"/>
      <c r="BK68" s="60"/>
      <c r="BL68" s="60"/>
      <c r="BM68" s="60"/>
      <c r="BN68" s="60"/>
      <c r="BO68" s="60"/>
      <c r="BP68" s="60"/>
      <c r="BQ68" s="60"/>
      <c r="BR68" s="60"/>
      <c r="BS68" s="60"/>
      <c r="BT68" s="60"/>
      <c r="BU68" s="60"/>
    </row>
    <row r="69" spans="1:73" s="67" customFormat="1" x14ac:dyDescent="0.2">
      <c r="A69" s="58">
        <v>64</v>
      </c>
      <c r="B69" s="59" t="s">
        <v>507</v>
      </c>
      <c r="C69" s="59" t="s">
        <v>508</v>
      </c>
      <c r="D69" s="60"/>
      <c r="E69" s="61">
        <f>COUNTIF($Q69:$V69,10)</f>
        <v>2</v>
      </c>
      <c r="F69" s="62">
        <f>E69</f>
        <v>2</v>
      </c>
      <c r="G69" s="61">
        <f>COUNTIF($X69:$AC69,10)</f>
        <v>2</v>
      </c>
      <c r="H69" s="63">
        <f>G69</f>
        <v>2</v>
      </c>
      <c r="I69" s="60">
        <f>COUNTIF($AE69:$AJ69,10)</f>
        <v>1</v>
      </c>
      <c r="J69" s="63">
        <f>I69</f>
        <v>1</v>
      </c>
      <c r="K69" s="63"/>
      <c r="L69" s="61">
        <f>COUNTIF($X69:$AC69,10)+COUNTIFS($X69:$AC69,"&gt;=7",$X69:$AC69,"&lt;10")/2</f>
        <v>2.5</v>
      </c>
      <c r="M69" s="63" t="str">
        <f>_xlfn.CONCAT(COUNTIF($X69:$AC69,10)+COUNTIFS($X69:$AC69,"&gt;=7",$X69:$AC69,"&lt;10")/2,REPT("*",COUNTBLANK($X69:$AC69)))</f>
        <v>2.5</v>
      </c>
      <c r="N69" s="60">
        <v>2.5</v>
      </c>
      <c r="O69" s="60">
        <v>2.5</v>
      </c>
      <c r="P69" s="60"/>
      <c r="Q69" s="64">
        <v>10</v>
      </c>
      <c r="R69" s="64">
        <v>8.8277511961722492</v>
      </c>
      <c r="S69" s="64">
        <v>7</v>
      </c>
      <c r="T69" s="64">
        <v>7.8571428571428603</v>
      </c>
      <c r="U69" s="64">
        <v>8.3027576904957598</v>
      </c>
      <c r="V69" s="64">
        <v>10</v>
      </c>
      <c r="W69" s="61"/>
      <c r="X69" s="64">
        <f>[1]Health!F66</f>
        <v>10</v>
      </c>
      <c r="Y69" s="64">
        <f>'[1]Food Security'!F66</f>
        <v>8.8277511961722492</v>
      </c>
      <c r="Z69" s="64">
        <f>'[1]Macro Fiscal'!F66</f>
        <v>10</v>
      </c>
      <c r="AA69" s="64">
        <f>'[1]Socioeconomic Vulnerability'!F66</f>
        <v>0</v>
      </c>
      <c r="AB69" s="64">
        <f>'[1]Natural Hazard'!F66</f>
        <v>4.8333333333333304</v>
      </c>
      <c r="AC69" s="64">
        <f>'[1]Fragility and Conflict'!F66</f>
        <v>66</v>
      </c>
      <c r="AD69" s="61"/>
      <c r="AE69" s="64">
        <f>[1]Health!G66</f>
        <v>10</v>
      </c>
      <c r="AF69" s="64">
        <f>'[1]Food Security'!G66</f>
        <v>5</v>
      </c>
      <c r="AG69" s="64">
        <f>'[1]Macro Fiscal'!G66</f>
        <v>1.5909090909090999</v>
      </c>
      <c r="AH69" s="64">
        <f>'[1]Socioeconomic Vulnerability'!G66</f>
        <v>0</v>
      </c>
      <c r="AI69" s="64">
        <f>'[1]Natural Hazard'!G66</f>
        <v>0</v>
      </c>
      <c r="AJ69" s="64">
        <f>'[1]Fragility and Conflict'!G66</f>
        <v>0</v>
      </c>
      <c r="AK69" s="60"/>
      <c r="AL69" s="66">
        <v>0</v>
      </c>
      <c r="AM69" s="66">
        <v>0.3</v>
      </c>
      <c r="AN69" s="60"/>
      <c r="AO69" s="60"/>
      <c r="AP69" s="60"/>
      <c r="AQ69" s="60"/>
      <c r="AR69" s="60"/>
      <c r="AS69" s="60"/>
      <c r="AT69" s="60"/>
      <c r="AU69" s="60"/>
      <c r="AV69" s="60"/>
      <c r="AW69" s="60"/>
      <c r="AX69" s="60"/>
      <c r="AY69" s="60"/>
      <c r="AZ69" s="60"/>
      <c r="BA69" s="60"/>
      <c r="BB69" s="60"/>
      <c r="BC69" s="60"/>
      <c r="BD69" s="60"/>
      <c r="BE69" s="60"/>
      <c r="BF69" s="60"/>
      <c r="BG69" s="60"/>
      <c r="BH69" s="60"/>
      <c r="BI69" s="60"/>
      <c r="BJ69" s="60"/>
      <c r="BK69" s="60"/>
      <c r="BL69" s="60"/>
      <c r="BM69" s="60"/>
      <c r="BN69" s="60"/>
      <c r="BO69" s="60"/>
      <c r="BP69" s="60"/>
      <c r="BQ69" s="60"/>
      <c r="BR69" s="60"/>
      <c r="BS69" s="60"/>
      <c r="BT69" s="60"/>
      <c r="BU69" s="60"/>
    </row>
    <row r="70" spans="1:73" s="67" customFormat="1" x14ac:dyDescent="0.2">
      <c r="A70" s="58">
        <v>65</v>
      </c>
      <c r="B70" s="59" t="s">
        <v>512</v>
      </c>
      <c r="C70" s="59" t="s">
        <v>513</v>
      </c>
      <c r="D70" s="60"/>
      <c r="E70" s="61">
        <f>COUNTIF($Q70:$V70,10)</f>
        <v>0</v>
      </c>
      <c r="F70" s="62">
        <f>E70</f>
        <v>0</v>
      </c>
      <c r="G70" s="61">
        <f>COUNTIF($X70:$AC70,10)</f>
        <v>0</v>
      </c>
      <c r="H70" s="63">
        <f>G70</f>
        <v>0</v>
      </c>
      <c r="I70" s="60">
        <f>COUNTIF($AE70:$AJ70,10)</f>
        <v>1</v>
      </c>
      <c r="J70" s="63">
        <f>I70</f>
        <v>1</v>
      </c>
      <c r="K70" s="63"/>
      <c r="L70" s="61">
        <f>COUNTIF($X70:$AC70,10)+COUNTIFS($X70:$AC70,"&gt;=7",$X70:$AC70,"&lt;10")/2</f>
        <v>1.5</v>
      </c>
      <c r="M70" s="63" t="str">
        <f>_xlfn.CONCAT(COUNTIF($X70:$AC70,10)+COUNTIFS($X70:$AC70,"&gt;=7",$X70:$AC70,"&lt;10")/2,REPT("*",COUNTBLANK($X70:$AC70)))</f>
        <v>1.5</v>
      </c>
      <c r="N70" s="60">
        <v>2.5</v>
      </c>
      <c r="O70" s="60">
        <v>2.5</v>
      </c>
      <c r="P70" s="60"/>
      <c r="Q70" s="64">
        <f>IFERROR(GEOMEAN(X70,AE70), MAX(X70,AE70))</f>
        <v>9.3859063544890375</v>
      </c>
      <c r="R70" s="64">
        <f>IFERROR(GEOMEAN(Y70,AF70), MAX(Y70,AF70))</f>
        <v>6.1286057641555152</v>
      </c>
      <c r="S70" s="64">
        <f>IFERROR(GEOMEAN(Z70,AG70), MAX(Z70,AG70))</f>
        <v>6.44283654532786</v>
      </c>
      <c r="T70" s="64">
        <f>IFERROR(GEOMEAN(AA70,AH70), MAX(AA70,AH70))</f>
        <v>0</v>
      </c>
      <c r="U70" s="64">
        <f>IFERROR(GEOMEAN(AB70,AI70), MAX(AB70,AI70))</f>
        <v>3.5</v>
      </c>
      <c r="V70" s="64">
        <f>IFERROR(GEOMEAN(AC70,AJ70), MAX(AC70,AJ70))</f>
        <v>25.88435821108957</v>
      </c>
      <c r="W70" s="61"/>
      <c r="X70" s="64">
        <f>[1]Health!F67</f>
        <v>9.25</v>
      </c>
      <c r="Y70" s="64">
        <f>'[1]Food Security'!F67</f>
        <v>7.5119617224880404</v>
      </c>
      <c r="Z70" s="64">
        <f>'[1]Macro Fiscal'!F67</f>
        <v>7.0247933884297504</v>
      </c>
      <c r="AA70" s="64">
        <f>'[1]Socioeconomic Vulnerability'!F67</f>
        <v>0</v>
      </c>
      <c r="AB70" s="64">
        <f>'[1]Natural Hazard'!F67</f>
        <v>3.5</v>
      </c>
      <c r="AC70" s="64">
        <f>'[1]Fragility and Conflict'!F67</f>
        <v>67</v>
      </c>
      <c r="AD70" s="61"/>
      <c r="AE70" s="64">
        <f>[1]Health!G67</f>
        <v>9.5238095238094793</v>
      </c>
      <c r="AF70" s="64">
        <f>'[1]Food Security'!G67</f>
        <v>5</v>
      </c>
      <c r="AG70" s="64">
        <f>'[1]Macro Fiscal'!G67</f>
        <v>5.9090909090909198</v>
      </c>
      <c r="AH70" s="64">
        <f>'[1]Socioeconomic Vulnerability'!G67</f>
        <v>0</v>
      </c>
      <c r="AI70" s="64">
        <f>'[1]Natural Hazard'!G67</f>
        <v>0</v>
      </c>
      <c r="AJ70" s="64">
        <f>'[1]Fragility and Conflict'!G67</f>
        <v>10</v>
      </c>
      <c r="AK70" s="60"/>
      <c r="AL70" s="66">
        <v>0</v>
      </c>
      <c r="AM70" s="66">
        <v>0.4</v>
      </c>
      <c r="AN70" s="60"/>
      <c r="AO70" s="60"/>
      <c r="AP70" s="60"/>
      <c r="AQ70" s="60"/>
      <c r="AR70" s="60"/>
      <c r="AS70" s="60"/>
      <c r="AT70" s="60"/>
      <c r="AU70" s="60"/>
      <c r="AV70" s="60"/>
      <c r="AW70" s="60"/>
      <c r="AX70" s="60"/>
      <c r="AY70" s="60"/>
      <c r="AZ70" s="60"/>
      <c r="BA70" s="60"/>
      <c r="BB70" s="60"/>
      <c r="BC70" s="60"/>
      <c r="BD70" s="60"/>
      <c r="BE70" s="60"/>
      <c r="BF70" s="60"/>
      <c r="BG70" s="60"/>
      <c r="BH70" s="60"/>
      <c r="BI70" s="60"/>
      <c r="BJ70" s="60"/>
      <c r="BK70" s="60"/>
      <c r="BL70" s="60"/>
      <c r="BM70" s="60"/>
      <c r="BN70" s="60"/>
      <c r="BO70" s="60"/>
      <c r="BP70" s="60"/>
      <c r="BQ70" s="60"/>
      <c r="BR70" s="60"/>
      <c r="BS70" s="60"/>
      <c r="BT70" s="60"/>
      <c r="BU70" s="60"/>
    </row>
    <row r="71" spans="1:73" s="67" customFormat="1" x14ac:dyDescent="0.2">
      <c r="A71" s="58">
        <v>66</v>
      </c>
      <c r="B71" s="59" t="s">
        <v>517</v>
      </c>
      <c r="C71" s="59" t="s">
        <v>518</v>
      </c>
      <c r="D71" s="60"/>
      <c r="E71" s="61">
        <f>COUNTIF($Q71:$V71,10)</f>
        <v>0</v>
      </c>
      <c r="F71" s="62">
        <f>E71</f>
        <v>0</v>
      </c>
      <c r="G71" s="61">
        <f>COUNTIF($X71:$AC71,10)</f>
        <v>1</v>
      </c>
      <c r="H71" s="63">
        <f>G71</f>
        <v>1</v>
      </c>
      <c r="I71" s="60">
        <f>COUNTIF($AE71:$AJ71,10)</f>
        <v>0</v>
      </c>
      <c r="J71" s="63">
        <f>I71</f>
        <v>0</v>
      </c>
      <c r="K71" s="63"/>
      <c r="L71" s="61">
        <f>COUNTIF($X71:$AC71,10)+COUNTIFS($X71:$AC71,"&gt;=7",$X71:$AC71,"&lt;10")/2</f>
        <v>1.5</v>
      </c>
      <c r="M71" s="63" t="str">
        <f>_xlfn.CONCAT(COUNTIF($X71:$AC71,10)+COUNTIFS($X71:$AC71,"&gt;=7",$X71:$AC71,"&lt;10")/2,REPT("*",COUNTBLANK($X71:$AC71)))</f>
        <v>1.5</v>
      </c>
      <c r="N71" s="60">
        <v>3</v>
      </c>
      <c r="O71" s="60">
        <v>3</v>
      </c>
      <c r="P71" s="60"/>
      <c r="Q71" s="64">
        <f>IFERROR(GEOMEAN(X71,AE71), MAX(X71,AE71))</f>
        <v>5.505761628769184</v>
      </c>
      <c r="R71" s="64">
        <f>IFERROR(GEOMEAN(Y71,AF71), MAX(Y71,AF71))</f>
        <v>8.6602870813397104</v>
      </c>
      <c r="S71" s="64">
        <f>IFERROR(GEOMEAN(Z71,AG71), MAX(Z71,AG71))</f>
        <v>0</v>
      </c>
      <c r="T71" s="64">
        <f>IFERROR(GEOMEAN(AA71,AH71), MAX(AA71,AH71))</f>
        <v>0</v>
      </c>
      <c r="U71" s="64">
        <f>IFERROR(GEOMEAN(AB71,AI71), MAX(AB71,AI71))</f>
        <v>2.8333333333333299</v>
      </c>
      <c r="V71" s="64">
        <f>IFERROR(GEOMEAN(AC71,AJ71), MAX(AC71,AJ71))</f>
        <v>68</v>
      </c>
      <c r="W71" s="61"/>
      <c r="X71" s="64">
        <f>[1]Health!F68</f>
        <v>10</v>
      </c>
      <c r="Y71" s="64">
        <f>'[1]Food Security'!F68</f>
        <v>8.6602870813397104</v>
      </c>
      <c r="Z71" s="64">
        <f>'[1]Macro Fiscal'!F68</f>
        <v>0</v>
      </c>
      <c r="AA71" s="64">
        <f>'[1]Socioeconomic Vulnerability'!F68</f>
        <v>0</v>
      </c>
      <c r="AB71" s="64">
        <f>'[1]Natural Hazard'!F68</f>
        <v>2.8333333333333299</v>
      </c>
      <c r="AC71" s="64">
        <f>'[1]Fragility and Conflict'!F68</f>
        <v>68</v>
      </c>
      <c r="AD71" s="61"/>
      <c r="AE71" s="64">
        <f>[1]Health!G68</f>
        <v>3.03134111128271</v>
      </c>
      <c r="AF71" s="64">
        <f>'[1]Food Security'!G68</f>
        <v>0</v>
      </c>
      <c r="AG71" s="64">
        <f>'[1]Macro Fiscal'!G68</f>
        <v>0</v>
      </c>
      <c r="AH71" s="64">
        <f>'[1]Socioeconomic Vulnerability'!G68</f>
        <v>0</v>
      </c>
      <c r="AI71" s="64">
        <f>'[1]Natural Hazard'!G68</f>
        <v>0</v>
      </c>
      <c r="AJ71" s="64">
        <f>'[1]Fragility and Conflict'!G68</f>
        <v>0</v>
      </c>
      <c r="AK71" s="60"/>
      <c r="AL71" s="66">
        <v>0</v>
      </c>
      <c r="AM71" s="66">
        <v>0.4</v>
      </c>
      <c r="AN71" s="60"/>
      <c r="AO71" s="60"/>
      <c r="AP71" s="60"/>
      <c r="AQ71" s="60"/>
      <c r="AR71" s="60"/>
      <c r="AS71" s="60"/>
      <c r="AT71" s="60"/>
      <c r="AU71" s="60"/>
      <c r="AV71" s="60"/>
      <c r="AW71" s="60"/>
      <c r="AX71" s="60"/>
      <c r="AY71" s="60"/>
      <c r="AZ71" s="60"/>
      <c r="BA71" s="60"/>
      <c r="BB71" s="60"/>
      <c r="BC71" s="60"/>
      <c r="BD71" s="60"/>
      <c r="BE71" s="60"/>
      <c r="BF71" s="60"/>
      <c r="BG71" s="60"/>
      <c r="BH71" s="60"/>
      <c r="BI71" s="60"/>
      <c r="BJ71" s="60"/>
      <c r="BK71" s="60"/>
      <c r="BL71" s="60"/>
      <c r="BM71" s="60"/>
      <c r="BN71" s="60"/>
      <c r="BO71" s="60"/>
      <c r="BP71" s="60"/>
      <c r="BQ71" s="60"/>
      <c r="BR71" s="60"/>
      <c r="BS71" s="60"/>
      <c r="BT71" s="60"/>
      <c r="BU71" s="60"/>
    </row>
    <row r="72" spans="1:73" s="67" customFormat="1" x14ac:dyDescent="0.2">
      <c r="A72" s="58">
        <v>67</v>
      </c>
      <c r="B72" s="59" t="s">
        <v>522</v>
      </c>
      <c r="C72" s="59" t="s">
        <v>523</v>
      </c>
      <c r="D72" s="60"/>
      <c r="E72" s="61">
        <f>COUNTIF($Q72:$V72,10)</f>
        <v>1</v>
      </c>
      <c r="F72" s="62">
        <f>E72</f>
        <v>1</v>
      </c>
      <c r="G72" s="61">
        <f>COUNTIF($X72:$AC72,10)</f>
        <v>1</v>
      </c>
      <c r="H72" s="63">
        <f>G72</f>
        <v>1</v>
      </c>
      <c r="I72" s="60">
        <f>COUNTIF($AE72:$AJ72,10)</f>
        <v>0</v>
      </c>
      <c r="J72" s="63">
        <f>I72</f>
        <v>0</v>
      </c>
      <c r="K72" s="63"/>
      <c r="L72" s="61">
        <f>COUNTIF($X72:$AC72,10)+COUNTIFS($X72:$AC72,"&gt;=7",$X72:$AC72,"&lt;10")/2</f>
        <v>1.5</v>
      </c>
      <c r="M72" s="63" t="str">
        <f>_xlfn.CONCAT(COUNTIF($X72:$AC72,10)+COUNTIFS($X72:$AC72,"&gt;=7",$X72:$AC72,"&lt;10")/2,REPT("*",COUNTBLANK($X72:$AC72)))</f>
        <v>1.5</v>
      </c>
      <c r="N72" s="60">
        <v>1</v>
      </c>
      <c r="O72" s="60">
        <v>1</v>
      </c>
      <c r="P72" s="60"/>
      <c r="Q72" s="64">
        <v>10</v>
      </c>
      <c r="R72" s="64">
        <v>5.4066985645932997</v>
      </c>
      <c r="S72" s="64">
        <v>0</v>
      </c>
      <c r="T72" s="64">
        <v>6</v>
      </c>
      <c r="U72" s="64">
        <v>7.2396155911670101</v>
      </c>
      <c r="V72" s="64">
        <v>9.2222222222222197</v>
      </c>
      <c r="W72" s="61"/>
      <c r="X72" s="64">
        <f>[1]Health!F69</f>
        <v>10</v>
      </c>
      <c r="Y72" s="64">
        <f>'[1]Food Security'!F69</f>
        <v>5.4066985645932997</v>
      </c>
      <c r="Z72" s="64">
        <f>'[1]Macro Fiscal'!F69</f>
        <v>9.1239669421487601</v>
      </c>
      <c r="AA72" s="64">
        <f>'[1]Socioeconomic Vulnerability'!F69</f>
        <v>0</v>
      </c>
      <c r="AB72" s="64">
        <f>'[1]Natural Hazard'!F69</f>
        <v>3.1666666666666701</v>
      </c>
      <c r="AC72" s="64">
        <f>'[1]Fragility and Conflict'!F69</f>
        <v>69</v>
      </c>
      <c r="AD72" s="61"/>
      <c r="AE72" s="64">
        <f>[1]Health!G69</f>
        <v>7.6923076923076898</v>
      </c>
      <c r="AF72" s="64">
        <f>'[1]Food Security'!G69</f>
        <v>0</v>
      </c>
      <c r="AG72" s="64">
        <f>'[1]Macro Fiscal'!G69</f>
        <v>7.0454545454545299</v>
      </c>
      <c r="AH72" s="64">
        <f>'[1]Socioeconomic Vulnerability'!G69</f>
        <v>0</v>
      </c>
      <c r="AI72" s="64">
        <f>'[1]Natural Hazard'!G69</f>
        <v>0</v>
      </c>
      <c r="AJ72" s="64">
        <f>'[1]Fragility and Conflict'!G69</f>
        <v>0</v>
      </c>
      <c r="AK72" s="60"/>
      <c r="AL72" s="66">
        <v>0</v>
      </c>
      <c r="AM72" s="66">
        <v>0.5</v>
      </c>
      <c r="AN72" s="60"/>
      <c r="AO72" s="60"/>
      <c r="AP72" s="60"/>
      <c r="AQ72" s="60"/>
      <c r="AR72" s="60"/>
      <c r="AS72" s="60"/>
      <c r="AT72" s="60"/>
      <c r="AU72" s="60"/>
      <c r="AV72" s="60"/>
      <c r="AW72" s="60"/>
      <c r="AX72" s="60"/>
      <c r="AY72" s="60"/>
      <c r="AZ72" s="60"/>
      <c r="BA72" s="60"/>
      <c r="BB72" s="60"/>
      <c r="BC72" s="60"/>
      <c r="BD72" s="60"/>
      <c r="BE72" s="60"/>
      <c r="BF72" s="60"/>
      <c r="BG72" s="60"/>
      <c r="BH72" s="60"/>
      <c r="BI72" s="60"/>
      <c r="BJ72" s="60"/>
      <c r="BK72" s="60"/>
      <c r="BL72" s="60"/>
      <c r="BM72" s="60"/>
      <c r="BN72" s="60"/>
      <c r="BO72" s="60"/>
      <c r="BP72" s="60"/>
      <c r="BQ72" s="60"/>
      <c r="BR72" s="60"/>
      <c r="BS72" s="60"/>
      <c r="BT72" s="60"/>
      <c r="BU72" s="60"/>
    </row>
    <row r="73" spans="1:73" s="67" customFormat="1" x14ac:dyDescent="0.2">
      <c r="A73" s="58">
        <v>68</v>
      </c>
      <c r="B73" s="59" t="s">
        <v>525</v>
      </c>
      <c r="C73" s="59" t="s">
        <v>526</v>
      </c>
      <c r="D73" s="60"/>
      <c r="E73" s="61">
        <f>COUNTIF($Q73:$V73,10)</f>
        <v>0</v>
      </c>
      <c r="F73" s="62">
        <f>E73</f>
        <v>0</v>
      </c>
      <c r="G73" s="61">
        <f>COUNTIF($X73:$AC73,10)</f>
        <v>0</v>
      </c>
      <c r="H73" s="63">
        <f>G73</f>
        <v>0</v>
      </c>
      <c r="I73" s="60">
        <f>COUNTIF($AE73:$AJ73,10)</f>
        <v>0</v>
      </c>
      <c r="J73" s="63">
        <f>I73</f>
        <v>0</v>
      </c>
      <c r="K73" s="63"/>
      <c r="L73" s="61">
        <f>COUNTIF($X73:$AC73,10)+COUNTIFS($X73:$AC73,"&gt;=7",$X73:$AC73,"&lt;10")/2</f>
        <v>1</v>
      </c>
      <c r="M73" s="63" t="str">
        <f>_xlfn.CONCAT(COUNTIF($X73:$AC73,10)+COUNTIFS($X73:$AC73,"&gt;=7",$X73:$AC73,"&lt;10")/2,REPT("*",COUNTBLANK($X73:$AC73)))</f>
        <v>1</v>
      </c>
      <c r="N73" s="60">
        <v>1</v>
      </c>
      <c r="O73" s="60">
        <v>1</v>
      </c>
      <c r="P73" s="60"/>
      <c r="Q73" s="64">
        <v>3.25</v>
      </c>
      <c r="R73" s="64">
        <v>0.119617224880383</v>
      </c>
      <c r="S73" s="64">
        <v>6.1538461538461497</v>
      </c>
      <c r="T73" s="64">
        <v>1.28571428571429</v>
      </c>
      <c r="U73" s="64">
        <v>9.1731475464240209</v>
      </c>
      <c r="V73" s="64">
        <v>5.7888888888888896</v>
      </c>
      <c r="W73" s="61"/>
      <c r="X73" s="64">
        <f>[1]Health!F70</f>
        <v>3.25</v>
      </c>
      <c r="Y73" s="64">
        <f>'[1]Food Security'!F70</f>
        <v>0.119617224880383</v>
      </c>
      <c r="Z73" s="64">
        <f>'[1]Macro Fiscal'!F70</f>
        <v>4.9752066115702496</v>
      </c>
      <c r="AA73" s="64">
        <f>'[1]Socioeconomic Vulnerability'!F70</f>
        <v>7</v>
      </c>
      <c r="AB73" s="64">
        <f>'[1]Natural Hazard'!F70</f>
        <v>8.1666666666666696</v>
      </c>
      <c r="AC73" s="64">
        <f>'[1]Fragility and Conflict'!F70</f>
        <v>70</v>
      </c>
      <c r="AD73" s="61"/>
      <c r="AE73" s="64">
        <f>[1]Health!G70</f>
        <v>4.7619047619047397</v>
      </c>
      <c r="AF73" s="64">
        <f>'[1]Food Security'!G70</f>
        <v>3</v>
      </c>
      <c r="AG73" s="64">
        <f>'[1]Macro Fiscal'!G70</f>
        <v>1.5909090909090799</v>
      </c>
      <c r="AH73" s="64">
        <f>'[1]Socioeconomic Vulnerability'!G70</f>
        <v>0</v>
      </c>
      <c r="AI73" s="64">
        <f>'[1]Natural Hazard'!G70</f>
        <v>0</v>
      </c>
      <c r="AJ73" s="64">
        <f>'[1]Fragility and Conflict'!G70</f>
        <v>0</v>
      </c>
      <c r="AK73" s="60"/>
      <c r="AL73" s="66">
        <v>0</v>
      </c>
      <c r="AM73" s="66">
        <v>0.3</v>
      </c>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row>
    <row r="74" spans="1:73" s="67" customFormat="1" x14ac:dyDescent="0.2">
      <c r="A74" s="58">
        <v>69</v>
      </c>
      <c r="B74" s="59" t="s">
        <v>531</v>
      </c>
      <c r="C74" s="59" t="s">
        <v>532</v>
      </c>
      <c r="D74" s="60"/>
      <c r="E74" s="61">
        <f>COUNTIF($Q74:$V74,10)</f>
        <v>1</v>
      </c>
      <c r="F74" s="62">
        <f>E74</f>
        <v>1</v>
      </c>
      <c r="G74" s="61">
        <f>COUNTIF($X74:$AC74,10)</f>
        <v>0</v>
      </c>
      <c r="H74" s="63">
        <f>G74</f>
        <v>0</v>
      </c>
      <c r="I74" s="60">
        <f>COUNTIF($AE74:$AJ74,10)</f>
        <v>1</v>
      </c>
      <c r="J74" s="63">
        <f>I74</f>
        <v>1</v>
      </c>
      <c r="K74" s="63"/>
      <c r="L74" s="61">
        <f>COUNTIF($X74:$AC74,10)+COUNTIFS($X74:$AC74,"&gt;=7",$X74:$AC74,"&lt;10")/2</f>
        <v>0.5</v>
      </c>
      <c r="M74" s="63" t="str">
        <f>_xlfn.CONCAT(COUNTIF($X74:$AC74,10)+COUNTIFS($X74:$AC74,"&gt;=7",$X74:$AC74,"&lt;10")/2,REPT("*",COUNTBLANK($X74:$AC74)))</f>
        <v>0.5</v>
      </c>
      <c r="N74" s="60">
        <v>1</v>
      </c>
      <c r="O74" s="60">
        <v>1</v>
      </c>
      <c r="P74" s="60"/>
      <c r="Q74" s="64">
        <v>8.5</v>
      </c>
      <c r="R74" s="68"/>
      <c r="S74" s="64">
        <v>10</v>
      </c>
      <c r="T74" s="64">
        <v>3.1428571428571401</v>
      </c>
      <c r="U74" s="64">
        <v>5.2993098498761499</v>
      </c>
      <c r="V74" s="64">
        <v>6.1333333333333302</v>
      </c>
      <c r="W74" s="61"/>
      <c r="X74" s="64">
        <f>[1]Health!F71</f>
        <v>8.5</v>
      </c>
      <c r="Y74" s="64">
        <f>'[1]Food Security'!F71</f>
        <v>0</v>
      </c>
      <c r="Z74" s="64">
        <f>'[1]Macro Fiscal'!F71</f>
        <v>0</v>
      </c>
      <c r="AA74" s="64">
        <f>'[1]Socioeconomic Vulnerability'!F71</f>
        <v>0</v>
      </c>
      <c r="AB74" s="64">
        <f>'[1]Natural Hazard'!F71</f>
        <v>1.1666666666666701</v>
      </c>
      <c r="AC74" s="64">
        <f>'[1]Fragility and Conflict'!F71</f>
        <v>71</v>
      </c>
      <c r="AD74" s="61"/>
      <c r="AE74" s="64">
        <f>[1]Health!G71</f>
        <v>6.6666666666748099E-4</v>
      </c>
      <c r="AF74" s="64">
        <f>'[1]Food Security'!G71</f>
        <v>0</v>
      </c>
      <c r="AG74" s="64">
        <f>'[1]Macro Fiscal'!G71</f>
        <v>0</v>
      </c>
      <c r="AH74" s="64">
        <f>'[1]Socioeconomic Vulnerability'!G71</f>
        <v>0</v>
      </c>
      <c r="AI74" s="64">
        <f>'[1]Natural Hazard'!G71</f>
        <v>10</v>
      </c>
      <c r="AJ74" s="64">
        <f>'[1]Fragility and Conflict'!G71</f>
        <v>0</v>
      </c>
      <c r="AK74" s="60"/>
      <c r="AL74" s="66">
        <v>0.2</v>
      </c>
      <c r="AM74" s="66">
        <v>0.5</v>
      </c>
      <c r="AN74" s="60"/>
      <c r="AO74" s="60"/>
      <c r="AP74" s="60"/>
      <c r="AQ74" s="60"/>
      <c r="AR74" s="60"/>
      <c r="AS74" s="60"/>
      <c r="AT74" s="60"/>
      <c r="AU74" s="60"/>
      <c r="AV74" s="60"/>
      <c r="AW74" s="60"/>
      <c r="AX74" s="60"/>
      <c r="AY74" s="60"/>
      <c r="AZ74" s="60"/>
      <c r="BA74" s="60"/>
      <c r="BB74" s="60"/>
      <c r="BC74" s="60"/>
      <c r="BD74" s="60"/>
      <c r="BE74" s="60"/>
      <c r="BF74" s="60"/>
      <c r="BG74" s="60"/>
      <c r="BH74" s="60"/>
      <c r="BI74" s="60"/>
      <c r="BJ74" s="60"/>
      <c r="BK74" s="60"/>
      <c r="BL74" s="60"/>
      <c r="BM74" s="60"/>
      <c r="BN74" s="60"/>
      <c r="BO74" s="60"/>
      <c r="BP74" s="60"/>
      <c r="BQ74" s="60"/>
      <c r="BR74" s="60"/>
      <c r="BS74" s="60"/>
      <c r="BT74" s="60"/>
      <c r="BU74" s="60"/>
    </row>
    <row r="75" spans="1:73" s="67" customFormat="1" x14ac:dyDescent="0.2">
      <c r="A75" s="58">
        <v>70</v>
      </c>
      <c r="B75" s="59" t="s">
        <v>534</v>
      </c>
      <c r="C75" s="59" t="s">
        <v>535</v>
      </c>
      <c r="D75" s="60"/>
      <c r="E75" s="61">
        <f>COUNTIF($Q75:$V75,10)</f>
        <v>0</v>
      </c>
      <c r="F75" s="62">
        <f>E75</f>
        <v>0</v>
      </c>
      <c r="G75" s="61">
        <f>COUNTIF($X75:$AC75,10)</f>
        <v>0</v>
      </c>
      <c r="H75" s="63">
        <f>G75</f>
        <v>0</v>
      </c>
      <c r="I75" s="60">
        <f>COUNTIF($AE75:$AJ75,10)</f>
        <v>0</v>
      </c>
      <c r="J75" s="63">
        <f>I75</f>
        <v>0</v>
      </c>
      <c r="K75" s="63"/>
      <c r="L75" s="61">
        <f>COUNTIF($X75:$AC75,10)+COUNTIFS($X75:$AC75,"&gt;=7",$X75:$AC75,"&lt;10")/2</f>
        <v>1.5</v>
      </c>
      <c r="M75" s="63" t="str">
        <f>_xlfn.CONCAT(COUNTIF($X75:$AC75,10)+COUNTIFS($X75:$AC75,"&gt;=7",$X75:$AC75,"&lt;10")/2,REPT("*",COUNTBLANK($X75:$AC75)))</f>
        <v>1.5</v>
      </c>
      <c r="N75" s="60">
        <v>2</v>
      </c>
      <c r="O75" s="60">
        <v>2</v>
      </c>
      <c r="P75" s="60"/>
      <c r="Q75" s="64">
        <v>7.46</v>
      </c>
      <c r="R75" s="64">
        <v>6.5071770334928196</v>
      </c>
      <c r="S75" s="64">
        <v>5.4033771106941799</v>
      </c>
      <c r="T75" s="64">
        <v>7.7142857142857197</v>
      </c>
      <c r="U75" s="64">
        <v>9.7418610988943097</v>
      </c>
      <c r="V75" s="64">
        <v>8.8000000000000007</v>
      </c>
      <c r="W75" s="61"/>
      <c r="X75" s="64">
        <f>[1]Health!F72</f>
        <v>7.46</v>
      </c>
      <c r="Y75" s="64">
        <f>'[1]Food Security'!F72</f>
        <v>6.5071770334928196</v>
      </c>
      <c r="Z75" s="64">
        <f>'[1]Macro Fiscal'!F72</f>
        <v>7.1570247933884303</v>
      </c>
      <c r="AA75" s="64">
        <f>'[1]Socioeconomic Vulnerability'!F72</f>
        <v>3.21345038641067</v>
      </c>
      <c r="AB75" s="64">
        <f>'[1]Natural Hazard'!F72</f>
        <v>9.5</v>
      </c>
      <c r="AC75" s="64">
        <f>'[1]Fragility and Conflict'!F72</f>
        <v>72</v>
      </c>
      <c r="AD75" s="61"/>
      <c r="AE75" s="64">
        <f>[1]Health!G72</f>
        <v>5.0861538461538496</v>
      </c>
      <c r="AF75" s="64">
        <f>'[1]Food Security'!G72</f>
        <v>5</v>
      </c>
      <c r="AG75" s="64">
        <f>'[1]Macro Fiscal'!G72</f>
        <v>4.0909090909090802</v>
      </c>
      <c r="AH75" s="64">
        <f>'[1]Socioeconomic Vulnerability'!G72</f>
        <v>0</v>
      </c>
      <c r="AI75" s="64">
        <f>'[1]Natural Hazard'!G72</f>
        <v>0</v>
      </c>
      <c r="AJ75" s="64">
        <f>'[1]Fragility and Conflict'!G72</f>
        <v>0</v>
      </c>
      <c r="AK75" s="60"/>
      <c r="AL75" s="66">
        <v>0</v>
      </c>
      <c r="AM75" s="66">
        <v>0.2</v>
      </c>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c r="BR75" s="60"/>
      <c r="BS75" s="60"/>
      <c r="BT75" s="60"/>
      <c r="BU75" s="60"/>
    </row>
    <row r="76" spans="1:73" s="67" customFormat="1" x14ac:dyDescent="0.2">
      <c r="A76" s="58">
        <v>71</v>
      </c>
      <c r="B76" s="59" t="s">
        <v>539</v>
      </c>
      <c r="C76" s="59" t="s">
        <v>540</v>
      </c>
      <c r="D76" s="60"/>
      <c r="E76" s="61">
        <f>COUNTIF($Q76:$V76,10)</f>
        <v>0</v>
      </c>
      <c r="F76" s="62">
        <f>E76</f>
        <v>0</v>
      </c>
      <c r="G76" s="61">
        <f>COUNTIF($X76:$AC76,10)</f>
        <v>0</v>
      </c>
      <c r="H76" s="63">
        <f>G76</f>
        <v>0</v>
      </c>
      <c r="I76" s="60">
        <f>COUNTIF($AE76:$AJ76,10)</f>
        <v>2</v>
      </c>
      <c r="J76" s="63">
        <f>I76</f>
        <v>2</v>
      </c>
      <c r="K76" s="63"/>
      <c r="L76" s="61">
        <f>COUNTIF($X76:$AC76,10)+COUNTIFS($X76:$AC76,"&gt;=7",$X76:$AC76,"&lt;10")/2</f>
        <v>0.5</v>
      </c>
      <c r="M76" s="63" t="str">
        <f>_xlfn.CONCAT(COUNTIF($X76:$AC76,10)+COUNTIFS($X76:$AC76,"&gt;=7",$X76:$AC76,"&lt;10")/2,REPT("*",COUNTBLANK($X76:$AC76)))</f>
        <v>0.5</v>
      </c>
      <c r="N76" s="60">
        <v>1.5</v>
      </c>
      <c r="O76" s="60">
        <v>1.5</v>
      </c>
      <c r="P76" s="60"/>
      <c r="Q76" s="64">
        <v>7.66</v>
      </c>
      <c r="R76" s="64">
        <v>4.6650717703349303</v>
      </c>
      <c r="S76" s="64">
        <v>7</v>
      </c>
      <c r="T76" s="64">
        <v>6.28571428571429</v>
      </c>
      <c r="U76" s="64">
        <v>6.2286546980775901</v>
      </c>
      <c r="V76" s="64">
        <v>7.3333333333333304</v>
      </c>
      <c r="W76" s="61"/>
      <c r="X76" s="64">
        <f>[1]Health!F73</f>
        <v>7.66</v>
      </c>
      <c r="Y76" s="64">
        <f>'[1]Food Security'!F73</f>
        <v>4.6650717703349303</v>
      </c>
      <c r="Z76" s="64">
        <f>'[1]Macro Fiscal'!F73</f>
        <v>6.2975206611570202</v>
      </c>
      <c r="AA76" s="64">
        <f>'[1]Socioeconomic Vulnerability'!F73</f>
        <v>0</v>
      </c>
      <c r="AB76" s="64">
        <f>'[1]Natural Hazard'!F73</f>
        <v>4.6666666666666696</v>
      </c>
      <c r="AC76" s="64">
        <f>'[1]Fragility and Conflict'!F73</f>
        <v>73</v>
      </c>
      <c r="AD76" s="61"/>
      <c r="AE76" s="64">
        <f>[1]Health!G73</f>
        <v>10</v>
      </c>
      <c r="AF76" s="64">
        <f>'[1]Food Security'!G73</f>
        <v>0</v>
      </c>
      <c r="AG76" s="64">
        <f>'[1]Macro Fiscal'!G73</f>
        <v>3.4090909090909198</v>
      </c>
      <c r="AH76" s="64">
        <f>'[1]Socioeconomic Vulnerability'!G73</f>
        <v>0</v>
      </c>
      <c r="AI76" s="64">
        <f>'[1]Natural Hazard'!G73</f>
        <v>10</v>
      </c>
      <c r="AJ76" s="64">
        <f>'[1]Fragility and Conflict'!G73</f>
        <v>0</v>
      </c>
      <c r="AK76" s="60"/>
      <c r="AL76" s="66">
        <v>0</v>
      </c>
      <c r="AM76" s="66">
        <v>0.4</v>
      </c>
      <c r="AN76" s="60"/>
      <c r="AO76" s="60"/>
      <c r="AP76" s="60"/>
      <c r="AQ76" s="60"/>
      <c r="AR76" s="60"/>
      <c r="AS76" s="60"/>
      <c r="AT76" s="60"/>
      <c r="AU76" s="60"/>
      <c r="AV76" s="60"/>
      <c r="AW76" s="60"/>
      <c r="AX76" s="60"/>
      <c r="AY76" s="60"/>
      <c r="AZ76" s="60"/>
      <c r="BA76" s="60"/>
      <c r="BB76" s="60"/>
      <c r="BC76" s="60"/>
      <c r="BD76" s="60"/>
      <c r="BE76" s="60"/>
      <c r="BF76" s="60"/>
      <c r="BG76" s="60"/>
      <c r="BH76" s="60"/>
      <c r="BI76" s="60"/>
      <c r="BJ76" s="60"/>
      <c r="BK76" s="60"/>
      <c r="BL76" s="60"/>
      <c r="BM76" s="60"/>
      <c r="BN76" s="60"/>
      <c r="BO76" s="60"/>
      <c r="BP76" s="60"/>
      <c r="BQ76" s="60"/>
      <c r="BR76" s="60"/>
      <c r="BS76" s="60"/>
      <c r="BT76" s="60"/>
      <c r="BU76" s="60"/>
    </row>
    <row r="77" spans="1:73" s="67" customFormat="1" x14ac:dyDescent="0.2">
      <c r="A77" s="58">
        <v>72</v>
      </c>
      <c r="B77" s="59" t="s">
        <v>543</v>
      </c>
      <c r="C77" s="59" t="s">
        <v>544</v>
      </c>
      <c r="D77" s="60"/>
      <c r="E77" s="61">
        <f>COUNTIF($Q77:$V77,10)</f>
        <v>0</v>
      </c>
      <c r="F77" s="62">
        <f>E77</f>
        <v>0</v>
      </c>
      <c r="G77" s="61">
        <f>COUNTIF($X77:$AC77,10)</f>
        <v>0</v>
      </c>
      <c r="H77" s="63">
        <f>G77</f>
        <v>0</v>
      </c>
      <c r="I77" s="60">
        <f>COUNTIF($AE77:$AJ77,10)</f>
        <v>1</v>
      </c>
      <c r="J77" s="63">
        <f>I77</f>
        <v>1</v>
      </c>
      <c r="K77" s="63"/>
      <c r="L77" s="61">
        <f>COUNTIF($X77:$AC77,10)+COUNTIFS($X77:$AC77,"&gt;=7",$X77:$AC77,"&lt;10")/2</f>
        <v>2</v>
      </c>
      <c r="M77" s="63" t="str">
        <f>_xlfn.CONCAT(COUNTIF($X77:$AC77,10)+COUNTIFS($X77:$AC77,"&gt;=7",$X77:$AC77,"&lt;10")/2,REPT("*",COUNTBLANK($X77:$AC77)))</f>
        <v>2</v>
      </c>
      <c r="N77" s="60">
        <v>3</v>
      </c>
      <c r="O77" s="60">
        <v>3</v>
      </c>
      <c r="P77" s="60"/>
      <c r="Q77" s="64">
        <v>8.48</v>
      </c>
      <c r="R77" s="64">
        <v>6.14832535885167</v>
      </c>
      <c r="S77" s="64">
        <v>7.1294559099437098</v>
      </c>
      <c r="T77" s="64">
        <v>8.1428571428571406</v>
      </c>
      <c r="U77" s="64">
        <v>9.7418610988943097</v>
      </c>
      <c r="V77" s="64">
        <v>8.5333333333333297</v>
      </c>
      <c r="W77" s="61"/>
      <c r="X77" s="64">
        <f>[1]Health!F74</f>
        <v>8.48</v>
      </c>
      <c r="Y77" s="64">
        <f>'[1]Food Security'!F74</f>
        <v>6.14832535885167</v>
      </c>
      <c r="Z77" s="64">
        <f>'[1]Macro Fiscal'!F74</f>
        <v>7.5702479338842998</v>
      </c>
      <c r="AA77" s="64">
        <f>'[1]Socioeconomic Vulnerability'!F74</f>
        <v>7</v>
      </c>
      <c r="AB77" s="64">
        <f>'[1]Natural Hazard'!F74</f>
        <v>9.1666666666666696</v>
      </c>
      <c r="AC77" s="64">
        <f>'[1]Fragility and Conflict'!F74</f>
        <v>74</v>
      </c>
      <c r="AD77" s="61"/>
      <c r="AE77" s="64">
        <f>[1]Health!G74</f>
        <v>7.1428571428571104</v>
      </c>
      <c r="AF77" s="64">
        <f>'[1]Food Security'!G74</f>
        <v>3</v>
      </c>
      <c r="AG77" s="64">
        <f>'[1]Macro Fiscal'!G74</f>
        <v>5.9090909090909198</v>
      </c>
      <c r="AH77" s="64">
        <f>'[1]Socioeconomic Vulnerability'!G74</f>
        <v>0</v>
      </c>
      <c r="AI77" s="64">
        <f>'[1]Natural Hazard'!G74</f>
        <v>0</v>
      </c>
      <c r="AJ77" s="64">
        <f>'[1]Fragility and Conflict'!G74</f>
        <v>10</v>
      </c>
      <c r="AK77" s="60"/>
      <c r="AL77" s="66">
        <v>0</v>
      </c>
      <c r="AM77" s="66">
        <v>0.2</v>
      </c>
      <c r="AN77" s="60"/>
      <c r="AO77" s="60"/>
      <c r="AP77" s="60"/>
      <c r="AQ77" s="60"/>
      <c r="AR77" s="60"/>
      <c r="AS77" s="60"/>
      <c r="AT77" s="60"/>
      <c r="AU77" s="60"/>
      <c r="AV77" s="60"/>
      <c r="AW77" s="60"/>
      <c r="AX77" s="60"/>
      <c r="AY77" s="60"/>
      <c r="AZ77" s="60"/>
      <c r="BA77" s="60"/>
      <c r="BB77" s="60"/>
      <c r="BC77" s="60"/>
      <c r="BD77" s="60"/>
      <c r="BE77" s="60"/>
      <c r="BF77" s="60"/>
      <c r="BG77" s="60"/>
      <c r="BH77" s="60"/>
      <c r="BI77" s="60"/>
      <c r="BJ77" s="60"/>
      <c r="BK77" s="60"/>
      <c r="BL77" s="60"/>
      <c r="BM77" s="60"/>
      <c r="BN77" s="60"/>
      <c r="BO77" s="60"/>
      <c r="BP77" s="60"/>
      <c r="BQ77" s="60"/>
      <c r="BR77" s="60"/>
      <c r="BS77" s="60"/>
      <c r="BT77" s="60"/>
      <c r="BU77" s="60"/>
    </row>
    <row r="78" spans="1:73" s="67" customFormat="1" x14ac:dyDescent="0.2">
      <c r="A78" s="58">
        <v>73</v>
      </c>
      <c r="B78" s="59" t="s">
        <v>549</v>
      </c>
      <c r="C78" s="59" t="s">
        <v>550</v>
      </c>
      <c r="D78" s="60"/>
      <c r="E78" s="61">
        <f>COUNTIF($Q78:$V78,10)</f>
        <v>0</v>
      </c>
      <c r="F78" s="62">
        <f>E78</f>
        <v>0</v>
      </c>
      <c r="G78" s="61">
        <f>COUNTIF($X78:$AC78,10)</f>
        <v>1</v>
      </c>
      <c r="H78" s="63">
        <f>G78</f>
        <v>1</v>
      </c>
      <c r="I78" s="60">
        <f>COUNTIF($AE78:$AJ78,10)</f>
        <v>0</v>
      </c>
      <c r="J78" s="63">
        <f>I78</f>
        <v>0</v>
      </c>
      <c r="K78" s="63"/>
      <c r="L78" s="61">
        <f>COUNTIF($X78:$AC78,10)+COUNTIFS($X78:$AC78,"&gt;=7",$X78:$AC78,"&lt;10")/2</f>
        <v>1</v>
      </c>
      <c r="M78" s="63" t="str">
        <f>_xlfn.CONCAT(COUNTIF($X78:$AC78,10)+COUNTIFS($X78:$AC78,"&gt;=7",$X78:$AC78,"&lt;10")/2,REPT("*",COUNTBLANK($X78:$AC78)))</f>
        <v>1</v>
      </c>
      <c r="N78" s="60">
        <v>2</v>
      </c>
      <c r="O78" s="60">
        <v>2</v>
      </c>
      <c r="P78" s="60"/>
      <c r="Q78" s="64">
        <v>3.75</v>
      </c>
      <c r="R78" s="64">
        <v>1.2200956937798999</v>
      </c>
      <c r="S78" s="64">
        <v>4.9530956848030003</v>
      </c>
      <c r="T78" s="64">
        <v>1.8571428571428601</v>
      </c>
      <c r="U78" s="64">
        <v>8.4121300303988402</v>
      </c>
      <c r="V78" s="64">
        <v>5.12222222222222</v>
      </c>
      <c r="W78" s="61"/>
      <c r="X78" s="64">
        <f>[1]Health!F75</f>
        <v>3.75</v>
      </c>
      <c r="Y78" s="64">
        <f>'[1]Food Security'!F75</f>
        <v>1.2200956937798999</v>
      </c>
      <c r="Z78" s="64">
        <f>'[1]Macro Fiscal'!F75</f>
        <v>3.7520661157024802</v>
      </c>
      <c r="AA78" s="64">
        <f>'[1]Socioeconomic Vulnerability'!F75</f>
        <v>10</v>
      </c>
      <c r="AB78" s="64">
        <f>'[1]Natural Hazard'!F75</f>
        <v>6.3333333333333304</v>
      </c>
      <c r="AC78" s="64">
        <f>'[1]Fragility and Conflict'!F75</f>
        <v>75</v>
      </c>
      <c r="AD78" s="61"/>
      <c r="AE78" s="64">
        <f>[1]Health!G75</f>
        <v>7.726</v>
      </c>
      <c r="AF78" s="64">
        <f>'[1]Food Security'!G75</f>
        <v>3</v>
      </c>
      <c r="AG78" s="64">
        <f>'[1]Macro Fiscal'!G75</f>
        <v>8.4090909090909207</v>
      </c>
      <c r="AH78" s="64">
        <f>'[1]Socioeconomic Vulnerability'!G75</f>
        <v>0</v>
      </c>
      <c r="AI78" s="64">
        <f>'[1]Natural Hazard'!G75</f>
        <v>0</v>
      </c>
      <c r="AJ78" s="64">
        <f>'[1]Fragility and Conflict'!G75</f>
        <v>0</v>
      </c>
      <c r="AK78" s="60"/>
      <c r="AL78" s="66">
        <v>0</v>
      </c>
      <c r="AM78" s="66">
        <v>0.3</v>
      </c>
      <c r="AN78" s="60"/>
      <c r="AO78" s="60"/>
      <c r="AP78" s="60"/>
      <c r="AQ78" s="60"/>
      <c r="AR78" s="60"/>
      <c r="AS78" s="60"/>
      <c r="AT78" s="60"/>
      <c r="AU78" s="60"/>
      <c r="AV78" s="60"/>
      <c r="AW78" s="60"/>
      <c r="AX78" s="60"/>
      <c r="AY78" s="60"/>
      <c r="AZ78" s="60"/>
      <c r="BA78" s="60"/>
      <c r="BB78" s="60"/>
      <c r="BC78" s="60"/>
      <c r="BD78" s="60"/>
      <c r="BE78" s="60"/>
      <c r="BF78" s="60"/>
      <c r="BG78" s="60"/>
      <c r="BH78" s="60"/>
      <c r="BI78" s="60"/>
      <c r="BJ78" s="60"/>
      <c r="BK78" s="60"/>
      <c r="BL78" s="60"/>
      <c r="BM78" s="60"/>
      <c r="BN78" s="60"/>
      <c r="BO78" s="60"/>
      <c r="BP78" s="60"/>
      <c r="BQ78" s="60"/>
      <c r="BR78" s="60"/>
      <c r="BS78" s="60"/>
      <c r="BT78" s="60"/>
      <c r="BU78" s="60"/>
    </row>
    <row r="79" spans="1:73" s="67" customFormat="1" x14ac:dyDescent="0.2">
      <c r="A79" s="58">
        <v>74</v>
      </c>
      <c r="B79" s="59" t="s">
        <v>555</v>
      </c>
      <c r="C79" s="59" t="s">
        <v>556</v>
      </c>
      <c r="D79" s="60"/>
      <c r="E79" s="61">
        <f>COUNTIF($Q79:$V79,10)</f>
        <v>2</v>
      </c>
      <c r="F79" s="62">
        <f>E79</f>
        <v>2</v>
      </c>
      <c r="G79" s="61">
        <f>COUNTIF($X79:$AC79,10)</f>
        <v>3</v>
      </c>
      <c r="H79" s="63">
        <f>G79</f>
        <v>3</v>
      </c>
      <c r="I79" s="60">
        <f>COUNTIF($AE79:$AJ79,10)</f>
        <v>1</v>
      </c>
      <c r="J79" s="63">
        <f>I79</f>
        <v>1</v>
      </c>
      <c r="K79" s="63"/>
      <c r="L79" s="61">
        <f>COUNTIF($X79:$AC79,10)+COUNTIFS($X79:$AC79,"&gt;=7",$X79:$AC79,"&lt;10")/2</f>
        <v>3.5</v>
      </c>
      <c r="M79" s="63" t="str">
        <f>_xlfn.CONCAT(COUNTIF($X79:$AC79,10)+COUNTIFS($X79:$AC79,"&gt;=7",$X79:$AC79,"&lt;10")/2,REPT("*",COUNTBLANK($X79:$AC79)))</f>
        <v>3.5</v>
      </c>
      <c r="N79" s="60">
        <v>2</v>
      </c>
      <c r="O79" s="60">
        <v>2</v>
      </c>
      <c r="P79" s="60"/>
      <c r="Q79" s="64">
        <f>IFERROR(GEOMEAN(X79,AE79), MAX(X79,AE79))</f>
        <v>7.735035179672372</v>
      </c>
      <c r="R79" s="64">
        <f>IFERROR(GEOMEAN(Y79,AF79), MAX(Y79,AF79))</f>
        <v>10</v>
      </c>
      <c r="S79" s="64">
        <f>IFERROR(GEOMEAN(Z79,AG79), MAX(Z79,AG79))</f>
        <v>5.834236630001052</v>
      </c>
      <c r="T79" s="64">
        <f>IFERROR(GEOMEAN(AA79,AH79), MAX(AA79,AH79))</f>
        <v>0</v>
      </c>
      <c r="U79" s="64">
        <f>IFERROR(GEOMEAN(AB79,AI79), MAX(AB79,AI79))</f>
        <v>10</v>
      </c>
      <c r="V79" s="64">
        <f>IFERROR(GEOMEAN(AC79,AJ79), MAX(AC79,AJ79))</f>
        <v>76</v>
      </c>
      <c r="W79" s="61"/>
      <c r="X79" s="64">
        <f>[1]Health!F76</f>
        <v>10</v>
      </c>
      <c r="Y79" s="64">
        <f>'[1]Food Security'!F76</f>
        <v>10</v>
      </c>
      <c r="Z79" s="64">
        <f>'[1]Macro Fiscal'!F76</f>
        <v>8.8099173553718995</v>
      </c>
      <c r="AA79" s="64">
        <f>'[1]Socioeconomic Vulnerability'!F76</f>
        <v>0</v>
      </c>
      <c r="AB79" s="64">
        <f>'[1]Natural Hazard'!F76</f>
        <v>10</v>
      </c>
      <c r="AC79" s="64">
        <f>'[1]Fragility and Conflict'!F76</f>
        <v>76</v>
      </c>
      <c r="AD79" s="61"/>
      <c r="AE79" s="64">
        <f>[1]Health!G76</f>
        <v>5.9830769230769203</v>
      </c>
      <c r="AF79" s="64">
        <f>'[1]Food Security'!G76</f>
        <v>10</v>
      </c>
      <c r="AG79" s="64">
        <f>'[1]Macro Fiscal'!G76</f>
        <v>3.86363636363637</v>
      </c>
      <c r="AH79" s="64">
        <f>'[1]Socioeconomic Vulnerability'!G76</f>
        <v>0</v>
      </c>
      <c r="AI79" s="64">
        <f>'[1]Natural Hazard'!G76</f>
        <v>0</v>
      </c>
      <c r="AJ79" s="64">
        <f>'[1]Fragility and Conflict'!G76</f>
        <v>0</v>
      </c>
      <c r="AK79" s="60"/>
      <c r="AL79" s="66">
        <v>0</v>
      </c>
      <c r="AM79" s="66">
        <v>0.2</v>
      </c>
      <c r="AN79" s="60"/>
      <c r="AO79" s="60"/>
      <c r="AP79" s="60"/>
      <c r="AQ79" s="60"/>
      <c r="AR79" s="60"/>
      <c r="AS79" s="60"/>
      <c r="AT79" s="60"/>
      <c r="AU79" s="60"/>
      <c r="AV79" s="60"/>
      <c r="AW79" s="60"/>
      <c r="AX79" s="60"/>
      <c r="AY79" s="60"/>
      <c r="AZ79" s="60"/>
      <c r="BA79" s="60"/>
      <c r="BB79" s="60"/>
      <c r="BC79" s="60"/>
      <c r="BD79" s="60"/>
      <c r="BE79" s="60"/>
      <c r="BF79" s="60"/>
      <c r="BG79" s="60"/>
      <c r="BH79" s="60"/>
      <c r="BI79" s="60"/>
      <c r="BJ79" s="60"/>
      <c r="BK79" s="60"/>
      <c r="BL79" s="60"/>
      <c r="BM79" s="60"/>
      <c r="BN79" s="60"/>
      <c r="BO79" s="60"/>
      <c r="BP79" s="60"/>
      <c r="BQ79" s="60"/>
      <c r="BR79" s="60"/>
      <c r="BS79" s="60"/>
      <c r="BT79" s="60"/>
      <c r="BU79" s="60"/>
    </row>
    <row r="80" spans="1:73" s="67" customFormat="1" x14ac:dyDescent="0.2">
      <c r="A80" s="58">
        <v>75</v>
      </c>
      <c r="B80" s="59" t="s">
        <v>562</v>
      </c>
      <c r="C80" s="59" t="s">
        <v>563</v>
      </c>
      <c r="D80" s="60"/>
      <c r="E80" s="61">
        <f>COUNTIF($Q80:$V80,10)</f>
        <v>0</v>
      </c>
      <c r="F80" s="62">
        <f>E80</f>
        <v>0</v>
      </c>
      <c r="G80" s="61">
        <f>COUNTIF($X80:$AC80,10)</f>
        <v>0</v>
      </c>
      <c r="H80" s="63">
        <f>G80</f>
        <v>0</v>
      </c>
      <c r="I80" s="60">
        <f>COUNTIF($AE80:$AJ80,10)</f>
        <v>1</v>
      </c>
      <c r="J80" s="63">
        <f>I80</f>
        <v>1</v>
      </c>
      <c r="K80" s="63"/>
      <c r="L80" s="61">
        <f>COUNTIF($X80:$AC80,10)+COUNTIFS($X80:$AC80,"&gt;=7",$X80:$AC80,"&lt;10")/2</f>
        <v>0.5</v>
      </c>
      <c r="M80" s="63" t="str">
        <f>_xlfn.CONCAT(COUNTIF($X80:$AC80,10)+COUNTIFS($X80:$AC80,"&gt;=7",$X80:$AC80,"&lt;10")/2,REPT("*",COUNTBLANK($X80:$AC80)))</f>
        <v>0.5</v>
      </c>
      <c r="N80" s="60">
        <v>2</v>
      </c>
      <c r="O80" s="60">
        <v>2</v>
      </c>
      <c r="P80" s="60"/>
      <c r="Q80" s="64">
        <v>3.5</v>
      </c>
      <c r="R80" s="64">
        <v>0.93301435406698396</v>
      </c>
      <c r="S80" s="64">
        <v>1.2757973733583501</v>
      </c>
      <c r="T80" s="64">
        <v>1.8571428571428601</v>
      </c>
      <c r="U80" s="64">
        <v>8.0066444277884905</v>
      </c>
      <c r="V80" s="64">
        <v>5.2888888888888896</v>
      </c>
      <c r="W80" s="61"/>
      <c r="X80" s="64">
        <f>[1]Health!F77</f>
        <v>3.5</v>
      </c>
      <c r="Y80" s="64">
        <f>'[1]Food Security'!F77</f>
        <v>0.93301435406698596</v>
      </c>
      <c r="Z80" s="64">
        <f>'[1]Macro Fiscal'!F77</f>
        <v>3.4876033057851199</v>
      </c>
      <c r="AA80" s="64">
        <f>'[1]Socioeconomic Vulnerability'!F77</f>
        <v>7</v>
      </c>
      <c r="AB80" s="64">
        <f>'[1]Natural Hazard'!F77</f>
        <v>4.3333333333333304</v>
      </c>
      <c r="AC80" s="64">
        <f>'[1]Fragility and Conflict'!F77</f>
        <v>77</v>
      </c>
      <c r="AD80" s="61"/>
      <c r="AE80" s="64">
        <f>[1]Health!G77</f>
        <v>10</v>
      </c>
      <c r="AF80" s="64">
        <f>'[1]Food Security'!G77</f>
        <v>5</v>
      </c>
      <c r="AG80" s="64">
        <f>'[1]Macro Fiscal'!G77</f>
        <v>2.0454545454545499</v>
      </c>
      <c r="AH80" s="64">
        <f>'[1]Socioeconomic Vulnerability'!G77</f>
        <v>0</v>
      </c>
      <c r="AI80" s="64">
        <f>'[1]Natural Hazard'!G77</f>
        <v>0</v>
      </c>
      <c r="AJ80" s="64">
        <f>'[1]Fragility and Conflict'!G77</f>
        <v>0</v>
      </c>
      <c r="AK80" s="60"/>
      <c r="AL80" s="66">
        <v>0</v>
      </c>
      <c r="AM80" s="66">
        <v>0.3</v>
      </c>
      <c r="AN80" s="60"/>
      <c r="AO80" s="60"/>
      <c r="AP80" s="60"/>
      <c r="AQ80" s="60"/>
      <c r="AR80" s="60"/>
      <c r="AS80" s="60"/>
      <c r="AT80" s="60"/>
      <c r="AU80" s="60"/>
      <c r="AV80" s="60"/>
      <c r="AW80" s="60"/>
      <c r="AX80" s="60"/>
      <c r="AY80" s="60"/>
      <c r="AZ80" s="60"/>
      <c r="BA80" s="60"/>
      <c r="BB80" s="60"/>
      <c r="BC80" s="60"/>
      <c r="BD80" s="60"/>
      <c r="BE80" s="60"/>
      <c r="BF80" s="60"/>
      <c r="BG80" s="60"/>
      <c r="BH80" s="60"/>
      <c r="BI80" s="60"/>
      <c r="BJ80" s="60"/>
      <c r="BK80" s="60"/>
      <c r="BL80" s="60"/>
      <c r="BM80" s="60"/>
      <c r="BN80" s="60"/>
      <c r="BO80" s="60"/>
      <c r="BP80" s="60"/>
      <c r="BQ80" s="60"/>
      <c r="BR80" s="60"/>
      <c r="BS80" s="60"/>
      <c r="BT80" s="60"/>
      <c r="BU80" s="60"/>
    </row>
    <row r="81" spans="1:73" s="67" customFormat="1" x14ac:dyDescent="0.2">
      <c r="A81" s="58">
        <v>76</v>
      </c>
      <c r="B81" s="59" t="s">
        <v>567</v>
      </c>
      <c r="C81" s="59" t="s">
        <v>568</v>
      </c>
      <c r="D81" s="60"/>
      <c r="E81" s="61">
        <f>COUNTIF($Q81:$V81,10)</f>
        <v>1</v>
      </c>
      <c r="F81" s="62">
        <f>E81</f>
        <v>1</v>
      </c>
      <c r="G81" s="61">
        <f>COUNTIF($X81:$AC81,10)</f>
        <v>1</v>
      </c>
      <c r="H81" s="63">
        <f>G81</f>
        <v>1</v>
      </c>
      <c r="I81" s="60">
        <f>COUNTIF($AE81:$AJ81,10)</f>
        <v>0</v>
      </c>
      <c r="J81" s="63">
        <f>I81</f>
        <v>0</v>
      </c>
      <c r="K81" s="63"/>
      <c r="L81" s="61">
        <f>COUNTIF($X81:$AC81,10)+COUNTIFS($X81:$AC81,"&gt;=7",$X81:$AC81,"&lt;10")/2</f>
        <v>1.5</v>
      </c>
      <c r="M81" s="63" t="str">
        <f>_xlfn.CONCAT(COUNTIF($X81:$AC81,10)+COUNTIFS($X81:$AC81,"&gt;=7",$X81:$AC81,"&lt;10")/2,REPT("*",COUNTBLANK($X81:$AC81)))</f>
        <v>1.5</v>
      </c>
      <c r="N81" s="60">
        <v>2</v>
      </c>
      <c r="O81" s="60">
        <v>2</v>
      </c>
      <c r="P81" s="60"/>
      <c r="Q81" s="64">
        <v>6</v>
      </c>
      <c r="R81" s="64">
        <v>5.2392344497607599</v>
      </c>
      <c r="S81" s="64">
        <v>2.2138836772983099</v>
      </c>
      <c r="T81" s="64">
        <v>4.71428571428571</v>
      </c>
      <c r="U81" s="64">
        <v>10</v>
      </c>
      <c r="V81" s="64">
        <v>7.5333333333333297</v>
      </c>
      <c r="W81" s="61"/>
      <c r="X81" s="64">
        <f>[1]Health!F78</f>
        <v>6</v>
      </c>
      <c r="Y81" s="64">
        <f>'[1]Food Security'!F78</f>
        <v>5.2392344497607697</v>
      </c>
      <c r="Z81" s="64">
        <f>'[1]Macro Fiscal'!F78</f>
        <v>6.0991735537190097</v>
      </c>
      <c r="AA81" s="64">
        <f>'[1]Socioeconomic Vulnerability'!F78</f>
        <v>7</v>
      </c>
      <c r="AB81" s="64">
        <f>'[1]Natural Hazard'!F78</f>
        <v>10</v>
      </c>
      <c r="AC81" s="64">
        <f>'[1]Fragility and Conflict'!F78</f>
        <v>78</v>
      </c>
      <c r="AD81" s="61"/>
      <c r="AE81" s="64">
        <f>[1]Health!G78</f>
        <v>4.7619047619047397</v>
      </c>
      <c r="AF81" s="64">
        <f>'[1]Food Security'!G78</f>
        <v>3</v>
      </c>
      <c r="AG81" s="64">
        <f>'[1]Macro Fiscal'!G78</f>
        <v>1.13636363636363</v>
      </c>
      <c r="AH81" s="64">
        <f>'[1]Socioeconomic Vulnerability'!G78</f>
        <v>0</v>
      </c>
      <c r="AI81" s="64">
        <f>'[1]Natural Hazard'!G78</f>
        <v>0</v>
      </c>
      <c r="AJ81" s="64">
        <f>'[1]Fragility and Conflict'!G78</f>
        <v>0</v>
      </c>
      <c r="AK81" s="60"/>
      <c r="AL81" s="66">
        <v>0</v>
      </c>
      <c r="AM81" s="66">
        <v>0.2</v>
      </c>
      <c r="AN81" s="60"/>
      <c r="AO81" s="60"/>
      <c r="AP81" s="60"/>
      <c r="AQ81" s="60"/>
      <c r="AR81" s="60"/>
      <c r="AS81" s="60"/>
      <c r="AT81" s="60"/>
      <c r="AU81" s="60"/>
      <c r="AV81" s="60"/>
      <c r="AW81" s="60"/>
      <c r="AX81" s="60"/>
      <c r="AY81" s="60"/>
      <c r="AZ81" s="60"/>
      <c r="BA81" s="60"/>
      <c r="BB81" s="60"/>
      <c r="BC81" s="60"/>
      <c r="BD81" s="60"/>
      <c r="BE81" s="60"/>
      <c r="BF81" s="60"/>
      <c r="BG81" s="60"/>
      <c r="BH81" s="60"/>
      <c r="BI81" s="60"/>
      <c r="BJ81" s="60"/>
      <c r="BK81" s="60"/>
      <c r="BL81" s="60"/>
      <c r="BM81" s="60"/>
      <c r="BN81" s="60"/>
      <c r="BO81" s="60"/>
      <c r="BP81" s="60"/>
      <c r="BQ81" s="60"/>
      <c r="BR81" s="60"/>
      <c r="BS81" s="60"/>
      <c r="BT81" s="60"/>
      <c r="BU81" s="60"/>
    </row>
    <row r="82" spans="1:73" s="67" customFormat="1" x14ac:dyDescent="0.2">
      <c r="A82" s="58">
        <v>77</v>
      </c>
      <c r="B82" s="59" t="s">
        <v>571</v>
      </c>
      <c r="C82" s="59" t="s">
        <v>572</v>
      </c>
      <c r="D82" s="60"/>
      <c r="E82" s="61">
        <f>COUNTIF($Q82:$V82,10)</f>
        <v>1</v>
      </c>
      <c r="F82" s="62">
        <f>E82</f>
        <v>1</v>
      </c>
      <c r="G82" s="61">
        <f>COUNTIF($X82:$AC82,10)</f>
        <v>1</v>
      </c>
      <c r="H82" s="63">
        <f>G82</f>
        <v>1</v>
      </c>
      <c r="I82" s="60">
        <f>COUNTIF($AE82:$AJ82,10)</f>
        <v>0</v>
      </c>
      <c r="J82" s="63">
        <f>I82</f>
        <v>0</v>
      </c>
      <c r="K82" s="63"/>
      <c r="L82" s="61">
        <f>COUNTIF($X82:$AC82,10)+COUNTIFS($X82:$AC82,"&gt;=7",$X82:$AC82,"&lt;10")/2</f>
        <v>1.5</v>
      </c>
      <c r="M82" s="63" t="str">
        <f>_xlfn.CONCAT(COUNTIF($X82:$AC82,10)+COUNTIFS($X82:$AC82,"&gt;=7",$X82:$AC82,"&lt;10")/2,REPT("*",COUNTBLANK($X82:$AC82)))</f>
        <v>1.5</v>
      </c>
      <c r="N82" s="60">
        <v>2.5</v>
      </c>
      <c r="O82" s="60">
        <v>2.5</v>
      </c>
      <c r="P82" s="60"/>
      <c r="Q82" s="64">
        <v>6.5</v>
      </c>
      <c r="R82" s="64">
        <v>7.17703349282296</v>
      </c>
      <c r="S82" s="64">
        <v>0.71294559099437105</v>
      </c>
      <c r="T82" s="64">
        <v>6.71428571428571</v>
      </c>
      <c r="U82" s="64">
        <v>10</v>
      </c>
      <c r="V82" s="64">
        <v>8.3666666666666707</v>
      </c>
      <c r="W82" s="61"/>
      <c r="X82" s="64">
        <f>[1]Health!F79</f>
        <v>6.5</v>
      </c>
      <c r="Y82" s="64">
        <f>'[1]Food Security'!F79</f>
        <v>7.1770334928229698</v>
      </c>
      <c r="Z82" s="64">
        <f>'[1]Macro Fiscal'!F79</f>
        <v>6.0991735537190097</v>
      </c>
      <c r="AA82" s="64">
        <f>'[1]Socioeconomic Vulnerability'!F79</f>
        <v>0</v>
      </c>
      <c r="AB82" s="64">
        <f>'[1]Natural Hazard'!F79</f>
        <v>10</v>
      </c>
      <c r="AC82" s="64">
        <f>'[1]Fragility and Conflict'!F79</f>
        <v>79</v>
      </c>
      <c r="AD82" s="61"/>
      <c r="AE82" s="64">
        <f>[1]Health!G79</f>
        <v>7.1428571428571104</v>
      </c>
      <c r="AF82" s="64">
        <f>'[1]Food Security'!G79</f>
        <v>5</v>
      </c>
      <c r="AG82" s="64">
        <f>'[1]Macro Fiscal'!G79</f>
        <v>0</v>
      </c>
      <c r="AH82" s="64">
        <f>'[1]Socioeconomic Vulnerability'!G79</f>
        <v>0</v>
      </c>
      <c r="AI82" s="64">
        <f>'[1]Natural Hazard'!G79</f>
        <v>0</v>
      </c>
      <c r="AJ82" s="64">
        <f>'[1]Fragility and Conflict'!G79</f>
        <v>0</v>
      </c>
      <c r="AK82" s="60"/>
      <c r="AL82" s="66">
        <v>0</v>
      </c>
      <c r="AM82" s="66">
        <v>0.2</v>
      </c>
      <c r="AN82" s="60"/>
      <c r="AO82" s="60"/>
      <c r="AP82" s="60"/>
      <c r="AQ82" s="60"/>
      <c r="AR82" s="60"/>
      <c r="AS82" s="60"/>
      <c r="AT82" s="60"/>
      <c r="AU82" s="60"/>
      <c r="AV82" s="60"/>
      <c r="AW82" s="60"/>
      <c r="AX82" s="60"/>
      <c r="AY82" s="60"/>
      <c r="AZ82" s="60"/>
      <c r="BA82" s="60"/>
      <c r="BB82" s="60"/>
      <c r="BC82" s="60"/>
      <c r="BD82" s="60"/>
      <c r="BE82" s="60"/>
      <c r="BF82" s="60"/>
      <c r="BG82" s="60"/>
      <c r="BH82" s="60"/>
      <c r="BI82" s="60"/>
      <c r="BJ82" s="60"/>
      <c r="BK82" s="60"/>
      <c r="BL82" s="60"/>
      <c r="BM82" s="60"/>
      <c r="BN82" s="60"/>
      <c r="BO82" s="60"/>
      <c r="BP82" s="60"/>
      <c r="BQ82" s="60"/>
      <c r="BR82" s="60"/>
      <c r="BS82" s="60"/>
      <c r="BT82" s="60"/>
      <c r="BU82" s="60"/>
    </row>
    <row r="83" spans="1:73" s="67" customFormat="1" x14ac:dyDescent="0.2">
      <c r="A83" s="58">
        <v>78</v>
      </c>
      <c r="B83" s="59" t="s">
        <v>577</v>
      </c>
      <c r="C83" s="59" t="s">
        <v>578</v>
      </c>
      <c r="D83" s="60"/>
      <c r="E83" s="61">
        <f>COUNTIF($Q83:$V83,10)</f>
        <v>0</v>
      </c>
      <c r="F83" s="62">
        <f>E83</f>
        <v>0</v>
      </c>
      <c r="G83" s="61">
        <f>COUNTIF($X83:$AC83,10)</f>
        <v>0</v>
      </c>
      <c r="H83" s="63">
        <f>G83</f>
        <v>0</v>
      </c>
      <c r="I83" s="60">
        <f>COUNTIF($AE83:$AJ83,10)</f>
        <v>1</v>
      </c>
      <c r="J83" s="63">
        <f>I83</f>
        <v>1</v>
      </c>
      <c r="K83" s="63"/>
      <c r="L83" s="61">
        <f>COUNTIF($X83:$AC83,10)+COUNTIFS($X83:$AC83,"&gt;=7",$X83:$AC83,"&lt;10")/2</f>
        <v>0.5</v>
      </c>
      <c r="M83" s="63" t="str">
        <f>_xlfn.CONCAT(COUNTIF($X83:$AC83,10)+COUNTIFS($X83:$AC83,"&gt;=7",$X83:$AC83,"&lt;10")/2,REPT("*",COUNTBLANK($X83:$AC83)))</f>
        <v>0.5</v>
      </c>
      <c r="N83" s="60">
        <v>2</v>
      </c>
      <c r="O83" s="60">
        <v>2</v>
      </c>
      <c r="P83" s="60"/>
      <c r="Q83" s="64">
        <v>2.5</v>
      </c>
      <c r="R83" s="64">
        <v>0</v>
      </c>
      <c r="S83" s="64">
        <v>0.30018761726078602</v>
      </c>
      <c r="T83" s="64">
        <v>0.57142857142857095</v>
      </c>
      <c r="U83" s="64">
        <v>5.72357121276666</v>
      </c>
      <c r="V83" s="64">
        <v>2.2111111111111099</v>
      </c>
      <c r="W83" s="61"/>
      <c r="X83" s="64">
        <f>[1]Health!F80</f>
        <v>2.5</v>
      </c>
      <c r="Y83" s="64">
        <f>'[1]Food Security'!F80</f>
        <v>0</v>
      </c>
      <c r="Z83" s="64">
        <f>'[1]Macro Fiscal'!F80</f>
        <v>1.60330578512397</v>
      </c>
      <c r="AA83" s="64">
        <f>'[1]Socioeconomic Vulnerability'!F80</f>
        <v>7</v>
      </c>
      <c r="AB83" s="64">
        <f>'[1]Natural Hazard'!F80</f>
        <v>2</v>
      </c>
      <c r="AC83" s="64">
        <f>'[1]Fragility and Conflict'!F80</f>
        <v>80</v>
      </c>
      <c r="AD83" s="61"/>
      <c r="AE83" s="64">
        <f>[1]Health!G80</f>
        <v>10</v>
      </c>
      <c r="AF83" s="64">
        <f>'[1]Food Security'!G80</f>
        <v>1</v>
      </c>
      <c r="AG83" s="64">
        <f>'[1]Macro Fiscal'!G80</f>
        <v>2.9545454545454599</v>
      </c>
      <c r="AH83" s="64">
        <f>'[1]Socioeconomic Vulnerability'!G80</f>
        <v>0</v>
      </c>
      <c r="AI83" s="64">
        <f>'[1]Natural Hazard'!G80</f>
        <v>0</v>
      </c>
      <c r="AJ83" s="64">
        <f>'[1]Fragility and Conflict'!G80</f>
        <v>0</v>
      </c>
      <c r="AK83" s="60"/>
      <c r="AL83" s="66">
        <v>0</v>
      </c>
      <c r="AM83" s="66">
        <v>0.5</v>
      </c>
      <c r="AN83" s="60"/>
      <c r="AO83" s="60"/>
      <c r="AP83" s="60"/>
      <c r="AQ83" s="60"/>
      <c r="AR83" s="60"/>
      <c r="AS83" s="60"/>
      <c r="AT83" s="60"/>
      <c r="AU83" s="60"/>
      <c r="AV83" s="60"/>
      <c r="AW83" s="60"/>
      <c r="AX83" s="60"/>
      <c r="AY83" s="60"/>
      <c r="AZ83" s="60"/>
      <c r="BA83" s="60"/>
      <c r="BB83" s="60"/>
      <c r="BC83" s="60"/>
      <c r="BD83" s="60"/>
      <c r="BE83" s="60"/>
      <c r="BF83" s="60"/>
      <c r="BG83" s="60"/>
      <c r="BH83" s="60"/>
      <c r="BI83" s="60"/>
      <c r="BJ83" s="60"/>
      <c r="BK83" s="60"/>
      <c r="BL83" s="60"/>
      <c r="BM83" s="60"/>
      <c r="BN83" s="60"/>
      <c r="BO83" s="60"/>
      <c r="BP83" s="60"/>
      <c r="BQ83" s="60"/>
      <c r="BR83" s="60"/>
      <c r="BS83" s="60"/>
      <c r="BT83" s="60"/>
      <c r="BU83" s="60"/>
    </row>
    <row r="84" spans="1:73" s="67" customFormat="1" x14ac:dyDescent="0.2">
      <c r="A84" s="58">
        <v>79</v>
      </c>
      <c r="B84" s="59" t="s">
        <v>581</v>
      </c>
      <c r="C84" s="59" t="s">
        <v>582</v>
      </c>
      <c r="D84" s="60"/>
      <c r="E84" s="61">
        <f>COUNTIF($Q84:$V84,10)</f>
        <v>0</v>
      </c>
      <c r="F84" s="62">
        <f>E84</f>
        <v>0</v>
      </c>
      <c r="G84" s="61">
        <f>COUNTIF($X84:$AC84,10)</f>
        <v>1</v>
      </c>
      <c r="H84" s="63">
        <f>G84</f>
        <v>1</v>
      </c>
      <c r="I84" s="60">
        <f>COUNTIF($AE84:$AJ84,10)</f>
        <v>1</v>
      </c>
      <c r="J84" s="63">
        <f>I84</f>
        <v>1</v>
      </c>
      <c r="K84" s="63"/>
      <c r="L84" s="61">
        <f>COUNTIF($X84:$AC84,10)+COUNTIFS($X84:$AC84,"&gt;=7",$X84:$AC84,"&lt;10")/2</f>
        <v>2</v>
      </c>
      <c r="M84" s="63" t="str">
        <f>_xlfn.CONCAT(COUNTIF($X84:$AC84,10)+COUNTIFS($X84:$AC84,"&gt;=7",$X84:$AC84,"&lt;10")/2,REPT("*",COUNTBLANK($X84:$AC84)))</f>
        <v>2</v>
      </c>
      <c r="N84" s="60">
        <v>1.5</v>
      </c>
      <c r="O84" s="60">
        <v>1.5</v>
      </c>
      <c r="P84" s="60"/>
      <c r="Q84" s="64">
        <v>6.46</v>
      </c>
      <c r="R84" s="64">
        <v>2.9665071770334901</v>
      </c>
      <c r="S84" s="64">
        <v>0</v>
      </c>
      <c r="T84" s="64">
        <v>3.4285714285714302</v>
      </c>
      <c r="U84" s="64">
        <v>9.6666666666666696</v>
      </c>
      <c r="V84" s="64">
        <v>9.2666666666666693</v>
      </c>
      <c r="W84" s="61"/>
      <c r="X84" s="64">
        <f>[1]Health!F81</f>
        <v>6.46</v>
      </c>
      <c r="Y84" s="64">
        <f>'[1]Food Security'!F81</f>
        <v>2.9665071770334901</v>
      </c>
      <c r="Z84" s="64">
        <f>'[1]Macro Fiscal'!F81</f>
        <v>10</v>
      </c>
      <c r="AA84" s="64">
        <f>'[1]Socioeconomic Vulnerability'!F81</f>
        <v>7</v>
      </c>
      <c r="AB84" s="64">
        <f>'[1]Natural Hazard'!F81</f>
        <v>9.6666666666666696</v>
      </c>
      <c r="AC84" s="64">
        <f>'[1]Fragility and Conflict'!F81</f>
        <v>81</v>
      </c>
      <c r="AD84" s="61"/>
      <c r="AE84" s="64">
        <f>[1]Health!G81</f>
        <v>3.7927599999999999</v>
      </c>
      <c r="AF84" s="64">
        <f>'[1]Food Security'!G81</f>
        <v>5</v>
      </c>
      <c r="AG84" s="64">
        <f>'[1]Macro Fiscal'!G81</f>
        <v>10</v>
      </c>
      <c r="AH84" s="64">
        <f>'[1]Socioeconomic Vulnerability'!G81</f>
        <v>0</v>
      </c>
      <c r="AI84" s="64">
        <f>'[1]Natural Hazard'!G81</f>
        <v>0</v>
      </c>
      <c r="AJ84" s="64">
        <f>'[1]Fragility and Conflict'!G81</f>
        <v>0</v>
      </c>
      <c r="AK84" s="60"/>
      <c r="AL84" s="66">
        <v>0</v>
      </c>
      <c r="AM84" s="66">
        <v>0.2</v>
      </c>
      <c r="AN84" s="60"/>
      <c r="AO84" s="60"/>
      <c r="AP84" s="60"/>
      <c r="AQ84" s="60"/>
      <c r="AR84" s="60"/>
      <c r="AS84" s="60"/>
      <c r="AT84" s="60"/>
      <c r="AU84" s="60"/>
      <c r="AV84" s="60"/>
      <c r="AW84" s="60"/>
      <c r="AX84" s="60"/>
      <c r="AY84" s="60"/>
      <c r="AZ84" s="60"/>
      <c r="BA84" s="60"/>
      <c r="BB84" s="60"/>
      <c r="BC84" s="60"/>
      <c r="BD84" s="60"/>
      <c r="BE84" s="60"/>
      <c r="BF84" s="60"/>
      <c r="BG84" s="60"/>
      <c r="BH84" s="60"/>
      <c r="BI84" s="60"/>
      <c r="BJ84" s="60"/>
      <c r="BK84" s="60"/>
      <c r="BL84" s="60"/>
      <c r="BM84" s="60"/>
      <c r="BN84" s="60"/>
      <c r="BO84" s="60"/>
      <c r="BP84" s="60"/>
      <c r="BQ84" s="60"/>
      <c r="BR84" s="60"/>
      <c r="BS84" s="60"/>
      <c r="BT84" s="60"/>
      <c r="BU84" s="60"/>
    </row>
    <row r="85" spans="1:73" s="67" customFormat="1" x14ac:dyDescent="0.2">
      <c r="A85" s="58">
        <v>80</v>
      </c>
      <c r="B85" s="59" t="s">
        <v>588</v>
      </c>
      <c r="C85" s="59" t="s">
        <v>589</v>
      </c>
      <c r="D85" s="60"/>
      <c r="E85" s="61">
        <f>COUNTIF($Q85:$V85,10)</f>
        <v>1</v>
      </c>
      <c r="F85" s="62">
        <f>E85</f>
        <v>1</v>
      </c>
      <c r="G85" s="61">
        <f>COUNTIF($X85:$AC85,10)</f>
        <v>1</v>
      </c>
      <c r="H85" s="63">
        <f>G85</f>
        <v>1</v>
      </c>
      <c r="I85" s="60">
        <f>COUNTIF($AE85:$AJ85,10)</f>
        <v>2</v>
      </c>
      <c r="J85" s="63">
        <f>I85</f>
        <v>2</v>
      </c>
      <c r="K85" s="63"/>
      <c r="L85" s="61">
        <f>COUNTIF($X85:$AC85,10)+COUNTIFS($X85:$AC85,"&gt;=7",$X85:$AC85,"&lt;10")/2</f>
        <v>2</v>
      </c>
      <c r="M85" s="63" t="str">
        <f>_xlfn.CONCAT(COUNTIF($X85:$AC85,10)+COUNTIFS($X85:$AC85,"&gt;=7",$X85:$AC85,"&lt;10")/2,REPT("*",COUNTBLANK($X85:$AC85)))</f>
        <v>2</v>
      </c>
      <c r="N85" s="60">
        <v>2</v>
      </c>
      <c r="O85" s="60">
        <v>2</v>
      </c>
      <c r="P85" s="60"/>
      <c r="Q85" s="64">
        <v>8.84</v>
      </c>
      <c r="R85" s="64">
        <v>5.9090909090909101</v>
      </c>
      <c r="S85" s="64">
        <v>3.30206378986867</v>
      </c>
      <c r="T85" s="64">
        <v>5.5714285714285703</v>
      </c>
      <c r="U85" s="64">
        <v>7.6666666666666696</v>
      </c>
      <c r="V85" s="64">
        <v>10</v>
      </c>
      <c r="W85" s="61"/>
      <c r="X85" s="64">
        <f>[1]Health!F82</f>
        <v>8.84</v>
      </c>
      <c r="Y85" s="64">
        <f>'[1]Food Security'!F82</f>
        <v>5.9090909090909101</v>
      </c>
      <c r="Z85" s="64">
        <f>'[1]Macro Fiscal'!F82</f>
        <v>10</v>
      </c>
      <c r="AA85" s="64">
        <f>'[1]Socioeconomic Vulnerability'!F82</f>
        <v>0</v>
      </c>
      <c r="AB85" s="64">
        <f>'[1]Natural Hazard'!F82</f>
        <v>7.6666666666666696</v>
      </c>
      <c r="AC85" s="64">
        <f>'[1]Fragility and Conflict'!F82</f>
        <v>82</v>
      </c>
      <c r="AD85" s="61"/>
      <c r="AE85" s="64">
        <f>[1]Health!G82</f>
        <v>10</v>
      </c>
      <c r="AF85" s="64">
        <f>'[1]Food Security'!G82</f>
        <v>0</v>
      </c>
      <c r="AG85" s="64">
        <f>'[1]Macro Fiscal'!G82</f>
        <v>3.86363636363637</v>
      </c>
      <c r="AH85" s="64">
        <f>'[1]Socioeconomic Vulnerability'!G82</f>
        <v>0</v>
      </c>
      <c r="AI85" s="64">
        <f>'[1]Natural Hazard'!G82</f>
        <v>0</v>
      </c>
      <c r="AJ85" s="64">
        <f>'[1]Fragility and Conflict'!G82</f>
        <v>10</v>
      </c>
      <c r="AK85" s="60"/>
      <c r="AL85" s="66">
        <v>0</v>
      </c>
      <c r="AM85" s="66">
        <v>0.4</v>
      </c>
      <c r="AN85" s="60"/>
      <c r="AO85" s="60"/>
      <c r="AP85" s="60"/>
      <c r="AQ85" s="60"/>
      <c r="AR85" s="60"/>
      <c r="AS85" s="60"/>
      <c r="AT85" s="60"/>
      <c r="AU85" s="60"/>
      <c r="AV85" s="60"/>
      <c r="AW85" s="60"/>
      <c r="AX85" s="60"/>
      <c r="AY85" s="60"/>
      <c r="AZ85" s="60"/>
      <c r="BA85" s="60"/>
      <c r="BB85" s="60"/>
      <c r="BC85" s="60"/>
      <c r="BD85" s="60"/>
      <c r="BE85" s="60"/>
      <c r="BF85" s="60"/>
      <c r="BG85" s="60"/>
      <c r="BH85" s="60"/>
      <c r="BI85" s="60"/>
      <c r="BJ85" s="60"/>
      <c r="BK85" s="60"/>
      <c r="BL85" s="60"/>
      <c r="BM85" s="60"/>
      <c r="BN85" s="60"/>
      <c r="BO85" s="60"/>
      <c r="BP85" s="60"/>
      <c r="BQ85" s="60"/>
      <c r="BR85" s="60"/>
      <c r="BS85" s="60"/>
      <c r="BT85" s="60"/>
      <c r="BU85" s="60"/>
    </row>
    <row r="86" spans="1:73" s="67" customFormat="1" x14ac:dyDescent="0.2">
      <c r="A86" s="58">
        <v>81</v>
      </c>
      <c r="B86" s="59" t="s">
        <v>593</v>
      </c>
      <c r="C86" s="59" t="s">
        <v>594</v>
      </c>
      <c r="D86" s="60"/>
      <c r="E86" s="61">
        <f>COUNTIF($Q86:$V86,10)</f>
        <v>0</v>
      </c>
      <c r="F86" s="62">
        <f>E86</f>
        <v>0</v>
      </c>
      <c r="G86" s="61">
        <f>COUNTIF($X86:$AC86,10)</f>
        <v>0</v>
      </c>
      <c r="H86" s="63">
        <f>G86</f>
        <v>0</v>
      </c>
      <c r="I86" s="60">
        <f>COUNTIF($AE86:$AJ86,10)</f>
        <v>0</v>
      </c>
      <c r="J86" s="63">
        <f>I86</f>
        <v>0</v>
      </c>
      <c r="K86" s="63"/>
      <c r="L86" s="61">
        <f>COUNTIF($X86:$AC86,10)+COUNTIFS($X86:$AC86,"&gt;=7",$X86:$AC86,"&lt;10")/2</f>
        <v>0.5</v>
      </c>
      <c r="M86" s="63" t="str">
        <f>_xlfn.CONCAT(COUNTIF($X86:$AC86,10)+COUNTIFS($X86:$AC86,"&gt;=7",$X86:$AC86,"&lt;10")/2,REPT("*",COUNTBLANK($X86:$AC86)))</f>
        <v>0.5</v>
      </c>
      <c r="N86" s="60">
        <v>2.5</v>
      </c>
      <c r="O86" s="60">
        <v>2.5</v>
      </c>
      <c r="P86" s="60"/>
      <c r="Q86" s="64">
        <v>4.74</v>
      </c>
      <c r="R86" s="64">
        <v>0.55023923444975997</v>
      </c>
      <c r="S86" s="64">
        <v>5.1782363977485897</v>
      </c>
      <c r="T86" s="64">
        <v>0.28571428571428598</v>
      </c>
      <c r="U86" s="64">
        <v>6.03422595517016</v>
      </c>
      <c r="V86" s="64">
        <v>1.9777777777777801</v>
      </c>
      <c r="W86" s="61"/>
      <c r="X86" s="64">
        <f>[1]Health!F83</f>
        <v>4.74</v>
      </c>
      <c r="Y86" s="64">
        <f>'[1]Food Security'!F83</f>
        <v>0.55023923444975997</v>
      </c>
      <c r="Z86" s="64">
        <f>'[1]Macro Fiscal'!F83</f>
        <v>1.8347107438016499</v>
      </c>
      <c r="AA86" s="64">
        <f>'[1]Socioeconomic Vulnerability'!F83</f>
        <v>7</v>
      </c>
      <c r="AB86" s="64">
        <f>'[1]Natural Hazard'!F83</f>
        <v>2</v>
      </c>
      <c r="AC86" s="64">
        <f>'[1]Fragility and Conflict'!F83</f>
        <v>83</v>
      </c>
      <c r="AD86" s="61"/>
      <c r="AE86" s="64">
        <f>[1]Health!G83</f>
        <v>7.1428571428571104</v>
      </c>
      <c r="AF86" s="64">
        <f>'[1]Food Security'!G83</f>
        <v>5</v>
      </c>
      <c r="AG86" s="64">
        <f>'[1]Macro Fiscal'!G83</f>
        <v>2.27272727272728</v>
      </c>
      <c r="AH86" s="64">
        <f>'[1]Socioeconomic Vulnerability'!G83</f>
        <v>0</v>
      </c>
      <c r="AI86" s="64">
        <f>'[1]Natural Hazard'!G83</f>
        <v>0</v>
      </c>
      <c r="AJ86" s="64">
        <f>'[1]Fragility and Conflict'!G83</f>
        <v>0</v>
      </c>
      <c r="AK86" s="60"/>
      <c r="AL86" s="66">
        <v>0</v>
      </c>
      <c r="AM86" s="66">
        <v>0.5</v>
      </c>
      <c r="AN86" s="60"/>
      <c r="AO86" s="60"/>
      <c r="AP86" s="60"/>
      <c r="AQ86" s="60"/>
      <c r="AR86" s="60"/>
      <c r="AS86" s="60"/>
      <c r="AT86" s="60"/>
      <c r="AU86" s="60"/>
      <c r="AV86" s="60"/>
      <c r="AW86" s="60"/>
      <c r="AX86" s="60"/>
      <c r="AY86" s="60"/>
      <c r="AZ86" s="60"/>
      <c r="BA86" s="60"/>
      <c r="BB86" s="60"/>
      <c r="BC86" s="60"/>
      <c r="BD86" s="60"/>
      <c r="BE86" s="60"/>
      <c r="BF86" s="60"/>
      <c r="BG86" s="60"/>
      <c r="BH86" s="60"/>
      <c r="BI86" s="60"/>
      <c r="BJ86" s="60"/>
      <c r="BK86" s="60"/>
      <c r="BL86" s="60"/>
      <c r="BM86" s="60"/>
      <c r="BN86" s="60"/>
      <c r="BO86" s="60"/>
      <c r="BP86" s="60"/>
      <c r="BQ86" s="60"/>
      <c r="BR86" s="60"/>
      <c r="BS86" s="60"/>
      <c r="BT86" s="60"/>
      <c r="BU86" s="60"/>
    </row>
    <row r="87" spans="1:73" s="67" customFormat="1" x14ac:dyDescent="0.2">
      <c r="A87" s="58">
        <v>82</v>
      </c>
      <c r="B87" s="59" t="s">
        <v>598</v>
      </c>
      <c r="C87" s="59" t="s">
        <v>599</v>
      </c>
      <c r="D87" s="60"/>
      <c r="E87" s="61">
        <f>COUNTIF($Q87:$V87,10)</f>
        <v>0</v>
      </c>
      <c r="F87" s="62">
        <f>E87</f>
        <v>0</v>
      </c>
      <c r="G87" s="61">
        <f>COUNTIF($X87:$AC87,10)</f>
        <v>0</v>
      </c>
      <c r="H87" s="63">
        <f>G87</f>
        <v>0</v>
      </c>
      <c r="I87" s="60">
        <f>COUNTIF($AE87:$AJ87,10)</f>
        <v>1</v>
      </c>
      <c r="J87" s="63">
        <f>I87</f>
        <v>1</v>
      </c>
      <c r="K87" s="63"/>
      <c r="L87" s="61">
        <f>COUNTIF($X87:$AC87,10)+COUNTIFS($X87:$AC87,"&gt;=7",$X87:$AC87,"&lt;10")/2</f>
        <v>0.5</v>
      </c>
      <c r="M87" s="63" t="str">
        <f>_xlfn.CONCAT(COUNTIF($X87:$AC87,10)+COUNTIFS($X87:$AC87,"&gt;=7",$X87:$AC87,"&lt;10")/2,REPT("*",COUNTBLANK($X87:$AC87)))</f>
        <v>0.5</v>
      </c>
      <c r="N87" s="60">
        <v>1.5</v>
      </c>
      <c r="O87" s="60">
        <v>1.5</v>
      </c>
      <c r="P87" s="60"/>
      <c r="Q87" s="64">
        <v>4.54</v>
      </c>
      <c r="R87" s="64">
        <v>0</v>
      </c>
      <c r="S87" s="64">
        <v>3.0018761726078802</v>
      </c>
      <c r="T87" s="64">
        <v>0.85714285714285599</v>
      </c>
      <c r="U87" s="64">
        <v>8.0803027323986605</v>
      </c>
      <c r="V87" s="64">
        <v>8.3444444444444397</v>
      </c>
      <c r="W87" s="61"/>
      <c r="X87" s="64">
        <f>[1]Health!F84</f>
        <v>4.54</v>
      </c>
      <c r="Y87" s="64">
        <f>'[1]Food Security'!F84</f>
        <v>0</v>
      </c>
      <c r="Z87" s="64">
        <f>'[1]Macro Fiscal'!F84</f>
        <v>3.1074380165289299</v>
      </c>
      <c r="AA87" s="64">
        <f>'[1]Socioeconomic Vulnerability'!F84</f>
        <v>7</v>
      </c>
      <c r="AB87" s="64">
        <f>'[1]Natural Hazard'!F84</f>
        <v>6</v>
      </c>
      <c r="AC87" s="64">
        <f>'[1]Fragility and Conflict'!F84</f>
        <v>84</v>
      </c>
      <c r="AD87" s="61"/>
      <c r="AE87" s="64">
        <f>[1]Health!G84</f>
        <v>10</v>
      </c>
      <c r="AF87" s="64">
        <f>'[1]Food Security'!G84</f>
        <v>1</v>
      </c>
      <c r="AG87" s="64">
        <f>'[1]Macro Fiscal'!G84</f>
        <v>2.2727272727272698</v>
      </c>
      <c r="AH87" s="64">
        <f>'[1]Socioeconomic Vulnerability'!G84</f>
        <v>0</v>
      </c>
      <c r="AI87" s="64">
        <f>'[1]Natural Hazard'!G84</f>
        <v>0</v>
      </c>
      <c r="AJ87" s="64">
        <f>'[1]Fragility and Conflict'!G84</f>
        <v>0</v>
      </c>
      <c r="AK87" s="60"/>
      <c r="AL87" s="66">
        <v>0</v>
      </c>
      <c r="AM87" s="66">
        <v>0.4</v>
      </c>
      <c r="AN87" s="60"/>
      <c r="AO87" s="60"/>
      <c r="AP87" s="60"/>
      <c r="AQ87" s="60"/>
      <c r="AR87" s="60"/>
      <c r="AS87" s="60"/>
      <c r="AT87" s="60"/>
      <c r="AU87" s="60"/>
      <c r="AV87" s="60"/>
      <c r="AW87" s="60"/>
      <c r="AX87" s="60"/>
      <c r="AY87" s="60"/>
      <c r="AZ87" s="60"/>
      <c r="BA87" s="60"/>
      <c r="BB87" s="60"/>
      <c r="BC87" s="60"/>
      <c r="BD87" s="60"/>
      <c r="BE87" s="60"/>
      <c r="BF87" s="60"/>
      <c r="BG87" s="60"/>
      <c r="BH87" s="60"/>
      <c r="BI87" s="60"/>
      <c r="BJ87" s="60"/>
      <c r="BK87" s="60"/>
      <c r="BL87" s="60"/>
      <c r="BM87" s="60"/>
      <c r="BN87" s="60"/>
      <c r="BO87" s="60"/>
      <c r="BP87" s="60"/>
      <c r="BQ87" s="60"/>
      <c r="BR87" s="60"/>
      <c r="BS87" s="60"/>
      <c r="BT87" s="60"/>
      <c r="BU87" s="60"/>
    </row>
    <row r="88" spans="1:73" s="67" customFormat="1" x14ac:dyDescent="0.2">
      <c r="A88" s="58">
        <v>83</v>
      </c>
      <c r="B88" s="59" t="s">
        <v>605</v>
      </c>
      <c r="C88" s="59" t="s">
        <v>606</v>
      </c>
      <c r="D88" s="60"/>
      <c r="E88" s="61">
        <f>COUNTIF($Q88:$V88,10)</f>
        <v>0</v>
      </c>
      <c r="F88" s="62">
        <f>E88</f>
        <v>0</v>
      </c>
      <c r="G88" s="61">
        <f>COUNTIF($X88:$AC88,10)</f>
        <v>0</v>
      </c>
      <c r="H88" s="63">
        <f>G88</f>
        <v>0</v>
      </c>
      <c r="I88" s="60">
        <f>COUNTIF($AE88:$AJ88,10)</f>
        <v>1</v>
      </c>
      <c r="J88" s="63">
        <f>I88</f>
        <v>1</v>
      </c>
      <c r="K88" s="63"/>
      <c r="L88" s="61">
        <f>COUNTIF($X88:$AC88,10)+COUNTIFS($X88:$AC88,"&gt;=7",$X88:$AC88,"&lt;10")/2</f>
        <v>0.5</v>
      </c>
      <c r="M88" s="63" t="str">
        <f>_xlfn.CONCAT(COUNTIF($X88:$AC88,10)+COUNTIFS($X88:$AC88,"&gt;=7",$X88:$AC88,"&lt;10")/2,REPT("*",COUNTBLANK($X88:$AC88)))</f>
        <v>0.5</v>
      </c>
      <c r="N88" s="60">
        <v>1</v>
      </c>
      <c r="O88" s="60">
        <v>1</v>
      </c>
      <c r="P88" s="60"/>
      <c r="Q88" s="64">
        <v>3</v>
      </c>
      <c r="R88" s="64">
        <v>0</v>
      </c>
      <c r="S88" s="64">
        <v>3.22701688555347</v>
      </c>
      <c r="T88" s="64">
        <v>0.85714285714285599</v>
      </c>
      <c r="U88" s="64">
        <v>9.1731475464240209</v>
      </c>
      <c r="V88" s="64">
        <v>4.7111111111111104</v>
      </c>
      <c r="W88" s="61"/>
      <c r="X88" s="64">
        <f>[1]Health!F85</f>
        <v>3</v>
      </c>
      <c r="Y88" s="64">
        <f>'[1]Food Security'!F85</f>
        <v>0</v>
      </c>
      <c r="Z88" s="64">
        <f>'[1]Macro Fiscal'!F85</f>
        <v>3.7520661157024802</v>
      </c>
      <c r="AA88" s="64">
        <f>'[1]Socioeconomic Vulnerability'!F85</f>
        <v>7</v>
      </c>
      <c r="AB88" s="64">
        <f>'[1]Natural Hazard'!F85</f>
        <v>6.8333333333333304</v>
      </c>
      <c r="AC88" s="64">
        <f>'[1]Fragility and Conflict'!F85</f>
        <v>85</v>
      </c>
      <c r="AD88" s="61"/>
      <c r="AE88" s="64">
        <f>[1]Health!G85</f>
        <v>10</v>
      </c>
      <c r="AF88" s="64">
        <f>'[1]Food Security'!G85</f>
        <v>3</v>
      </c>
      <c r="AG88" s="64">
        <f>'[1]Macro Fiscal'!G85</f>
        <v>3.4090909090909198</v>
      </c>
      <c r="AH88" s="64">
        <f>'[1]Socioeconomic Vulnerability'!G85</f>
        <v>0</v>
      </c>
      <c r="AI88" s="64">
        <f>'[1]Natural Hazard'!G85</f>
        <v>0</v>
      </c>
      <c r="AJ88" s="64">
        <f>'[1]Fragility and Conflict'!G85</f>
        <v>0</v>
      </c>
      <c r="AK88" s="60"/>
      <c r="AL88" s="66">
        <v>0</v>
      </c>
      <c r="AM88" s="66">
        <v>0.3</v>
      </c>
      <c r="AN88" s="60"/>
      <c r="AO88" s="60"/>
      <c r="AP88" s="60"/>
      <c r="AQ88" s="60"/>
      <c r="AR88" s="60"/>
      <c r="AS88" s="60"/>
      <c r="AT88" s="60"/>
      <c r="AU88" s="60"/>
      <c r="AV88" s="60"/>
      <c r="AW88" s="60"/>
      <c r="AX88" s="60"/>
      <c r="AY88" s="60"/>
      <c r="AZ88" s="60"/>
      <c r="BA88" s="60"/>
      <c r="BB88" s="60"/>
      <c r="BC88" s="60"/>
      <c r="BD88" s="60"/>
      <c r="BE88" s="60"/>
      <c r="BF88" s="60"/>
      <c r="BG88" s="60"/>
      <c r="BH88" s="60"/>
      <c r="BI88" s="60"/>
      <c r="BJ88" s="60"/>
      <c r="BK88" s="60"/>
      <c r="BL88" s="60"/>
      <c r="BM88" s="60"/>
      <c r="BN88" s="60"/>
      <c r="BO88" s="60"/>
      <c r="BP88" s="60"/>
      <c r="BQ88" s="60"/>
      <c r="BR88" s="60"/>
      <c r="BS88" s="60"/>
      <c r="BT88" s="60"/>
      <c r="BU88" s="60"/>
    </row>
    <row r="89" spans="1:73" s="67" customFormat="1" x14ac:dyDescent="0.2">
      <c r="A89" s="58">
        <v>84</v>
      </c>
      <c r="B89" s="59" t="s">
        <v>609</v>
      </c>
      <c r="C89" s="59" t="s">
        <v>610</v>
      </c>
      <c r="D89" s="60"/>
      <c r="E89" s="61">
        <f>COUNTIF($Q89:$V89,10)</f>
        <v>1</v>
      </c>
      <c r="F89" s="62">
        <f>E89</f>
        <v>1</v>
      </c>
      <c r="G89" s="61">
        <f>COUNTIF($X89:$AC89,10)</f>
        <v>0</v>
      </c>
      <c r="H89" s="63">
        <f>G89</f>
        <v>0</v>
      </c>
      <c r="I89" s="60">
        <f>COUNTIF($AE89:$AJ89,10)</f>
        <v>0</v>
      </c>
      <c r="J89" s="63">
        <f>I89</f>
        <v>0</v>
      </c>
      <c r="K89" s="63"/>
      <c r="L89" s="61">
        <f>COUNTIF($X89:$AC89,10)+COUNTIFS($X89:$AC89,"&gt;=7",$X89:$AC89,"&lt;10")/2</f>
        <v>1</v>
      </c>
      <c r="M89" s="63" t="str">
        <f>_xlfn.CONCAT(COUNTIF($X89:$AC89,10)+COUNTIFS($X89:$AC89,"&gt;=7",$X89:$AC89,"&lt;10")/2,REPT("*",COUNTBLANK($X89:$AC89)))</f>
        <v>1</v>
      </c>
      <c r="N89" s="60">
        <v>1</v>
      </c>
      <c r="O89" s="60">
        <v>1</v>
      </c>
      <c r="P89" s="60"/>
      <c r="Q89" s="64">
        <v>8.1999999999999993</v>
      </c>
      <c r="R89" s="64">
        <v>4.2105263157894699</v>
      </c>
      <c r="S89" s="64">
        <v>10</v>
      </c>
      <c r="T89" s="64">
        <v>5.5714285714285703</v>
      </c>
      <c r="U89" s="64">
        <v>8.2187591475861304</v>
      </c>
      <c r="V89" s="64">
        <v>6.6666666666666696</v>
      </c>
      <c r="W89" s="61"/>
      <c r="X89" s="64">
        <f>[1]Health!F86</f>
        <v>8.1999999999999993</v>
      </c>
      <c r="Y89" s="64">
        <f>'[1]Food Security'!F86</f>
        <v>4.2105263157894699</v>
      </c>
      <c r="Z89" s="64">
        <f>'[1]Macro Fiscal'!F86</f>
        <v>5.1239669421487601</v>
      </c>
      <c r="AA89" s="64">
        <f>'[1]Socioeconomic Vulnerability'!F86</f>
        <v>0</v>
      </c>
      <c r="AB89" s="64">
        <f>'[1]Natural Hazard'!F86</f>
        <v>7.3333333333333304</v>
      </c>
      <c r="AC89" s="64">
        <f>'[1]Fragility and Conflict'!F86</f>
        <v>86</v>
      </c>
      <c r="AD89" s="61"/>
      <c r="AE89" s="64">
        <f>[1]Health!G86</f>
        <v>7.1428571428571104</v>
      </c>
      <c r="AF89" s="64">
        <f>'[1]Food Security'!G86</f>
        <v>0</v>
      </c>
      <c r="AG89" s="64">
        <f>'[1]Macro Fiscal'!G86</f>
        <v>0</v>
      </c>
      <c r="AH89" s="64">
        <f>'[1]Socioeconomic Vulnerability'!G86</f>
        <v>0</v>
      </c>
      <c r="AI89" s="64">
        <f>'[1]Natural Hazard'!G86</f>
        <v>0</v>
      </c>
      <c r="AJ89" s="64">
        <f>'[1]Fragility and Conflict'!G86</f>
        <v>0</v>
      </c>
      <c r="AK89" s="60"/>
      <c r="AL89" s="66">
        <v>0</v>
      </c>
      <c r="AM89" s="66">
        <v>0.4</v>
      </c>
      <c r="AN89" s="60"/>
      <c r="AO89" s="60"/>
      <c r="AP89" s="60"/>
      <c r="AQ89" s="60"/>
      <c r="AR89" s="60"/>
      <c r="AS89" s="60"/>
      <c r="AT89" s="60"/>
      <c r="AU89" s="60"/>
      <c r="AV89" s="60"/>
      <c r="AW89" s="60"/>
      <c r="AX89" s="60"/>
      <c r="AY89" s="60"/>
      <c r="AZ89" s="60"/>
      <c r="BA89" s="60"/>
      <c r="BB89" s="60"/>
      <c r="BC89" s="60"/>
      <c r="BD89" s="60"/>
      <c r="BE89" s="60"/>
      <c r="BF89" s="60"/>
      <c r="BG89" s="60"/>
      <c r="BH89" s="60"/>
      <c r="BI89" s="60"/>
      <c r="BJ89" s="60"/>
      <c r="BK89" s="60"/>
      <c r="BL89" s="60"/>
      <c r="BM89" s="60"/>
      <c r="BN89" s="60"/>
      <c r="BO89" s="60"/>
      <c r="BP89" s="60"/>
      <c r="BQ89" s="60"/>
      <c r="BR89" s="60"/>
      <c r="BS89" s="60"/>
      <c r="BT89" s="60"/>
      <c r="BU89" s="60"/>
    </row>
    <row r="90" spans="1:73" s="67" customFormat="1" x14ac:dyDescent="0.2">
      <c r="A90" s="58">
        <v>85</v>
      </c>
      <c r="B90" s="59" t="s">
        <v>614</v>
      </c>
      <c r="C90" s="59" t="s">
        <v>615</v>
      </c>
      <c r="D90" s="60"/>
      <c r="E90" s="61">
        <f>COUNTIF($Q90:$V90,10)</f>
        <v>1</v>
      </c>
      <c r="F90" s="62">
        <f>E90</f>
        <v>1</v>
      </c>
      <c r="G90" s="61">
        <f>COUNTIF($X90:$AC90,10)</f>
        <v>0</v>
      </c>
      <c r="H90" s="63">
        <f>G90</f>
        <v>0</v>
      </c>
      <c r="I90" s="60">
        <f>COUNTIF($AE90:$AJ90,10)</f>
        <v>1</v>
      </c>
      <c r="J90" s="63">
        <f>I90</f>
        <v>1</v>
      </c>
      <c r="K90" s="63"/>
      <c r="L90" s="61">
        <f>COUNTIF($X90:$AC90,10)+COUNTIFS($X90:$AC90,"&gt;=7",$X90:$AC90,"&lt;10")/2</f>
        <v>0</v>
      </c>
      <c r="M90" s="63" t="str">
        <f>_xlfn.CONCAT(COUNTIF($X90:$AC90,10)+COUNTIFS($X90:$AC90,"&gt;=7",$X90:$AC90,"&lt;10")/2,REPT("*",COUNTBLANK($X90:$AC90)))</f>
        <v>0</v>
      </c>
      <c r="N90" s="60">
        <v>2.5</v>
      </c>
      <c r="O90" s="60">
        <v>2.5</v>
      </c>
      <c r="P90" s="60"/>
      <c r="Q90" s="64">
        <v>5.75</v>
      </c>
      <c r="R90" s="64">
        <v>2.5358851674641101</v>
      </c>
      <c r="S90" s="64">
        <v>10</v>
      </c>
      <c r="T90" s="64">
        <v>5.1428571428571397</v>
      </c>
      <c r="U90" s="64">
        <v>8.5336841842253897</v>
      </c>
      <c r="V90" s="64">
        <v>8.37777777777778</v>
      </c>
      <c r="W90" s="61"/>
      <c r="X90" s="64">
        <f>[1]Health!F87</f>
        <v>5.75</v>
      </c>
      <c r="Y90" s="64">
        <f>'[1]Food Security'!F87</f>
        <v>2.5358851674641101</v>
      </c>
      <c r="Z90" s="64">
        <f>'[1]Macro Fiscal'!F87</f>
        <v>5.1570247933884303</v>
      </c>
      <c r="AA90" s="64">
        <f>'[1]Socioeconomic Vulnerability'!F87</f>
        <v>0</v>
      </c>
      <c r="AB90" s="64">
        <f>'[1]Natural Hazard'!F87</f>
        <v>5.3333333333333304</v>
      </c>
      <c r="AC90" s="64">
        <f>'[1]Fragility and Conflict'!F87</f>
        <v>87</v>
      </c>
      <c r="AD90" s="61"/>
      <c r="AE90" s="64">
        <f>[1]Health!G87</f>
        <v>10</v>
      </c>
      <c r="AF90" s="64">
        <f>'[1]Food Security'!G87</f>
        <v>1</v>
      </c>
      <c r="AG90" s="64">
        <f>'[1]Macro Fiscal'!G87</f>
        <v>6.5909090909090802</v>
      </c>
      <c r="AH90" s="64">
        <f>'[1]Socioeconomic Vulnerability'!G87</f>
        <v>0</v>
      </c>
      <c r="AI90" s="64">
        <f>'[1]Natural Hazard'!G87</f>
        <v>0</v>
      </c>
      <c r="AJ90" s="64">
        <f>'[1]Fragility and Conflict'!G87</f>
        <v>0</v>
      </c>
      <c r="AK90" s="60"/>
      <c r="AL90" s="66">
        <v>0</v>
      </c>
      <c r="AM90" s="66">
        <v>0.3</v>
      </c>
      <c r="AN90" s="60"/>
      <c r="AO90" s="60"/>
      <c r="AP90" s="60"/>
      <c r="AQ90" s="60"/>
      <c r="AR90" s="60"/>
      <c r="AS90" s="60"/>
      <c r="AT90" s="60"/>
      <c r="AU90" s="60"/>
      <c r="AV90" s="60"/>
      <c r="AW90" s="60"/>
      <c r="AX90" s="60"/>
      <c r="AY90" s="60"/>
      <c r="AZ90" s="60"/>
      <c r="BA90" s="60"/>
      <c r="BB90" s="60"/>
      <c r="BC90" s="60"/>
      <c r="BD90" s="60"/>
      <c r="BE90" s="60"/>
      <c r="BF90" s="60"/>
      <c r="BG90" s="60"/>
      <c r="BH90" s="60"/>
      <c r="BI90" s="60"/>
      <c r="BJ90" s="60"/>
      <c r="BK90" s="60"/>
      <c r="BL90" s="60"/>
      <c r="BM90" s="60"/>
      <c r="BN90" s="60"/>
      <c r="BO90" s="60"/>
      <c r="BP90" s="60"/>
      <c r="BQ90" s="60"/>
      <c r="BR90" s="60"/>
      <c r="BS90" s="60"/>
      <c r="BT90" s="60"/>
      <c r="BU90" s="60"/>
    </row>
    <row r="91" spans="1:73" s="67" customFormat="1" x14ac:dyDescent="0.2">
      <c r="A91" s="58">
        <v>86</v>
      </c>
      <c r="B91" s="59" t="s">
        <v>619</v>
      </c>
      <c r="C91" s="59" t="s">
        <v>620</v>
      </c>
      <c r="D91" s="60"/>
      <c r="E91" s="61">
        <f>COUNTIF($Q91:$V91,10)</f>
        <v>1</v>
      </c>
      <c r="F91" s="62">
        <f>E91</f>
        <v>1</v>
      </c>
      <c r="G91" s="61">
        <f>COUNTIF($X91:$AC91,10)</f>
        <v>1</v>
      </c>
      <c r="H91" s="63">
        <f>G91</f>
        <v>1</v>
      </c>
      <c r="I91" s="60">
        <f>COUNTIF($AE91:$AJ91,10)</f>
        <v>0</v>
      </c>
      <c r="J91" s="63">
        <f>I91</f>
        <v>0</v>
      </c>
      <c r="K91" s="63"/>
      <c r="L91" s="61">
        <f>COUNTIF($X91:$AC91,10)+COUNTIFS($X91:$AC91,"&gt;=7",$X91:$AC91,"&lt;10")/2</f>
        <v>1</v>
      </c>
      <c r="M91" s="63" t="str">
        <f>_xlfn.CONCAT(COUNTIF($X91:$AC91,10)+COUNTIFS($X91:$AC91,"&gt;=7",$X91:$AC91,"&lt;10")/2,REPT("*",COUNTBLANK($X91:$AC91)))</f>
        <v>1</v>
      </c>
      <c r="N91" s="60">
        <v>1.5</v>
      </c>
      <c r="O91" s="60">
        <v>1.5</v>
      </c>
      <c r="P91" s="60"/>
      <c r="Q91" s="64">
        <v>2.04</v>
      </c>
      <c r="R91" s="64">
        <v>2.1770334928229702</v>
      </c>
      <c r="S91" s="64">
        <v>4.2026266416510296</v>
      </c>
      <c r="T91" s="64">
        <v>0.57142857142857095</v>
      </c>
      <c r="U91" s="64">
        <v>10</v>
      </c>
      <c r="V91" s="64">
        <v>3.5888888888888899</v>
      </c>
      <c r="W91" s="61"/>
      <c r="X91" s="64">
        <f>[1]Health!F88</f>
        <v>2.04</v>
      </c>
      <c r="Y91" s="64">
        <f>'[1]Food Security'!F88</f>
        <v>2.1770334928229702</v>
      </c>
      <c r="Z91" s="64">
        <f>'[1]Macro Fiscal'!F88</f>
        <v>1.27272727272727</v>
      </c>
      <c r="AA91" s="64">
        <f>'[1]Socioeconomic Vulnerability'!F88</f>
        <v>0</v>
      </c>
      <c r="AB91" s="64">
        <f>'[1]Natural Hazard'!F88</f>
        <v>10</v>
      </c>
      <c r="AC91" s="64">
        <f>'[1]Fragility and Conflict'!F88</f>
        <v>88</v>
      </c>
      <c r="AD91" s="61"/>
      <c r="AE91" s="64">
        <f>[1]Health!G88</f>
        <v>4.02615384615385</v>
      </c>
      <c r="AF91" s="64">
        <f>'[1]Food Security'!G88</f>
        <v>1</v>
      </c>
      <c r="AG91" s="64">
        <f>'[1]Macro Fiscal'!G88</f>
        <v>0</v>
      </c>
      <c r="AH91" s="64">
        <f>'[1]Socioeconomic Vulnerability'!G88</f>
        <v>0</v>
      </c>
      <c r="AI91" s="64">
        <f>'[1]Natural Hazard'!G88</f>
        <v>7</v>
      </c>
      <c r="AJ91" s="64">
        <f>'[1]Fragility and Conflict'!G88</f>
        <v>0</v>
      </c>
      <c r="AK91" s="60"/>
      <c r="AL91" s="66">
        <v>0</v>
      </c>
      <c r="AM91" s="66">
        <v>0.3</v>
      </c>
      <c r="AN91" s="60"/>
      <c r="AO91" s="60"/>
      <c r="AP91" s="60"/>
      <c r="AQ91" s="60"/>
      <c r="AR91" s="60"/>
      <c r="AS91" s="60"/>
      <c r="AT91" s="60"/>
      <c r="AU91" s="60"/>
      <c r="AV91" s="60"/>
      <c r="AW91" s="60"/>
      <c r="AX91" s="60"/>
      <c r="AY91" s="60"/>
      <c r="AZ91" s="60"/>
      <c r="BA91" s="60"/>
      <c r="BB91" s="60"/>
      <c r="BC91" s="60"/>
      <c r="BD91" s="60"/>
      <c r="BE91" s="60"/>
      <c r="BF91" s="60"/>
      <c r="BG91" s="60"/>
      <c r="BH91" s="60"/>
      <c r="BI91" s="60"/>
      <c r="BJ91" s="60"/>
      <c r="BK91" s="60"/>
      <c r="BL91" s="60"/>
      <c r="BM91" s="60"/>
      <c r="BN91" s="60"/>
      <c r="BO91" s="60"/>
      <c r="BP91" s="60"/>
      <c r="BQ91" s="60"/>
      <c r="BR91" s="60"/>
      <c r="BS91" s="60"/>
      <c r="BT91" s="60"/>
      <c r="BU91" s="60"/>
    </row>
    <row r="92" spans="1:73" s="67" customFormat="1" x14ac:dyDescent="0.2">
      <c r="A92" s="58">
        <v>87</v>
      </c>
      <c r="B92" s="59" t="s">
        <v>623</v>
      </c>
      <c r="C92" s="59" t="s">
        <v>624</v>
      </c>
      <c r="D92" s="60"/>
      <c r="E92" s="61">
        <f>COUNTIF($Q92:$V92,10)</f>
        <v>0</v>
      </c>
      <c r="F92" s="62">
        <f>E92</f>
        <v>0</v>
      </c>
      <c r="G92" s="61">
        <f>COUNTIF($X92:$AC92,10)</f>
        <v>0</v>
      </c>
      <c r="H92" s="63">
        <f>G92</f>
        <v>0</v>
      </c>
      <c r="I92" s="60">
        <f>COUNTIF($AE92:$AJ92,10)</f>
        <v>0</v>
      </c>
      <c r="J92" s="63">
        <f>I92</f>
        <v>0</v>
      </c>
      <c r="K92" s="63"/>
      <c r="L92" s="61">
        <f>COUNTIF($X92:$AC92,10)+COUNTIFS($X92:$AC92,"&gt;=7",$X92:$AC92,"&lt;10")/2</f>
        <v>0.5</v>
      </c>
      <c r="M92" s="63" t="str">
        <f>_xlfn.CONCAT(COUNTIF($X92:$AC92,10)+COUNTIFS($X92:$AC92,"&gt;=7",$X92:$AC92,"&lt;10")/2,REPT("*",COUNTBLANK($X92:$AC92)))</f>
        <v>0.5</v>
      </c>
      <c r="N92" s="60">
        <v>2</v>
      </c>
      <c r="O92" s="60">
        <v>2</v>
      </c>
      <c r="P92" s="60"/>
      <c r="Q92" s="64">
        <v>5.86</v>
      </c>
      <c r="R92" s="64">
        <v>1.2679425837320599</v>
      </c>
      <c r="S92" s="64">
        <v>1.8011257035647299</v>
      </c>
      <c r="T92" s="64">
        <v>1.5714285714285701</v>
      </c>
      <c r="U92" s="64">
        <v>8.1119480180548909</v>
      </c>
      <c r="V92" s="64">
        <v>6.6444444444444404</v>
      </c>
      <c r="W92" s="61"/>
      <c r="X92" s="64">
        <f>[1]Health!F89</f>
        <v>5.86</v>
      </c>
      <c r="Y92" s="64">
        <f>'[1]Food Security'!F89</f>
        <v>1.2679425837320599</v>
      </c>
      <c r="Z92" s="64">
        <f>'[1]Macro Fiscal'!F89</f>
        <v>6.6776859504132204</v>
      </c>
      <c r="AA92" s="64">
        <f>'[1]Socioeconomic Vulnerability'!F89</f>
        <v>7</v>
      </c>
      <c r="AB92" s="64">
        <f>'[1]Natural Hazard'!F89</f>
        <v>5</v>
      </c>
      <c r="AC92" s="64">
        <f>'[1]Fragility and Conflict'!F89</f>
        <v>89</v>
      </c>
      <c r="AD92" s="61"/>
      <c r="AE92" s="64">
        <f>[1]Health!G89</f>
        <v>7.1428571428571104</v>
      </c>
      <c r="AF92" s="64">
        <f>'[1]Food Security'!G89</f>
        <v>5</v>
      </c>
      <c r="AG92" s="64">
        <f>'[1]Macro Fiscal'!G89</f>
        <v>5.6818181818181799</v>
      </c>
      <c r="AH92" s="64">
        <f>'[1]Socioeconomic Vulnerability'!G89</f>
        <v>0</v>
      </c>
      <c r="AI92" s="64">
        <f>'[1]Natural Hazard'!G89</f>
        <v>0</v>
      </c>
      <c r="AJ92" s="64">
        <f>'[1]Fragility and Conflict'!G89</f>
        <v>0</v>
      </c>
      <c r="AK92" s="60"/>
      <c r="AL92" s="66">
        <v>0</v>
      </c>
      <c r="AM92" s="66">
        <v>0.3</v>
      </c>
      <c r="AN92" s="60"/>
      <c r="AO92" s="60"/>
      <c r="AP92" s="60"/>
      <c r="AQ92" s="60"/>
      <c r="AR92" s="60"/>
      <c r="AS92" s="60"/>
      <c r="AT92" s="60"/>
      <c r="AU92" s="60"/>
      <c r="AV92" s="60"/>
      <c r="AW92" s="60"/>
      <c r="AX92" s="60"/>
      <c r="AY92" s="60"/>
      <c r="AZ92" s="60"/>
      <c r="BA92" s="60"/>
      <c r="BB92" s="60"/>
      <c r="BC92" s="60"/>
      <c r="BD92" s="60"/>
      <c r="BE92" s="60"/>
      <c r="BF92" s="60"/>
      <c r="BG92" s="60"/>
      <c r="BH92" s="60"/>
      <c r="BI92" s="60"/>
      <c r="BJ92" s="60"/>
      <c r="BK92" s="60"/>
      <c r="BL92" s="60"/>
      <c r="BM92" s="60"/>
      <c r="BN92" s="60"/>
      <c r="BO92" s="60"/>
      <c r="BP92" s="60"/>
      <c r="BQ92" s="60"/>
      <c r="BR92" s="60"/>
      <c r="BS92" s="60"/>
      <c r="BT92" s="60"/>
      <c r="BU92" s="60"/>
    </row>
    <row r="93" spans="1:73" s="67" customFormat="1" x14ac:dyDescent="0.2">
      <c r="A93" s="58">
        <v>88</v>
      </c>
      <c r="B93" s="59" t="s">
        <v>626</v>
      </c>
      <c r="C93" s="59" t="s">
        <v>627</v>
      </c>
      <c r="D93" s="60"/>
      <c r="E93" s="61">
        <f>COUNTIF($Q93:$V93,10)</f>
        <v>1</v>
      </c>
      <c r="F93" s="62">
        <f>E93</f>
        <v>1</v>
      </c>
      <c r="G93" s="61">
        <f>COUNTIF($X93:$AC93,10)</f>
        <v>2</v>
      </c>
      <c r="H93" s="63">
        <f>G93</f>
        <v>2</v>
      </c>
      <c r="I93" s="60">
        <f>COUNTIF($AE93:$AJ93,10)</f>
        <v>1</v>
      </c>
      <c r="J93" s="63">
        <f>I93</f>
        <v>1</v>
      </c>
      <c r="K93" s="63"/>
      <c r="L93" s="61">
        <f>COUNTIF($X93:$AC93,10)+COUNTIFS($X93:$AC93,"&gt;=7",$X93:$AC93,"&lt;10")/2</f>
        <v>3</v>
      </c>
      <c r="M93" s="63" t="str">
        <f>_xlfn.CONCAT(COUNTIF($X93:$AC93,10)+COUNTIFS($X93:$AC93,"&gt;=7",$X93:$AC93,"&lt;10")/2,REPT("*",COUNTBLANK($X93:$AC93)))</f>
        <v>3</v>
      </c>
      <c r="N93" s="60">
        <v>2.5</v>
      </c>
      <c r="O93" s="60">
        <v>2.5</v>
      </c>
      <c r="P93" s="60"/>
      <c r="Q93" s="64">
        <f>IFERROR(GEOMEAN(X93,AE93), MAX(X93,AE93))</f>
        <v>6.4450338663548994</v>
      </c>
      <c r="R93" s="64">
        <f>IFERROR(GEOMEAN(Y93,AF93), MAX(Y93,AF93))</f>
        <v>7.0710678118654755</v>
      </c>
      <c r="S93" s="64">
        <f>IFERROR(GEOMEAN(Z93,AG93), MAX(Z93,AG93))</f>
        <v>6.0274229317010617</v>
      </c>
      <c r="T93" s="64">
        <f>IFERROR(GEOMEAN(AA93,AH93), MAX(AA93,AH93))</f>
        <v>10</v>
      </c>
      <c r="U93" s="64">
        <f>IFERROR(GEOMEAN(AB93,AI93), MAX(AB93,AI93))</f>
        <v>8.266397845091495</v>
      </c>
      <c r="V93" s="64">
        <f>IFERROR(GEOMEAN(AC93,AJ93), MAX(AC93,AJ93))</f>
        <v>90</v>
      </c>
      <c r="W93" s="61"/>
      <c r="X93" s="64">
        <f>[1]Health!F90</f>
        <v>9</v>
      </c>
      <c r="Y93" s="64">
        <f>'[1]Food Security'!F90</f>
        <v>10</v>
      </c>
      <c r="Z93" s="64">
        <f>'[1]Macro Fiscal'!F90</f>
        <v>8.4132231404958695</v>
      </c>
      <c r="AA93" s="64">
        <f>'[1]Socioeconomic Vulnerability'!F90</f>
        <v>10</v>
      </c>
      <c r="AB93" s="64">
        <f>'[1]Natural Hazard'!F90</f>
        <v>6.8333333333333304</v>
      </c>
      <c r="AC93" s="64">
        <f>'[1]Fragility and Conflict'!F90</f>
        <v>90</v>
      </c>
      <c r="AD93" s="61"/>
      <c r="AE93" s="64">
        <f>[1]Health!G90</f>
        <v>4.6153846153846203</v>
      </c>
      <c r="AF93" s="64">
        <f>'[1]Food Security'!G90</f>
        <v>5</v>
      </c>
      <c r="AG93" s="64">
        <f>'[1]Macro Fiscal'!G90</f>
        <v>4.3181818181818201</v>
      </c>
      <c r="AH93" s="64">
        <f>'[1]Socioeconomic Vulnerability'!G90</f>
        <v>0</v>
      </c>
      <c r="AI93" s="64">
        <f>'[1]Natural Hazard'!G90</f>
        <v>10</v>
      </c>
      <c r="AJ93" s="64">
        <f>'[1]Fragility and Conflict'!G90</f>
        <v>0</v>
      </c>
      <c r="AK93" s="60"/>
      <c r="AL93" s="66">
        <v>0</v>
      </c>
      <c r="AM93" s="66">
        <v>0.1</v>
      </c>
      <c r="AN93" s="60"/>
      <c r="AO93" s="60"/>
      <c r="AP93" s="60"/>
      <c r="AQ93" s="60"/>
      <c r="AR93" s="60"/>
      <c r="AS93" s="60"/>
      <c r="AT93" s="60"/>
      <c r="AU93" s="60"/>
      <c r="AV93" s="60"/>
      <c r="AW93" s="60"/>
      <c r="AX93" s="60"/>
      <c r="AY93" s="60"/>
      <c r="AZ93" s="60"/>
      <c r="BA93" s="60"/>
      <c r="BB93" s="60"/>
      <c r="BC93" s="60"/>
      <c r="BD93" s="60"/>
      <c r="BE93" s="60"/>
      <c r="BF93" s="60"/>
      <c r="BG93" s="60"/>
      <c r="BH93" s="60"/>
      <c r="BI93" s="60"/>
      <c r="BJ93" s="60"/>
      <c r="BK93" s="60"/>
      <c r="BL93" s="60"/>
      <c r="BM93" s="60"/>
      <c r="BN93" s="60"/>
      <c r="BO93" s="60"/>
      <c r="BP93" s="60"/>
      <c r="BQ93" s="60"/>
      <c r="BR93" s="60"/>
      <c r="BS93" s="60"/>
      <c r="BT93" s="60"/>
      <c r="BU93" s="60"/>
    </row>
    <row r="94" spans="1:73" s="67" customFormat="1" x14ac:dyDescent="0.2">
      <c r="A94" s="58">
        <v>89</v>
      </c>
      <c r="B94" s="59" t="s">
        <v>631</v>
      </c>
      <c r="C94" s="59" t="s">
        <v>632</v>
      </c>
      <c r="D94" s="60"/>
      <c r="E94" s="61">
        <f>COUNTIF($Q94:$V94,10)</f>
        <v>0</v>
      </c>
      <c r="F94" s="62">
        <f>E94</f>
        <v>0</v>
      </c>
      <c r="G94" s="61">
        <f>COUNTIF($X94:$AC94,10)</f>
        <v>0</v>
      </c>
      <c r="H94" s="63">
        <f>G94</f>
        <v>0</v>
      </c>
      <c r="I94" s="60">
        <f>COUNTIF($AE94:$AJ94,10)</f>
        <v>0</v>
      </c>
      <c r="J94" s="63">
        <f>I94</f>
        <v>0</v>
      </c>
      <c r="K94" s="63"/>
      <c r="L94" s="61">
        <f>COUNTIF($X94:$AC94,10)+COUNTIFS($X94:$AC94,"&gt;=7",$X94:$AC94,"&lt;10")/2</f>
        <v>1</v>
      </c>
      <c r="M94" s="63" t="str">
        <f>_xlfn.CONCAT(COUNTIF($X94:$AC94,10)+COUNTIFS($X94:$AC94,"&gt;=7",$X94:$AC94,"&lt;10")/2,REPT("*",COUNTBLANK($X94:$AC94)))</f>
        <v>1</v>
      </c>
      <c r="N94" s="60">
        <v>2.5</v>
      </c>
      <c r="O94" s="60">
        <v>2.5</v>
      </c>
      <c r="P94" s="60"/>
      <c r="Q94" s="64">
        <v>4.5</v>
      </c>
      <c r="R94" s="64">
        <v>3.7320574162679399</v>
      </c>
      <c r="S94" s="64">
        <v>7</v>
      </c>
      <c r="T94" s="64">
        <v>4.71428571428571</v>
      </c>
      <c r="U94" s="64">
        <v>7.1759444394224499</v>
      </c>
      <c r="V94" s="64">
        <v>8.2111111111111104</v>
      </c>
      <c r="W94" s="61"/>
      <c r="X94" s="64">
        <f>[1]Health!F91</f>
        <v>4.5</v>
      </c>
      <c r="Y94" s="64">
        <f>'[1]Food Security'!F91</f>
        <v>3.7320574162679399</v>
      </c>
      <c r="Z94" s="64">
        <f>'[1]Macro Fiscal'!F91</f>
        <v>7.7190082644628104</v>
      </c>
      <c r="AA94" s="64">
        <f>'[1]Socioeconomic Vulnerability'!F91</f>
        <v>7</v>
      </c>
      <c r="AB94" s="64">
        <f>'[1]Natural Hazard'!F91</f>
        <v>6.8333333333333304</v>
      </c>
      <c r="AC94" s="64">
        <f>'[1]Fragility and Conflict'!F91</f>
        <v>91</v>
      </c>
      <c r="AD94" s="61"/>
      <c r="AE94" s="64">
        <f>[1]Health!G91</f>
        <v>6.83692307692308</v>
      </c>
      <c r="AF94" s="64">
        <f>'[1]Food Security'!G91</f>
        <v>5</v>
      </c>
      <c r="AG94" s="64">
        <f>'[1]Macro Fiscal'!G91</f>
        <v>3.86363636363637</v>
      </c>
      <c r="AH94" s="64">
        <f>'[1]Socioeconomic Vulnerability'!G91</f>
        <v>0</v>
      </c>
      <c r="AI94" s="64">
        <f>'[1]Natural Hazard'!G91</f>
        <v>7</v>
      </c>
      <c r="AJ94" s="64">
        <f>'[1]Fragility and Conflict'!G91</f>
        <v>0</v>
      </c>
      <c r="AK94" s="60"/>
      <c r="AL94" s="66">
        <v>0</v>
      </c>
      <c r="AM94" s="66">
        <v>0.2</v>
      </c>
      <c r="AN94" s="60"/>
      <c r="AO94" s="60"/>
      <c r="AP94" s="60"/>
      <c r="AQ94" s="60"/>
      <c r="AR94" s="60"/>
      <c r="AS94" s="60"/>
      <c r="AT94" s="60"/>
      <c r="AU94" s="60"/>
      <c r="AV94" s="60"/>
      <c r="AW94" s="60"/>
      <c r="AX94" s="60"/>
      <c r="AY94" s="60"/>
      <c r="AZ94" s="60"/>
      <c r="BA94" s="60"/>
      <c r="BB94" s="60"/>
      <c r="BC94" s="60"/>
      <c r="BD94" s="60"/>
      <c r="BE94" s="60"/>
      <c r="BF94" s="60"/>
      <c r="BG94" s="60"/>
      <c r="BH94" s="60"/>
      <c r="BI94" s="60"/>
      <c r="BJ94" s="60"/>
      <c r="BK94" s="60"/>
      <c r="BL94" s="60"/>
      <c r="BM94" s="60"/>
      <c r="BN94" s="60"/>
      <c r="BO94" s="60"/>
      <c r="BP94" s="60"/>
      <c r="BQ94" s="60"/>
      <c r="BR94" s="60"/>
      <c r="BS94" s="60"/>
      <c r="BT94" s="60"/>
      <c r="BU94" s="60"/>
    </row>
    <row r="95" spans="1:73" s="67" customFormat="1" x14ac:dyDescent="0.2">
      <c r="A95" s="58">
        <v>90</v>
      </c>
      <c r="B95" s="59" t="s">
        <v>637</v>
      </c>
      <c r="C95" s="59" t="s">
        <v>638</v>
      </c>
      <c r="D95" s="60"/>
      <c r="E95" s="61">
        <f>COUNTIF($Q95:$V95,10)</f>
        <v>1</v>
      </c>
      <c r="F95" s="62">
        <f>E95</f>
        <v>1</v>
      </c>
      <c r="G95" s="61">
        <f>COUNTIF($X95:$AC95,10)</f>
        <v>0</v>
      </c>
      <c r="H95" s="63">
        <f>G95</f>
        <v>0</v>
      </c>
      <c r="I95" s="60">
        <f>COUNTIF($AE95:$AJ95,10)</f>
        <v>1</v>
      </c>
      <c r="J95" s="63">
        <f>I95</f>
        <v>1</v>
      </c>
      <c r="K95" s="63"/>
      <c r="L95" s="61">
        <f>COUNTIF($X95:$AC95,10)+COUNTIFS($X95:$AC95,"&gt;=7",$X95:$AC95,"&lt;10")/2</f>
        <v>2</v>
      </c>
      <c r="M95" s="63" t="str">
        <f>_xlfn.CONCAT(COUNTIF($X95:$AC95,10)+COUNTIFS($X95:$AC95,"&gt;=7",$X95:$AC95,"&lt;10")/2,REPT("*",COUNTBLANK($X95:$AC95)))</f>
        <v>2</v>
      </c>
      <c r="N95" s="60">
        <v>2</v>
      </c>
      <c r="O95" s="60">
        <v>2</v>
      </c>
      <c r="P95" s="60"/>
      <c r="Q95" s="64">
        <v>7.25</v>
      </c>
      <c r="R95" s="64">
        <v>9.3301435406698499</v>
      </c>
      <c r="S95" s="64">
        <v>10</v>
      </c>
      <c r="T95" s="64">
        <v>8.2857142857142794</v>
      </c>
      <c r="U95" s="64">
        <v>8</v>
      </c>
      <c r="V95" s="64">
        <v>8.9222222222222207</v>
      </c>
      <c r="W95" s="61"/>
      <c r="X95" s="64">
        <f>[1]Health!F92</f>
        <v>7.25</v>
      </c>
      <c r="Y95" s="64">
        <f>'[1]Food Security'!F92</f>
        <v>9.3301435406698605</v>
      </c>
      <c r="Z95" s="64">
        <f>'[1]Macro Fiscal'!F92</f>
        <v>7.5537190082644603</v>
      </c>
      <c r="AA95" s="64">
        <f>'[1]Socioeconomic Vulnerability'!F92</f>
        <v>0</v>
      </c>
      <c r="AB95" s="64">
        <f>'[1]Natural Hazard'!F92</f>
        <v>8</v>
      </c>
      <c r="AC95" s="64">
        <f>'[1]Fragility and Conflict'!F92</f>
        <v>92</v>
      </c>
      <c r="AD95" s="61"/>
      <c r="AE95" s="64">
        <f>[1]Health!G92</f>
        <v>7.1428571428571104</v>
      </c>
      <c r="AF95" s="64">
        <f>'[1]Food Security'!G92</f>
        <v>0</v>
      </c>
      <c r="AG95" s="64">
        <f>'[1]Macro Fiscal'!G92</f>
        <v>3.63636363636363</v>
      </c>
      <c r="AH95" s="64">
        <f>'[1]Socioeconomic Vulnerability'!G92</f>
        <v>0</v>
      </c>
      <c r="AI95" s="64">
        <f>'[1]Natural Hazard'!G92</f>
        <v>10</v>
      </c>
      <c r="AJ95" s="64">
        <f>'[1]Fragility and Conflict'!G92</f>
        <v>0</v>
      </c>
      <c r="AK95" s="60"/>
      <c r="AL95" s="66">
        <v>0</v>
      </c>
      <c r="AM95" s="66">
        <v>0.4</v>
      </c>
      <c r="AN95" s="60"/>
      <c r="AO95" s="60"/>
      <c r="AP95" s="60"/>
      <c r="AQ95" s="60"/>
      <c r="AR95" s="60"/>
      <c r="AS95" s="60"/>
      <c r="AT95" s="60"/>
      <c r="AU95" s="60"/>
      <c r="AV95" s="60"/>
      <c r="AW95" s="60"/>
      <c r="AX95" s="60"/>
      <c r="AY95" s="60"/>
      <c r="AZ95" s="60"/>
      <c r="BA95" s="60"/>
      <c r="BB95" s="60"/>
      <c r="BC95" s="60"/>
      <c r="BD95" s="60"/>
      <c r="BE95" s="60"/>
      <c r="BF95" s="60"/>
      <c r="BG95" s="60"/>
      <c r="BH95" s="60"/>
      <c r="BI95" s="60"/>
      <c r="BJ95" s="60"/>
      <c r="BK95" s="60"/>
      <c r="BL95" s="60"/>
      <c r="BM95" s="60"/>
      <c r="BN95" s="60"/>
      <c r="BO95" s="60"/>
      <c r="BP95" s="60"/>
      <c r="BQ95" s="60"/>
      <c r="BR95" s="60"/>
      <c r="BS95" s="60"/>
      <c r="BT95" s="60"/>
      <c r="BU95" s="60"/>
    </row>
    <row r="96" spans="1:73" s="67" customFormat="1" x14ac:dyDescent="0.2">
      <c r="A96" s="58">
        <v>91</v>
      </c>
      <c r="B96" s="59" t="s">
        <v>640</v>
      </c>
      <c r="C96" s="59" t="s">
        <v>641</v>
      </c>
      <c r="D96" s="60"/>
      <c r="E96" s="61">
        <f>COUNTIF($Q96:$V96,10)</f>
        <v>2</v>
      </c>
      <c r="F96" s="62">
        <f>E96</f>
        <v>2</v>
      </c>
      <c r="G96" s="61">
        <f>COUNTIF($X96:$AC96,10)</f>
        <v>1</v>
      </c>
      <c r="H96" s="63">
        <f>G96</f>
        <v>1</v>
      </c>
      <c r="I96" s="60">
        <f>COUNTIF($AE96:$AJ96,10)</f>
        <v>1</v>
      </c>
      <c r="J96" s="63">
        <f>I96</f>
        <v>1</v>
      </c>
      <c r="K96" s="63"/>
      <c r="L96" s="61">
        <f>COUNTIF($X96:$AC96,10)+COUNTIFS($X96:$AC96,"&gt;=7",$X96:$AC96,"&lt;10")/2</f>
        <v>1</v>
      </c>
      <c r="M96" s="63" t="str">
        <f>_xlfn.CONCAT(COUNTIF($X96:$AC96,10)+COUNTIFS($X96:$AC96,"&gt;=7",$X96:$AC96,"&lt;10")/2,REPT("*",COUNTBLANK($X96:$AC96)))</f>
        <v>1</v>
      </c>
      <c r="N96" s="60">
        <v>1</v>
      </c>
      <c r="O96" s="60">
        <v>1</v>
      </c>
      <c r="P96" s="60"/>
      <c r="Q96" s="64">
        <v>10</v>
      </c>
      <c r="R96" s="64">
        <v>5.7655502392344502</v>
      </c>
      <c r="S96" s="64">
        <v>10</v>
      </c>
      <c r="T96" s="64">
        <v>8.4285714285714306</v>
      </c>
      <c r="U96" s="64">
        <v>4.6666666666666696</v>
      </c>
      <c r="V96" s="68"/>
      <c r="W96" s="61"/>
      <c r="X96" s="64">
        <f>[1]Health!F93</f>
        <v>10</v>
      </c>
      <c r="Y96" s="64">
        <f>'[1]Food Security'!F93</f>
        <v>5.7655502392344502</v>
      </c>
      <c r="Z96" s="64">
        <f>'[1]Macro Fiscal'!F93</f>
        <v>0</v>
      </c>
      <c r="AA96" s="64">
        <f>'[1]Socioeconomic Vulnerability'!F93</f>
        <v>0</v>
      </c>
      <c r="AB96" s="64">
        <f>'[1]Natural Hazard'!F93</f>
        <v>4.6666666666666696</v>
      </c>
      <c r="AC96" s="64">
        <f>'[1]Fragility and Conflict'!F93</f>
        <v>93</v>
      </c>
      <c r="AD96" s="61"/>
      <c r="AE96" s="64">
        <f>[1]Health!G93</f>
        <v>9.9138461538461495</v>
      </c>
      <c r="AF96" s="64">
        <f>'[1]Food Security'!G93</f>
        <v>0</v>
      </c>
      <c r="AG96" s="64">
        <f>'[1]Macro Fiscal'!G93</f>
        <v>0</v>
      </c>
      <c r="AH96" s="64">
        <f>'[1]Socioeconomic Vulnerability'!G93</f>
        <v>0</v>
      </c>
      <c r="AI96" s="64">
        <f>'[1]Natural Hazard'!G93</f>
        <v>10</v>
      </c>
      <c r="AJ96" s="64">
        <f>'[1]Fragility and Conflict'!G93</f>
        <v>0</v>
      </c>
      <c r="AK96" s="60"/>
      <c r="AL96" s="66">
        <v>0.2</v>
      </c>
      <c r="AM96" s="66">
        <v>0.8</v>
      </c>
      <c r="AN96" s="60"/>
      <c r="AO96" s="60"/>
      <c r="AP96" s="60"/>
      <c r="AQ96" s="60"/>
      <c r="AR96" s="60"/>
      <c r="AS96" s="60"/>
      <c r="AT96" s="60"/>
      <c r="AU96" s="60"/>
      <c r="AV96" s="60"/>
      <c r="AW96" s="60"/>
      <c r="AX96" s="60"/>
      <c r="AY96" s="60"/>
      <c r="AZ96" s="60"/>
      <c r="BA96" s="60"/>
      <c r="BB96" s="60"/>
      <c r="BC96" s="60"/>
      <c r="BD96" s="60"/>
      <c r="BE96" s="60"/>
      <c r="BF96" s="60"/>
      <c r="BG96" s="60"/>
      <c r="BH96" s="60"/>
      <c r="BI96" s="60"/>
      <c r="BJ96" s="60"/>
      <c r="BK96" s="60"/>
      <c r="BL96" s="60"/>
      <c r="BM96" s="60"/>
      <c r="BN96" s="60"/>
      <c r="BO96" s="60"/>
      <c r="BP96" s="60"/>
      <c r="BQ96" s="60"/>
      <c r="BR96" s="60"/>
      <c r="BS96" s="60"/>
      <c r="BT96" s="60"/>
      <c r="BU96" s="60"/>
    </row>
    <row r="97" spans="1:73" s="67" customFormat="1" x14ac:dyDescent="0.2">
      <c r="A97" s="58">
        <v>92</v>
      </c>
      <c r="B97" s="59" t="s">
        <v>644</v>
      </c>
      <c r="C97" s="59" t="s">
        <v>645</v>
      </c>
      <c r="D97" s="60"/>
      <c r="E97" s="61">
        <f>COUNTIF($Q97:$V97,10)</f>
        <v>0</v>
      </c>
      <c r="F97" s="62">
        <f>E97</f>
        <v>0</v>
      </c>
      <c r="G97" s="61">
        <f>COUNTIF($X97:$AC97,10)</f>
        <v>0</v>
      </c>
      <c r="H97" s="63">
        <f>G97</f>
        <v>0</v>
      </c>
      <c r="I97" s="60">
        <f>COUNTIF($AE97:$AJ97,10)</f>
        <v>0</v>
      </c>
      <c r="J97" s="63">
        <f>I97</f>
        <v>0</v>
      </c>
      <c r="K97" s="63"/>
      <c r="L97" s="61">
        <f>COUNTIF($X97:$AC97,10)+COUNTIFS($X97:$AC97,"&gt;=7",$X97:$AC97,"&lt;10")/2</f>
        <v>0.5</v>
      </c>
      <c r="M97" s="63" t="str">
        <f>_xlfn.CONCAT(COUNTIF($X97:$AC97,10)+COUNTIFS($X97:$AC97,"&gt;=7",$X97:$AC97,"&lt;10")/2,REPT("*",COUNTBLANK($X97:$AC97)))</f>
        <v>0.5</v>
      </c>
      <c r="N97" s="60">
        <v>1</v>
      </c>
      <c r="O97" s="60">
        <v>1</v>
      </c>
      <c r="P97" s="60"/>
      <c r="Q97" s="64">
        <v>8.76</v>
      </c>
      <c r="R97" s="64">
        <v>4.01913875598086</v>
      </c>
      <c r="S97" s="64">
        <v>4.0900562851782398</v>
      </c>
      <c r="T97" s="64">
        <v>2.5714285714285698</v>
      </c>
      <c r="U97" s="64">
        <v>5.5435122152433296</v>
      </c>
      <c r="V97" s="68"/>
      <c r="W97" s="61"/>
      <c r="X97" s="64">
        <f>[1]Health!F94</f>
        <v>8.76</v>
      </c>
      <c r="Y97" s="64">
        <f>'[1]Food Security'!F94</f>
        <v>4.01913875598086</v>
      </c>
      <c r="Z97" s="64">
        <f>'[1]Macro Fiscal'!F94</f>
        <v>0</v>
      </c>
      <c r="AA97" s="64">
        <f>'[1]Socioeconomic Vulnerability'!F94</f>
        <v>0</v>
      </c>
      <c r="AB97" s="64">
        <f>'[1]Natural Hazard'!F94</f>
        <v>3</v>
      </c>
      <c r="AC97" s="64">
        <f>'[1]Fragility and Conflict'!F94</f>
        <v>94</v>
      </c>
      <c r="AD97" s="61"/>
      <c r="AE97" s="64">
        <f>[1]Health!G94</f>
        <v>0</v>
      </c>
      <c r="AF97" s="64">
        <f>'[1]Food Security'!G94</f>
        <v>0</v>
      </c>
      <c r="AG97" s="64">
        <f>'[1]Macro Fiscal'!G94</f>
        <v>0</v>
      </c>
      <c r="AH97" s="64">
        <f>'[1]Socioeconomic Vulnerability'!G94</f>
        <v>0</v>
      </c>
      <c r="AI97" s="64">
        <f>'[1]Natural Hazard'!G94</f>
        <v>0</v>
      </c>
      <c r="AJ97" s="64">
        <f>'[1]Fragility and Conflict'!G94</f>
        <v>0</v>
      </c>
      <c r="AK97" s="60"/>
      <c r="AL97" s="66">
        <v>0.2</v>
      </c>
      <c r="AM97" s="66">
        <v>0.7</v>
      </c>
      <c r="AN97" s="60"/>
      <c r="AO97" s="60"/>
      <c r="AP97" s="60"/>
      <c r="AQ97" s="60"/>
      <c r="AR97" s="60"/>
      <c r="AS97" s="60"/>
      <c r="AT97" s="60"/>
      <c r="AU97" s="60"/>
      <c r="AV97" s="60"/>
      <c r="AW97" s="60"/>
      <c r="AX97" s="60"/>
      <c r="AY97" s="60"/>
      <c r="AZ97" s="60"/>
      <c r="BA97" s="60"/>
      <c r="BB97" s="60"/>
      <c r="BC97" s="60"/>
      <c r="BD97" s="60"/>
      <c r="BE97" s="60"/>
      <c r="BF97" s="60"/>
      <c r="BG97" s="60"/>
      <c r="BH97" s="60"/>
      <c r="BI97" s="60"/>
      <c r="BJ97" s="60"/>
      <c r="BK97" s="60"/>
      <c r="BL97" s="60"/>
      <c r="BM97" s="60"/>
      <c r="BN97" s="60"/>
      <c r="BO97" s="60"/>
      <c r="BP97" s="60"/>
      <c r="BQ97" s="60"/>
      <c r="BR97" s="60"/>
      <c r="BS97" s="60"/>
      <c r="BT97" s="60"/>
      <c r="BU97" s="60"/>
    </row>
    <row r="98" spans="1:73" s="67" customFormat="1" x14ac:dyDescent="0.2">
      <c r="A98" s="58">
        <v>93</v>
      </c>
      <c r="B98" s="59" t="s">
        <v>648</v>
      </c>
      <c r="C98" s="59" t="s">
        <v>649</v>
      </c>
      <c r="D98" s="60"/>
      <c r="E98" s="61">
        <f>COUNTIF($Q98:$V98,10)</f>
        <v>1</v>
      </c>
      <c r="F98" s="62">
        <f>E98</f>
        <v>1</v>
      </c>
      <c r="G98" s="61">
        <f>COUNTIF($X98:$AC98,10)</f>
        <v>1</v>
      </c>
      <c r="H98" s="63">
        <f>G98</f>
        <v>1</v>
      </c>
      <c r="I98" s="60">
        <f>COUNTIF($AE98:$AJ98,10)</f>
        <v>0</v>
      </c>
      <c r="J98" s="63">
        <f>I98</f>
        <v>0</v>
      </c>
      <c r="K98" s="63"/>
      <c r="L98" s="61">
        <f>COUNTIF($X98:$AC98,10)+COUNTIFS($X98:$AC98,"&gt;=7",$X98:$AC98,"&lt;10")/2</f>
        <v>1.5</v>
      </c>
      <c r="M98" s="63" t="str">
        <f>_xlfn.CONCAT(COUNTIF($X98:$AC98,10)+COUNTIFS($X98:$AC98,"&gt;=7",$X98:$AC98,"&lt;10")/2,REPT("*",COUNTBLANK($X98:$AC98)))</f>
        <v>1.5</v>
      </c>
      <c r="N98" s="60">
        <v>1</v>
      </c>
      <c r="O98" s="60">
        <v>1</v>
      </c>
      <c r="P98" s="60"/>
      <c r="Q98" s="64">
        <v>10</v>
      </c>
      <c r="R98" s="64">
        <v>0.47846889952152999</v>
      </c>
      <c r="S98" s="64">
        <v>0.37523452157598303</v>
      </c>
      <c r="T98" s="64">
        <v>0.57142857142857095</v>
      </c>
      <c r="U98" s="64">
        <v>8.1666666666666696</v>
      </c>
      <c r="V98" s="64">
        <v>3.5555555555555598</v>
      </c>
      <c r="W98" s="61"/>
      <c r="X98" s="64">
        <f>[1]Health!F95</f>
        <v>10</v>
      </c>
      <c r="Y98" s="64">
        <f>'[1]Food Security'!F95</f>
        <v>0.47846889952152999</v>
      </c>
      <c r="Z98" s="64">
        <f>'[1]Macro Fiscal'!F95</f>
        <v>2.9256198347107398</v>
      </c>
      <c r="AA98" s="64">
        <f>'[1]Socioeconomic Vulnerability'!F95</f>
        <v>0</v>
      </c>
      <c r="AB98" s="64">
        <f>'[1]Natural Hazard'!F95</f>
        <v>8.1666666666666696</v>
      </c>
      <c r="AC98" s="64">
        <f>'[1]Fragility and Conflict'!F95</f>
        <v>95</v>
      </c>
      <c r="AD98" s="61"/>
      <c r="AE98" s="64">
        <f>[1]Health!G95</f>
        <v>2.9061538461538499</v>
      </c>
      <c r="AF98" s="64">
        <f>'[1]Food Security'!G95</f>
        <v>1</v>
      </c>
      <c r="AG98" s="64">
        <f>'[1]Macro Fiscal'!G95</f>
        <v>0</v>
      </c>
      <c r="AH98" s="64">
        <f>'[1]Socioeconomic Vulnerability'!G95</f>
        <v>0</v>
      </c>
      <c r="AI98" s="64">
        <f>'[1]Natural Hazard'!G95</f>
        <v>0</v>
      </c>
      <c r="AJ98" s="64">
        <f>'[1]Fragility and Conflict'!G95</f>
        <v>0</v>
      </c>
      <c r="AK98" s="60"/>
      <c r="AL98" s="66">
        <v>0</v>
      </c>
      <c r="AM98" s="66">
        <v>0.4</v>
      </c>
      <c r="AN98" s="60"/>
      <c r="AO98" s="60"/>
      <c r="AP98" s="60"/>
      <c r="AQ98" s="60"/>
      <c r="AR98" s="60"/>
      <c r="AS98" s="60"/>
      <c r="AT98" s="60"/>
      <c r="AU98" s="60"/>
      <c r="AV98" s="60"/>
      <c r="AW98" s="60"/>
      <c r="AX98" s="60"/>
      <c r="AY98" s="60"/>
      <c r="AZ98" s="60"/>
      <c r="BA98" s="60"/>
      <c r="BB98" s="60"/>
      <c r="BC98" s="60"/>
      <c r="BD98" s="60"/>
      <c r="BE98" s="60"/>
      <c r="BF98" s="60"/>
      <c r="BG98" s="60"/>
      <c r="BH98" s="60"/>
      <c r="BI98" s="60"/>
      <c r="BJ98" s="60"/>
      <c r="BK98" s="60"/>
      <c r="BL98" s="60"/>
      <c r="BM98" s="60"/>
      <c r="BN98" s="60"/>
      <c r="BO98" s="60"/>
      <c r="BP98" s="60"/>
      <c r="BQ98" s="60"/>
      <c r="BR98" s="60"/>
      <c r="BS98" s="60"/>
      <c r="BT98" s="60"/>
      <c r="BU98" s="60"/>
    </row>
    <row r="99" spans="1:73" s="67" customFormat="1" x14ac:dyDescent="0.2">
      <c r="A99" s="58">
        <v>94</v>
      </c>
      <c r="B99" s="59" t="s">
        <v>653</v>
      </c>
      <c r="C99" s="59" t="s">
        <v>654</v>
      </c>
      <c r="D99" s="60"/>
      <c r="E99" s="61">
        <f>COUNTIF($Q99:$V99,10)</f>
        <v>0</v>
      </c>
      <c r="F99" s="62">
        <f>E99</f>
        <v>0</v>
      </c>
      <c r="G99" s="61">
        <f>COUNTIF($X99:$AC99,10)</f>
        <v>0</v>
      </c>
      <c r="H99" s="63">
        <f>G99</f>
        <v>0</v>
      </c>
      <c r="I99" s="60">
        <f>COUNTIF($AE99:$AJ99,10)</f>
        <v>1</v>
      </c>
      <c r="J99" s="63">
        <f>I99</f>
        <v>1</v>
      </c>
      <c r="K99" s="63"/>
      <c r="L99" s="61">
        <f>COUNTIF($X99:$AC99,10)+COUNTIFS($X99:$AC99,"&gt;=7",$X99:$AC99,"&lt;10")/2</f>
        <v>0</v>
      </c>
      <c r="M99" s="63" t="str">
        <f>_xlfn.CONCAT(COUNTIF($X99:$AC99,10)+COUNTIFS($X99:$AC99,"&gt;=7",$X99:$AC99,"&lt;10")/2,REPT("*",COUNTBLANK($X99:$AC99)))</f>
        <v>0</v>
      </c>
      <c r="N99" s="60">
        <v>1</v>
      </c>
      <c r="O99" s="60">
        <v>1</v>
      </c>
      <c r="P99" s="60"/>
      <c r="Q99" s="64">
        <v>4.78</v>
      </c>
      <c r="R99" s="64">
        <v>0.64593301435406603</v>
      </c>
      <c r="S99" s="64">
        <v>0</v>
      </c>
      <c r="T99" s="64">
        <v>2.4285714285714302</v>
      </c>
      <c r="U99" s="64">
        <v>5.4223588559884899</v>
      </c>
      <c r="V99" s="64">
        <v>5.6555555555555603</v>
      </c>
      <c r="W99" s="61"/>
      <c r="X99" s="64">
        <f>[1]Health!F96</f>
        <v>4.78</v>
      </c>
      <c r="Y99" s="64">
        <f>'[1]Food Security'!F96</f>
        <v>0.64593301435406603</v>
      </c>
      <c r="Z99" s="64">
        <f>'[1]Macro Fiscal'!F96</f>
        <v>4.2644628099173598</v>
      </c>
      <c r="AA99" s="64">
        <f>'[1]Socioeconomic Vulnerability'!F96</f>
        <v>0</v>
      </c>
      <c r="AB99" s="64">
        <f>'[1]Natural Hazard'!F96</f>
        <v>1</v>
      </c>
      <c r="AC99" s="64">
        <f>'[1]Fragility and Conflict'!F96</f>
        <v>96</v>
      </c>
      <c r="AD99" s="61"/>
      <c r="AE99" s="64">
        <f>[1]Health!G96</f>
        <v>10</v>
      </c>
      <c r="AF99" s="64">
        <f>'[1]Food Security'!G96</f>
        <v>1</v>
      </c>
      <c r="AG99" s="64">
        <f>'[1]Macro Fiscal'!G96</f>
        <v>1.36363636363637</v>
      </c>
      <c r="AH99" s="64">
        <f>'[1]Socioeconomic Vulnerability'!G96</f>
        <v>0</v>
      </c>
      <c r="AI99" s="64">
        <f>'[1]Natural Hazard'!G96</f>
        <v>0</v>
      </c>
      <c r="AJ99" s="64">
        <f>'[1]Fragility and Conflict'!G96</f>
        <v>0</v>
      </c>
      <c r="AK99" s="60"/>
      <c r="AL99" s="66">
        <v>0</v>
      </c>
      <c r="AM99" s="66">
        <v>0.4</v>
      </c>
      <c r="AN99" s="60"/>
      <c r="AO99" s="60"/>
      <c r="AP99" s="60"/>
      <c r="AQ99" s="60"/>
      <c r="AR99" s="60"/>
      <c r="AS99" s="60"/>
      <c r="AT99" s="60"/>
      <c r="AU99" s="60"/>
      <c r="AV99" s="60"/>
      <c r="AW99" s="60"/>
      <c r="AX99" s="60"/>
      <c r="AY99" s="60"/>
      <c r="AZ99" s="60"/>
      <c r="BA99" s="60"/>
      <c r="BB99" s="60"/>
      <c r="BC99" s="60"/>
      <c r="BD99" s="60"/>
      <c r="BE99" s="60"/>
      <c r="BF99" s="60"/>
      <c r="BG99" s="60"/>
      <c r="BH99" s="60"/>
      <c r="BI99" s="60"/>
      <c r="BJ99" s="60"/>
      <c r="BK99" s="60"/>
      <c r="BL99" s="60"/>
      <c r="BM99" s="60"/>
      <c r="BN99" s="60"/>
      <c r="BO99" s="60"/>
      <c r="BP99" s="60"/>
      <c r="BQ99" s="60"/>
      <c r="BR99" s="60"/>
      <c r="BS99" s="60"/>
      <c r="BT99" s="60"/>
      <c r="BU99" s="60"/>
    </row>
    <row r="100" spans="1:73" s="67" customFormat="1" x14ac:dyDescent="0.2">
      <c r="A100" s="58">
        <v>95</v>
      </c>
      <c r="B100" s="59" t="s">
        <v>658</v>
      </c>
      <c r="C100" s="59" t="s">
        <v>659</v>
      </c>
      <c r="D100" s="60"/>
      <c r="E100" s="61">
        <f>COUNTIF($Q100:$V100,10)</f>
        <v>2</v>
      </c>
      <c r="F100" s="62">
        <f>E100</f>
        <v>2</v>
      </c>
      <c r="G100" s="61">
        <f>COUNTIF($X100:$AC100,10)</f>
        <v>0</v>
      </c>
      <c r="H100" s="63">
        <f>G100</f>
        <v>0</v>
      </c>
      <c r="I100" s="60">
        <f>COUNTIF($AE100:$AJ100,10)</f>
        <v>2</v>
      </c>
      <c r="J100" s="63">
        <f>I100</f>
        <v>2</v>
      </c>
      <c r="K100" s="63"/>
      <c r="L100" s="61">
        <f>COUNTIF($X100:$AC100,10)+COUNTIFS($X100:$AC100,"&gt;=7",$X100:$AC100,"&lt;10")/2</f>
        <v>1.5</v>
      </c>
      <c r="M100" s="63" t="str">
        <f>_xlfn.CONCAT(COUNTIF($X100:$AC100,10)+COUNTIFS($X100:$AC100,"&gt;=7",$X100:$AC100,"&lt;10")/2,REPT("*",COUNTBLANK($X100:$AC100)))</f>
        <v>1.5</v>
      </c>
      <c r="N100" s="60">
        <v>2</v>
      </c>
      <c r="O100" s="60">
        <v>2</v>
      </c>
      <c r="P100" s="60"/>
      <c r="Q100" s="64">
        <v>6.5</v>
      </c>
      <c r="R100" s="64">
        <v>8.6602870813397104</v>
      </c>
      <c r="S100" s="64">
        <v>10</v>
      </c>
      <c r="T100" s="64">
        <v>7.1428571428571397</v>
      </c>
      <c r="U100" s="64">
        <v>7.4454766235905501</v>
      </c>
      <c r="V100" s="64">
        <v>10</v>
      </c>
      <c r="W100" s="61"/>
      <c r="X100" s="64">
        <f>[1]Health!F97</f>
        <v>6.5</v>
      </c>
      <c r="Y100" s="64">
        <f>'[1]Food Security'!F97</f>
        <v>8.6602870813397104</v>
      </c>
      <c r="Z100" s="64">
        <f>'[1]Macro Fiscal'!F97</f>
        <v>7.8181818181818201</v>
      </c>
      <c r="AA100" s="64">
        <f>'[1]Socioeconomic Vulnerability'!F97</f>
        <v>7.1725602831159296</v>
      </c>
      <c r="AB100" s="64">
        <f>'[1]Natural Hazard'!F97</f>
        <v>6.5</v>
      </c>
      <c r="AC100" s="64">
        <f>'[1]Fragility and Conflict'!F97</f>
        <v>97</v>
      </c>
      <c r="AD100" s="61"/>
      <c r="AE100" s="64">
        <f>[1]Health!G97</f>
        <v>10</v>
      </c>
      <c r="AF100" s="64">
        <f>'[1]Food Security'!G97</f>
        <v>5</v>
      </c>
      <c r="AG100" s="64">
        <f>'[1]Macro Fiscal'!G97</f>
        <v>7.5</v>
      </c>
      <c r="AH100" s="64">
        <f>'[1]Socioeconomic Vulnerability'!G97</f>
        <v>0</v>
      </c>
      <c r="AI100" s="64">
        <f>'[1]Natural Hazard'!G97</f>
        <v>7</v>
      </c>
      <c r="AJ100" s="64">
        <f>'[1]Fragility and Conflict'!G97</f>
        <v>10</v>
      </c>
      <c r="AK100" s="60"/>
      <c r="AL100" s="66">
        <v>0</v>
      </c>
      <c r="AM100" s="66">
        <v>0.5</v>
      </c>
      <c r="AN100" s="60"/>
      <c r="AO100" s="60"/>
      <c r="AP100" s="60"/>
      <c r="AQ100" s="60"/>
      <c r="AR100" s="60"/>
      <c r="AS100" s="60"/>
      <c r="AT100" s="60"/>
      <c r="AU100" s="60"/>
      <c r="AV100" s="60"/>
      <c r="AW100" s="60"/>
      <c r="AX100" s="60"/>
      <c r="AY100" s="60"/>
      <c r="AZ100" s="60"/>
      <c r="BA100" s="60"/>
      <c r="BB100" s="60"/>
      <c r="BC100" s="60"/>
      <c r="BD100" s="60"/>
      <c r="BE100" s="60"/>
      <c r="BF100" s="60"/>
      <c r="BG100" s="60"/>
      <c r="BH100" s="60"/>
      <c r="BI100" s="60"/>
      <c r="BJ100" s="60"/>
      <c r="BK100" s="60"/>
      <c r="BL100" s="60"/>
      <c r="BM100" s="60"/>
      <c r="BN100" s="60"/>
      <c r="BO100" s="60"/>
      <c r="BP100" s="60"/>
      <c r="BQ100" s="60"/>
      <c r="BR100" s="60"/>
      <c r="BS100" s="60"/>
      <c r="BT100" s="60"/>
      <c r="BU100" s="60"/>
    </row>
    <row r="101" spans="1:73" s="67" customFormat="1" x14ac:dyDescent="0.2">
      <c r="A101" s="58">
        <v>96</v>
      </c>
      <c r="B101" s="59" t="s">
        <v>661</v>
      </c>
      <c r="C101" s="59" t="s">
        <v>662</v>
      </c>
      <c r="D101" s="60"/>
      <c r="E101" s="61">
        <f>COUNTIF($Q101:$V101,10)</f>
        <v>0</v>
      </c>
      <c r="F101" s="62">
        <f>E101</f>
        <v>0</v>
      </c>
      <c r="G101" s="61">
        <f>COUNTIF($X101:$AC101,10)</f>
        <v>0</v>
      </c>
      <c r="H101" s="63">
        <f>G101</f>
        <v>0</v>
      </c>
      <c r="I101" s="60">
        <f>COUNTIF($AE101:$AJ101,10)</f>
        <v>3</v>
      </c>
      <c r="J101" s="63">
        <f>I101</f>
        <v>3</v>
      </c>
      <c r="K101" s="63"/>
      <c r="L101" s="61">
        <f>COUNTIF($X101:$AC101,10)+COUNTIFS($X101:$AC101,"&gt;=7",$X101:$AC101,"&lt;10")/2</f>
        <v>1.5</v>
      </c>
      <c r="M101" s="63" t="str">
        <f>_xlfn.CONCAT(COUNTIF($X101:$AC101,10)+COUNTIFS($X101:$AC101,"&gt;=7",$X101:$AC101,"&lt;10")/2,REPT("*",COUNTBLANK($X101:$AC101)))</f>
        <v>1.5</v>
      </c>
      <c r="N101" s="60">
        <v>3</v>
      </c>
      <c r="O101" s="60">
        <v>3</v>
      </c>
      <c r="P101" s="60"/>
      <c r="Q101" s="64">
        <f>IFERROR(GEOMEAN(X101,AE101), MAX(X101,AE101))</f>
        <v>8.6602540378443873</v>
      </c>
      <c r="R101" s="64">
        <f>IFERROR(GEOMEAN(Y101,AF101), MAX(Y101,AF101))</f>
        <v>5.8079305622801565</v>
      </c>
      <c r="S101" s="64">
        <f>IFERROR(GEOMEAN(Z101,AG101), MAX(Z101,AG101))</f>
        <v>9.663768920667863</v>
      </c>
      <c r="T101" s="64">
        <f>IFERROR(GEOMEAN(AA101,AH101), MAX(AA101,AH101))</f>
        <v>0</v>
      </c>
      <c r="U101" s="64">
        <f>IFERROR(GEOMEAN(AB101,AI101), MAX(AB101,AI101))</f>
        <v>7</v>
      </c>
      <c r="V101" s="64">
        <f>IFERROR(GEOMEAN(AC101,AJ101), MAX(AC101,AJ101))</f>
        <v>98</v>
      </c>
      <c r="W101" s="61"/>
      <c r="X101" s="64">
        <f>[1]Health!F98</f>
        <v>7.5</v>
      </c>
      <c r="Y101" s="64">
        <f>'[1]Food Security'!F98</f>
        <v>3.3732057416267902</v>
      </c>
      <c r="Z101" s="64">
        <f>'[1]Macro Fiscal'!F98</f>
        <v>9.3388429752066102</v>
      </c>
      <c r="AA101" s="64">
        <f>'[1]Socioeconomic Vulnerability'!F98</f>
        <v>0</v>
      </c>
      <c r="AB101" s="64">
        <f>'[1]Natural Hazard'!F98</f>
        <v>7</v>
      </c>
      <c r="AC101" s="64">
        <f>'[1]Fragility and Conflict'!F98</f>
        <v>98</v>
      </c>
      <c r="AD101" s="61"/>
      <c r="AE101" s="64">
        <f>[1]Health!G98</f>
        <v>10</v>
      </c>
      <c r="AF101" s="64">
        <f>'[1]Food Security'!G98</f>
        <v>10</v>
      </c>
      <c r="AG101" s="64">
        <f>'[1]Macro Fiscal'!G98</f>
        <v>10</v>
      </c>
      <c r="AH101" s="64">
        <f>'[1]Socioeconomic Vulnerability'!G98</f>
        <v>0</v>
      </c>
      <c r="AI101" s="64">
        <f>'[1]Natural Hazard'!G98</f>
        <v>0</v>
      </c>
      <c r="AJ101" s="64">
        <f>'[1]Fragility and Conflict'!G98</f>
        <v>0</v>
      </c>
      <c r="AK101" s="60"/>
      <c r="AL101" s="66">
        <v>0</v>
      </c>
      <c r="AM101" s="66">
        <v>0.3</v>
      </c>
      <c r="AN101" s="60"/>
      <c r="AO101" s="60"/>
      <c r="AP101" s="60"/>
      <c r="AQ101" s="60"/>
      <c r="AR101" s="60"/>
      <c r="AS101" s="60"/>
      <c r="AT101" s="60"/>
      <c r="AU101" s="60"/>
      <c r="AV101" s="60"/>
      <c r="AW101" s="60"/>
      <c r="AX101" s="60"/>
      <c r="AY101" s="60"/>
      <c r="AZ101" s="60"/>
      <c r="BA101" s="60"/>
      <c r="BB101" s="60"/>
      <c r="BC101" s="60"/>
      <c r="BD101" s="60"/>
      <c r="BE101" s="60"/>
      <c r="BF101" s="60"/>
      <c r="BG101" s="60"/>
      <c r="BH101" s="60"/>
      <c r="BI101" s="60"/>
      <c r="BJ101" s="60"/>
      <c r="BK101" s="60"/>
      <c r="BL101" s="60"/>
      <c r="BM101" s="60"/>
      <c r="BN101" s="60"/>
      <c r="BO101" s="60"/>
      <c r="BP101" s="60"/>
      <c r="BQ101" s="60"/>
      <c r="BR101" s="60"/>
      <c r="BS101" s="60"/>
      <c r="BT101" s="60"/>
      <c r="BU101" s="60"/>
    </row>
    <row r="102" spans="1:73" s="67" customFormat="1" x14ac:dyDescent="0.2">
      <c r="A102" s="58">
        <v>97</v>
      </c>
      <c r="B102" s="59" t="s">
        <v>667</v>
      </c>
      <c r="C102" s="59" t="s">
        <v>668</v>
      </c>
      <c r="D102" s="60"/>
      <c r="E102" s="61">
        <f>COUNTIF($Q102:$V102,10)</f>
        <v>0</v>
      </c>
      <c r="F102" s="62">
        <f>E102</f>
        <v>0</v>
      </c>
      <c r="G102" s="61">
        <f>COUNTIF($X102:$AC102,10)</f>
        <v>1</v>
      </c>
      <c r="H102" s="63">
        <f>G102</f>
        <v>1</v>
      </c>
      <c r="I102" s="60">
        <f>COUNTIF($AE102:$AJ102,10)</f>
        <v>0</v>
      </c>
      <c r="J102" s="63">
        <f>I102</f>
        <v>0</v>
      </c>
      <c r="K102" s="63"/>
      <c r="L102" s="61">
        <f>COUNTIF($X102:$AC102,10)+COUNTIFS($X102:$AC102,"&gt;=7",$X102:$AC102,"&lt;10")/2</f>
        <v>2</v>
      </c>
      <c r="M102" s="63" t="str">
        <f>_xlfn.CONCAT(COUNTIF($X102:$AC102,10)+COUNTIFS($X102:$AC102,"&gt;=7",$X102:$AC102,"&lt;10")/2,REPT("*",COUNTBLANK($X102:$AC102)))</f>
        <v>2</v>
      </c>
      <c r="N102" s="60">
        <v>3</v>
      </c>
      <c r="O102" s="60">
        <v>3</v>
      </c>
      <c r="P102" s="60"/>
      <c r="Q102" s="64">
        <f>IFERROR(GEOMEAN(X102,AE102), MAX(X102,AE102))</f>
        <v>7.5671354197964833</v>
      </c>
      <c r="R102" s="64">
        <f>IFERROR(GEOMEAN(Y102,AF102), MAX(Y102,AF102))</f>
        <v>6.9774071492436063</v>
      </c>
      <c r="S102" s="64">
        <f>IFERROR(GEOMEAN(Z102,AG102), MAX(Z102,AG102))</f>
        <v>7.5095731540262909</v>
      </c>
      <c r="T102" s="64">
        <f>IFERROR(GEOMEAN(AA102,AH102), MAX(AA102,AH102))</f>
        <v>0</v>
      </c>
      <c r="U102" s="64">
        <f>IFERROR(GEOMEAN(AB102,AI102), MAX(AB102,AI102))</f>
        <v>5</v>
      </c>
      <c r="V102" s="64">
        <f>IFERROR(GEOMEAN(AC102,AJ102), MAX(AC102,AJ102))</f>
        <v>99</v>
      </c>
      <c r="W102" s="61"/>
      <c r="X102" s="64">
        <f>[1]Health!F99</f>
        <v>10</v>
      </c>
      <c r="Y102" s="64">
        <f>'[1]Food Security'!F99</f>
        <v>9.7368421052631593</v>
      </c>
      <c r="Z102" s="64">
        <f>'[1]Macro Fiscal'!F99</f>
        <v>9.1900826446281005</v>
      </c>
      <c r="AA102" s="64">
        <f>'[1]Socioeconomic Vulnerability'!F99</f>
        <v>0</v>
      </c>
      <c r="AB102" s="64">
        <f>'[1]Natural Hazard'!F99</f>
        <v>5</v>
      </c>
      <c r="AC102" s="64">
        <f>'[1]Fragility and Conflict'!F99</f>
        <v>99</v>
      </c>
      <c r="AD102" s="61"/>
      <c r="AE102" s="64">
        <f>[1]Health!G99</f>
        <v>5.7261538461538501</v>
      </c>
      <c r="AF102" s="64">
        <f>'[1]Food Security'!G99</f>
        <v>5</v>
      </c>
      <c r="AG102" s="64">
        <f>'[1]Macro Fiscal'!G99</f>
        <v>6.1363636363636296</v>
      </c>
      <c r="AH102" s="64">
        <f>'[1]Socioeconomic Vulnerability'!G99</f>
        <v>0</v>
      </c>
      <c r="AI102" s="64">
        <f>'[1]Natural Hazard'!G99</f>
        <v>0</v>
      </c>
      <c r="AJ102" s="64">
        <f>'[1]Fragility and Conflict'!G99</f>
        <v>0</v>
      </c>
      <c r="AK102" s="60"/>
      <c r="AL102" s="66">
        <v>0</v>
      </c>
      <c r="AM102" s="66">
        <v>0.3</v>
      </c>
      <c r="AN102" s="60"/>
      <c r="AO102" s="60"/>
      <c r="AP102" s="60"/>
      <c r="AQ102" s="60"/>
      <c r="AR102" s="60"/>
      <c r="AS102" s="60"/>
      <c r="AT102" s="60"/>
      <c r="AU102" s="60"/>
      <c r="AV102" s="60"/>
      <c r="AW102" s="60"/>
      <c r="AX102" s="60"/>
      <c r="AY102" s="60"/>
      <c r="AZ102" s="60"/>
      <c r="BA102" s="60"/>
      <c r="BB102" s="60"/>
      <c r="BC102" s="60"/>
      <c r="BD102" s="60"/>
      <c r="BE102" s="60"/>
      <c r="BF102" s="60"/>
      <c r="BG102" s="60"/>
      <c r="BH102" s="60"/>
      <c r="BI102" s="60"/>
      <c r="BJ102" s="60"/>
      <c r="BK102" s="60"/>
      <c r="BL102" s="60"/>
      <c r="BM102" s="60"/>
      <c r="BN102" s="60"/>
      <c r="BO102" s="60"/>
      <c r="BP102" s="60"/>
      <c r="BQ102" s="60"/>
      <c r="BR102" s="60"/>
      <c r="BS102" s="60"/>
      <c r="BT102" s="60"/>
      <c r="BU102" s="60"/>
    </row>
    <row r="103" spans="1:73" s="67" customFormat="1" x14ac:dyDescent="0.2">
      <c r="A103" s="58">
        <v>98</v>
      </c>
      <c r="B103" s="59" t="s">
        <v>672</v>
      </c>
      <c r="C103" s="59" t="s">
        <v>673</v>
      </c>
      <c r="D103" s="60"/>
      <c r="E103" s="61">
        <f>COUNTIF($Q103:$V103,10)</f>
        <v>2</v>
      </c>
      <c r="F103" s="62">
        <f>E103</f>
        <v>2</v>
      </c>
      <c r="G103" s="61">
        <f>COUNTIF($X103:$AC103,10)</f>
        <v>1</v>
      </c>
      <c r="H103" s="63">
        <f>G103</f>
        <v>1</v>
      </c>
      <c r="I103" s="60">
        <f>COUNTIF($AE103:$AJ103,10)</f>
        <v>0</v>
      </c>
      <c r="J103" s="63">
        <f>I103</f>
        <v>0</v>
      </c>
      <c r="K103" s="63"/>
      <c r="L103" s="61">
        <f>COUNTIF($X103:$AC103,10)+COUNTIFS($X103:$AC103,"&gt;=7",$X103:$AC103,"&lt;10")/2</f>
        <v>1.5</v>
      </c>
      <c r="M103" s="63" t="str">
        <f>_xlfn.CONCAT(COUNTIF($X103:$AC103,10)+COUNTIFS($X103:$AC103,"&gt;=7",$X103:$AC103,"&lt;10")/2,REPT("*",COUNTBLANK($X103:$AC103)))</f>
        <v>1.5</v>
      </c>
      <c r="N103" s="60">
        <v>2</v>
      </c>
      <c r="O103" s="60">
        <v>2</v>
      </c>
      <c r="P103" s="60"/>
      <c r="Q103" s="64">
        <v>8.86</v>
      </c>
      <c r="R103" s="64">
        <v>3.42105263157895</v>
      </c>
      <c r="S103" s="64">
        <v>10</v>
      </c>
      <c r="T103" s="64">
        <v>3.8571428571428599</v>
      </c>
      <c r="U103" s="64">
        <v>6.2286546980775901</v>
      </c>
      <c r="V103" s="64">
        <v>10</v>
      </c>
      <c r="W103" s="61"/>
      <c r="X103" s="64">
        <f>[1]Health!F100</f>
        <v>8.86</v>
      </c>
      <c r="Y103" s="64">
        <f>'[1]Food Security'!F100</f>
        <v>3.42105263157895</v>
      </c>
      <c r="Z103" s="64">
        <f>'[1]Macro Fiscal'!F100</f>
        <v>10</v>
      </c>
      <c r="AA103" s="64">
        <f>'[1]Socioeconomic Vulnerability'!F100</f>
        <v>0</v>
      </c>
      <c r="AB103" s="64">
        <f>'[1]Natural Hazard'!F100</f>
        <v>4.5</v>
      </c>
      <c r="AC103" s="64">
        <f>'[1]Fragility and Conflict'!F100</f>
        <v>100</v>
      </c>
      <c r="AD103" s="61"/>
      <c r="AE103" s="64">
        <f>[1]Health!G100</f>
        <v>4.1030769230769204</v>
      </c>
      <c r="AF103" s="64">
        <f>'[1]Food Security'!G100</f>
        <v>0</v>
      </c>
      <c r="AG103" s="64">
        <f>'[1]Macro Fiscal'!G100</f>
        <v>2.2727272727272698</v>
      </c>
      <c r="AH103" s="64">
        <f>'[1]Socioeconomic Vulnerability'!G100</f>
        <v>0</v>
      </c>
      <c r="AI103" s="64">
        <f>'[1]Natural Hazard'!G100</f>
        <v>0</v>
      </c>
      <c r="AJ103" s="64">
        <f>'[1]Fragility and Conflict'!G100</f>
        <v>6.4227731903056302</v>
      </c>
      <c r="AK103" s="60"/>
      <c r="AL103" s="66">
        <v>0</v>
      </c>
      <c r="AM103" s="66">
        <v>0.4</v>
      </c>
      <c r="AN103" s="60"/>
      <c r="AO103" s="60"/>
      <c r="AP103" s="60"/>
      <c r="AQ103" s="60"/>
      <c r="AR103" s="60"/>
      <c r="AS103" s="60"/>
      <c r="AT103" s="60"/>
      <c r="AU103" s="60"/>
      <c r="AV103" s="60"/>
      <c r="AW103" s="60"/>
      <c r="AX103" s="60"/>
      <c r="AY103" s="60"/>
      <c r="AZ103" s="60"/>
      <c r="BA103" s="60"/>
      <c r="BB103" s="60"/>
      <c r="BC103" s="60"/>
      <c r="BD103" s="60"/>
      <c r="BE103" s="60"/>
      <c r="BF103" s="60"/>
      <c r="BG103" s="60"/>
      <c r="BH103" s="60"/>
      <c r="BI103" s="60"/>
      <c r="BJ103" s="60"/>
      <c r="BK103" s="60"/>
      <c r="BL103" s="60"/>
      <c r="BM103" s="60"/>
      <c r="BN103" s="60"/>
      <c r="BO103" s="60"/>
      <c r="BP103" s="60"/>
      <c r="BQ103" s="60"/>
      <c r="BR103" s="60"/>
      <c r="BS103" s="60"/>
      <c r="BT103" s="60"/>
      <c r="BU103" s="60"/>
    </row>
    <row r="104" spans="1:73" s="67" customFormat="1" x14ac:dyDescent="0.2">
      <c r="A104" s="58">
        <v>99</v>
      </c>
      <c r="B104" s="59" t="s">
        <v>676</v>
      </c>
      <c r="C104" s="59" t="s">
        <v>677</v>
      </c>
      <c r="D104" s="60"/>
      <c r="E104" s="61">
        <f>COUNTIF($Q104:$V104,10)</f>
        <v>1</v>
      </c>
      <c r="F104" s="62">
        <f>E104</f>
        <v>1</v>
      </c>
      <c r="G104" s="61">
        <f>COUNTIF($X104:$AC104,10)</f>
        <v>0</v>
      </c>
      <c r="H104" s="63">
        <f>G104</f>
        <v>0</v>
      </c>
      <c r="I104" s="60">
        <f>COUNTIF($AE104:$AJ104,10)</f>
        <v>1</v>
      </c>
      <c r="J104" s="63">
        <f>I104</f>
        <v>1</v>
      </c>
      <c r="K104" s="63"/>
      <c r="L104" s="61">
        <f>COUNTIF($X104:$AC104,10)+COUNTIFS($X104:$AC104,"&gt;=7",$X104:$AC104,"&lt;10")/2</f>
        <v>0.5</v>
      </c>
      <c r="M104" s="63" t="str">
        <f>_xlfn.CONCAT(COUNTIF($X104:$AC104,10)+COUNTIFS($X104:$AC104,"&gt;=7",$X104:$AC104,"&lt;10")/2,REPT("*",COUNTBLANK($X104:$AC104)))</f>
        <v>0.5</v>
      </c>
      <c r="N104" s="60">
        <v>3</v>
      </c>
      <c r="O104" s="60">
        <v>3</v>
      </c>
      <c r="P104" s="60"/>
      <c r="Q104" s="64">
        <v>6.94</v>
      </c>
      <c r="R104" s="68"/>
      <c r="S104" s="64">
        <v>10</v>
      </c>
      <c r="T104" s="64">
        <v>4.4285714285714297</v>
      </c>
      <c r="U104" s="64">
        <v>5.6165369769988702</v>
      </c>
      <c r="V104" s="68"/>
      <c r="W104" s="61"/>
      <c r="X104" s="64">
        <f>[1]Health!F101</f>
        <v>6.94</v>
      </c>
      <c r="Y104" s="64">
        <f>'[1]Food Security'!F101</f>
        <v>0</v>
      </c>
      <c r="Z104" s="64">
        <f>'[1]Macro Fiscal'!F101</f>
        <v>0</v>
      </c>
      <c r="AA104" s="64">
        <f>'[1]Socioeconomic Vulnerability'!F101</f>
        <v>8.6596330006917306</v>
      </c>
      <c r="AB104" s="64">
        <f>'[1]Natural Hazard'!F101</f>
        <v>2.6666666666666701</v>
      </c>
      <c r="AC104" s="64">
        <f>'[1]Fragility and Conflict'!F101</f>
        <v>101</v>
      </c>
      <c r="AD104" s="61"/>
      <c r="AE104" s="64">
        <f>[1]Health!G101</f>
        <v>10</v>
      </c>
      <c r="AF104" s="64">
        <f>'[1]Food Security'!G101</f>
        <v>0</v>
      </c>
      <c r="AG104" s="64">
        <f>'[1]Macro Fiscal'!G101</f>
        <v>0</v>
      </c>
      <c r="AH104" s="64">
        <f>'[1]Socioeconomic Vulnerability'!G101</f>
        <v>0</v>
      </c>
      <c r="AI104" s="64">
        <f>'[1]Natural Hazard'!G101</f>
        <v>0</v>
      </c>
      <c r="AJ104" s="64">
        <f>'[1]Fragility and Conflict'!G101</f>
        <v>0</v>
      </c>
      <c r="AK104" s="60"/>
      <c r="AL104" s="66">
        <v>0.4</v>
      </c>
      <c r="AM104" s="66">
        <v>0.6</v>
      </c>
      <c r="AN104" s="60"/>
      <c r="AO104" s="60"/>
      <c r="AP104" s="60"/>
      <c r="AQ104" s="60"/>
      <c r="AR104" s="60"/>
      <c r="AS104" s="60"/>
      <c r="AT104" s="60"/>
      <c r="AU104" s="60"/>
      <c r="AV104" s="60"/>
      <c r="AW104" s="60"/>
      <c r="AX104" s="60"/>
      <c r="AY104" s="60"/>
      <c r="AZ104" s="60"/>
      <c r="BA104" s="60"/>
      <c r="BB104" s="60"/>
      <c r="BC104" s="60"/>
      <c r="BD104" s="60"/>
      <c r="BE104" s="60"/>
      <c r="BF104" s="60"/>
      <c r="BG104" s="60"/>
      <c r="BH104" s="60"/>
      <c r="BI104" s="60"/>
      <c r="BJ104" s="60"/>
      <c r="BK104" s="60"/>
      <c r="BL104" s="60"/>
      <c r="BM104" s="60"/>
      <c r="BN104" s="60"/>
      <c r="BO104" s="60"/>
      <c r="BP104" s="60"/>
      <c r="BQ104" s="60"/>
      <c r="BR104" s="60"/>
      <c r="BS104" s="60"/>
      <c r="BT104" s="60"/>
      <c r="BU104" s="60"/>
    </row>
    <row r="105" spans="1:73" s="67" customFormat="1" x14ac:dyDescent="0.2">
      <c r="A105" s="58">
        <v>100</v>
      </c>
      <c r="B105" s="59" t="s">
        <v>680</v>
      </c>
      <c r="C105" s="59" t="s">
        <v>681</v>
      </c>
      <c r="D105" s="60"/>
      <c r="E105" s="61">
        <f>COUNTIF($Q105:$V105,10)</f>
        <v>0</v>
      </c>
      <c r="F105" s="62">
        <f>E105</f>
        <v>0</v>
      </c>
      <c r="G105" s="61">
        <f>COUNTIF($X105:$AC105,10)</f>
        <v>0</v>
      </c>
      <c r="H105" s="63">
        <f>G105</f>
        <v>0</v>
      </c>
      <c r="I105" s="60">
        <f>COUNTIF($AE105:$AJ105,10)</f>
        <v>1</v>
      </c>
      <c r="J105" s="63">
        <f>I105</f>
        <v>1</v>
      </c>
      <c r="K105" s="63"/>
      <c r="L105" s="61">
        <f>COUNTIF($X105:$AC105,10)+COUNTIFS($X105:$AC105,"&gt;=7",$X105:$AC105,"&lt;10")/2</f>
        <v>0</v>
      </c>
      <c r="M105" s="63" t="str">
        <f>_xlfn.CONCAT(COUNTIF($X105:$AC105,10)+COUNTIFS($X105:$AC105,"&gt;=7",$X105:$AC105,"&lt;10")/2,REPT("*",COUNTBLANK($X105:$AC105)))</f>
        <v>0</v>
      </c>
      <c r="N105" s="60">
        <v>0</v>
      </c>
      <c r="O105" s="60">
        <v>0</v>
      </c>
      <c r="P105" s="60"/>
      <c r="Q105" s="64">
        <v>5.3</v>
      </c>
      <c r="R105" s="68"/>
      <c r="S105" s="68"/>
      <c r="T105" s="64">
        <v>0</v>
      </c>
      <c r="U105" s="64">
        <v>6.7400307729863904</v>
      </c>
      <c r="V105" s="68"/>
      <c r="W105" s="61"/>
      <c r="X105" s="64">
        <f>[1]Health!F102</f>
        <v>5.3</v>
      </c>
      <c r="Y105" s="64">
        <f>'[1]Food Security'!F102</f>
        <v>0</v>
      </c>
      <c r="Z105" s="64">
        <f>'[1]Macro Fiscal'!F102</f>
        <v>0</v>
      </c>
      <c r="AA105" s="64">
        <f>'[1]Socioeconomic Vulnerability'!F102</f>
        <v>0</v>
      </c>
      <c r="AB105" s="64">
        <f>'[1]Natural Hazard'!F102</f>
        <v>0.5</v>
      </c>
      <c r="AC105" s="64">
        <f>'[1]Fragility and Conflict'!F102</f>
        <v>102</v>
      </c>
      <c r="AD105" s="61"/>
      <c r="AE105" s="64">
        <f>[1]Health!G102</f>
        <v>10</v>
      </c>
      <c r="AF105" s="64">
        <f>'[1]Food Security'!G102</f>
        <v>0</v>
      </c>
      <c r="AG105" s="64">
        <f>'[1]Macro Fiscal'!G102</f>
        <v>5.2272727272727302</v>
      </c>
      <c r="AH105" s="64">
        <f>'[1]Socioeconomic Vulnerability'!G102</f>
        <v>0</v>
      </c>
      <c r="AI105" s="64">
        <f>'[1]Natural Hazard'!G102</f>
        <v>0</v>
      </c>
      <c r="AJ105" s="64">
        <f>'[1]Fragility and Conflict'!G102</f>
        <v>0</v>
      </c>
      <c r="AK105" s="60"/>
      <c r="AL105" s="66">
        <v>0.4</v>
      </c>
      <c r="AM105" s="66">
        <v>0.8</v>
      </c>
      <c r="AN105" s="60"/>
      <c r="AO105" s="60"/>
      <c r="AP105" s="60"/>
      <c r="AQ105" s="60"/>
      <c r="AR105" s="60"/>
      <c r="AS105" s="60"/>
      <c r="AT105" s="60"/>
      <c r="AU105" s="60"/>
      <c r="AV105" s="60"/>
      <c r="AW105" s="60"/>
      <c r="AX105" s="60"/>
      <c r="AY105" s="60"/>
      <c r="AZ105" s="60"/>
      <c r="BA105" s="60"/>
      <c r="BB105" s="60"/>
      <c r="BC105" s="60"/>
      <c r="BD105" s="60"/>
      <c r="BE105" s="60"/>
      <c r="BF105" s="60"/>
      <c r="BG105" s="60"/>
      <c r="BH105" s="60"/>
      <c r="BI105" s="60"/>
      <c r="BJ105" s="60"/>
      <c r="BK105" s="60"/>
      <c r="BL105" s="60"/>
      <c r="BM105" s="60"/>
      <c r="BN105" s="60"/>
      <c r="BO105" s="60"/>
      <c r="BP105" s="60"/>
      <c r="BQ105" s="60"/>
      <c r="BR105" s="60"/>
      <c r="BS105" s="60"/>
      <c r="BT105" s="60"/>
      <c r="BU105" s="60"/>
    </row>
    <row r="106" spans="1:73" s="67" customFormat="1" x14ac:dyDescent="0.2">
      <c r="A106" s="58">
        <v>101</v>
      </c>
      <c r="B106" s="59" t="s">
        <v>683</v>
      </c>
      <c r="C106" s="59" t="s">
        <v>684</v>
      </c>
      <c r="D106" s="60"/>
      <c r="E106" s="61">
        <f>COUNTIF($Q106:$V106,10)</f>
        <v>0</v>
      </c>
      <c r="F106" s="62">
        <f>E106</f>
        <v>0</v>
      </c>
      <c r="G106" s="61">
        <f>COUNTIF($X106:$AC106,10)</f>
        <v>0</v>
      </c>
      <c r="H106" s="63">
        <f>G106</f>
        <v>0</v>
      </c>
      <c r="I106" s="60">
        <f>COUNTIF($AE106:$AJ106,10)</f>
        <v>2</v>
      </c>
      <c r="J106" s="63">
        <f>I106</f>
        <v>2</v>
      </c>
      <c r="K106" s="63"/>
      <c r="L106" s="61">
        <f>COUNTIF($X106:$AC106,10)+COUNTIFS($X106:$AC106,"&gt;=7",$X106:$AC106,"&lt;10")/2</f>
        <v>1.5</v>
      </c>
      <c r="M106" s="63" t="str">
        <f>_xlfn.CONCAT(COUNTIF($X106:$AC106,10)+COUNTIFS($X106:$AC106,"&gt;=7",$X106:$AC106,"&lt;10")/2,REPT("*",COUNTBLANK($X106:$AC106)))</f>
        <v>1.5</v>
      </c>
      <c r="N106" s="60">
        <v>3.5</v>
      </c>
      <c r="O106" s="60">
        <v>3.5</v>
      </c>
      <c r="P106" s="60"/>
      <c r="Q106" s="64">
        <v>7.22</v>
      </c>
      <c r="R106" s="64">
        <v>5.6698564593301404</v>
      </c>
      <c r="S106" s="64">
        <v>4.5403377110694203</v>
      </c>
      <c r="T106" s="64">
        <v>4.28571428571429</v>
      </c>
      <c r="U106" s="64">
        <v>7</v>
      </c>
      <c r="V106" s="64">
        <v>9.0888888888888903</v>
      </c>
      <c r="W106" s="61"/>
      <c r="X106" s="64">
        <f>[1]Health!F103</f>
        <v>7.22</v>
      </c>
      <c r="Y106" s="64">
        <f>'[1]Food Security'!F103</f>
        <v>5.6698564593301404</v>
      </c>
      <c r="Z106" s="64">
        <f>'[1]Macro Fiscal'!F103</f>
        <v>5.8677685950413201</v>
      </c>
      <c r="AA106" s="64">
        <f>'[1]Socioeconomic Vulnerability'!F103</f>
        <v>7</v>
      </c>
      <c r="AB106" s="64">
        <f>'[1]Natural Hazard'!F103</f>
        <v>7</v>
      </c>
      <c r="AC106" s="64">
        <f>'[1]Fragility and Conflict'!F103</f>
        <v>103</v>
      </c>
      <c r="AD106" s="61"/>
      <c r="AE106" s="64">
        <f>[1]Health!G103</f>
        <v>10</v>
      </c>
      <c r="AF106" s="64">
        <f>'[1]Food Security'!G103</f>
        <v>5</v>
      </c>
      <c r="AG106" s="64">
        <f>'[1]Macro Fiscal'!G103</f>
        <v>0</v>
      </c>
      <c r="AH106" s="64">
        <f>'[1]Socioeconomic Vulnerability'!G103</f>
        <v>0</v>
      </c>
      <c r="AI106" s="64">
        <f>'[1]Natural Hazard'!G103</f>
        <v>10</v>
      </c>
      <c r="AJ106" s="64">
        <f>'[1]Fragility and Conflict'!G103</f>
        <v>0</v>
      </c>
      <c r="AK106" s="60"/>
      <c r="AL106" s="66">
        <v>0</v>
      </c>
      <c r="AM106" s="66">
        <v>0.3</v>
      </c>
      <c r="AN106" s="60"/>
      <c r="AO106" s="60"/>
      <c r="AP106" s="60"/>
      <c r="AQ106" s="60"/>
      <c r="AR106" s="60"/>
      <c r="AS106" s="60"/>
      <c r="AT106" s="60"/>
      <c r="AU106" s="60"/>
      <c r="AV106" s="60"/>
      <c r="AW106" s="60"/>
      <c r="AX106" s="60"/>
      <c r="AY106" s="60"/>
      <c r="AZ106" s="60"/>
      <c r="BA106" s="60"/>
      <c r="BB106" s="60"/>
      <c r="BC106" s="60"/>
      <c r="BD106" s="60"/>
      <c r="BE106" s="60"/>
      <c r="BF106" s="60"/>
      <c r="BG106" s="60"/>
      <c r="BH106" s="60"/>
      <c r="BI106" s="60"/>
      <c r="BJ106" s="60"/>
      <c r="BK106" s="60"/>
      <c r="BL106" s="60"/>
      <c r="BM106" s="60"/>
      <c r="BN106" s="60"/>
      <c r="BO106" s="60"/>
      <c r="BP106" s="60"/>
      <c r="BQ106" s="60"/>
      <c r="BR106" s="60"/>
      <c r="BS106" s="60"/>
      <c r="BT106" s="60"/>
      <c r="BU106" s="60"/>
    </row>
    <row r="107" spans="1:73" s="67" customFormat="1" x14ac:dyDescent="0.2">
      <c r="A107" s="58">
        <v>102</v>
      </c>
      <c r="B107" s="59" t="s">
        <v>688</v>
      </c>
      <c r="C107" s="59" t="s">
        <v>689</v>
      </c>
      <c r="D107" s="60"/>
      <c r="E107" s="61">
        <f>COUNTIF($Q107:$V107,10)</f>
        <v>1</v>
      </c>
      <c r="F107" s="62">
        <f>E107</f>
        <v>1</v>
      </c>
      <c r="G107" s="61">
        <f>COUNTIF($X107:$AC107,10)</f>
        <v>1</v>
      </c>
      <c r="H107" s="63">
        <f>G107</f>
        <v>1</v>
      </c>
      <c r="I107" s="60">
        <f>COUNTIF($AE107:$AJ107,10)</f>
        <v>0</v>
      </c>
      <c r="J107" s="63">
        <f>I107</f>
        <v>0</v>
      </c>
      <c r="K107" s="63"/>
      <c r="L107" s="61">
        <f>COUNTIF($X107:$AC107,10)+COUNTIFS($X107:$AC107,"&gt;=7",$X107:$AC107,"&lt;10")/2</f>
        <v>1.5</v>
      </c>
      <c r="M107" s="63" t="str">
        <f>_xlfn.CONCAT(COUNTIF($X107:$AC107,10)+COUNTIFS($X107:$AC107,"&gt;=7",$X107:$AC107,"&lt;10")/2,REPT("*",COUNTBLANK($X107:$AC107)))</f>
        <v>1.5</v>
      </c>
      <c r="N107" s="60">
        <v>2.5</v>
      </c>
      <c r="O107" s="60">
        <v>2.5</v>
      </c>
      <c r="P107" s="60"/>
      <c r="Q107" s="64">
        <v>10</v>
      </c>
      <c r="R107" s="64">
        <v>8.7559808612440193</v>
      </c>
      <c r="S107" s="64">
        <v>8.1988742964352692</v>
      </c>
      <c r="T107" s="64">
        <v>9.1428571428571406</v>
      </c>
      <c r="U107" s="64">
        <v>6.03422595517016</v>
      </c>
      <c r="V107" s="64">
        <v>8.6999999999999993</v>
      </c>
      <c r="W107" s="61"/>
      <c r="X107" s="64">
        <f>[1]Health!F104</f>
        <v>10</v>
      </c>
      <c r="Y107" s="64">
        <f>'[1]Food Security'!F104</f>
        <v>8.7559808612440193</v>
      </c>
      <c r="Z107" s="64">
        <f>'[1]Macro Fiscal'!F104</f>
        <v>6.7107438016528898</v>
      </c>
      <c r="AA107" s="64">
        <f>'[1]Socioeconomic Vulnerability'!F104</f>
        <v>0</v>
      </c>
      <c r="AB107" s="64">
        <f>'[1]Natural Hazard'!F104</f>
        <v>2.5</v>
      </c>
      <c r="AC107" s="64">
        <f>'[1]Fragility and Conflict'!F104</f>
        <v>104</v>
      </c>
      <c r="AD107" s="61"/>
      <c r="AE107" s="64">
        <f>[1]Health!G104</f>
        <v>8.2783306260768708</v>
      </c>
      <c r="AF107" s="64">
        <f>'[1]Food Security'!G104</f>
        <v>5</v>
      </c>
      <c r="AG107" s="64">
        <f>'[1]Macro Fiscal'!G104</f>
        <v>2.7272727272727302</v>
      </c>
      <c r="AH107" s="64">
        <f>'[1]Socioeconomic Vulnerability'!G104</f>
        <v>0</v>
      </c>
      <c r="AI107" s="64">
        <f>'[1]Natural Hazard'!G104</f>
        <v>0</v>
      </c>
      <c r="AJ107" s="64">
        <f>'[1]Fragility and Conflict'!G104</f>
        <v>0</v>
      </c>
      <c r="AK107" s="60"/>
      <c r="AL107" s="66">
        <v>0</v>
      </c>
      <c r="AM107" s="66">
        <v>0.4</v>
      </c>
      <c r="AN107" s="60"/>
      <c r="AO107" s="60"/>
      <c r="AP107" s="60"/>
      <c r="AQ107" s="60"/>
      <c r="AR107" s="60"/>
      <c r="AS107" s="60"/>
      <c r="AT107" s="60"/>
      <c r="AU107" s="60"/>
      <c r="AV107" s="60"/>
      <c r="AW107" s="60"/>
      <c r="AX107" s="60"/>
      <c r="AY107" s="60"/>
      <c r="AZ107" s="60"/>
      <c r="BA107" s="60"/>
      <c r="BB107" s="60"/>
      <c r="BC107" s="60"/>
      <c r="BD107" s="60"/>
      <c r="BE107" s="60"/>
      <c r="BF107" s="60"/>
      <c r="BG107" s="60"/>
      <c r="BH107" s="60"/>
      <c r="BI107" s="60"/>
      <c r="BJ107" s="60"/>
      <c r="BK107" s="60"/>
      <c r="BL107" s="60"/>
      <c r="BM107" s="60"/>
      <c r="BN107" s="60"/>
      <c r="BO107" s="60"/>
      <c r="BP107" s="60"/>
      <c r="BQ107" s="60"/>
      <c r="BR107" s="60"/>
      <c r="BS107" s="60"/>
      <c r="BT107" s="60"/>
      <c r="BU107" s="60"/>
    </row>
    <row r="108" spans="1:73" s="67" customFormat="1" x14ac:dyDescent="0.2">
      <c r="A108" s="58">
        <v>103</v>
      </c>
      <c r="B108" s="59" t="s">
        <v>693</v>
      </c>
      <c r="C108" s="59" t="s">
        <v>694</v>
      </c>
      <c r="D108" s="60"/>
      <c r="E108" s="61">
        <f>COUNTIF($Q108:$V108,10)</f>
        <v>0</v>
      </c>
      <c r="F108" s="62">
        <f>E108</f>
        <v>0</v>
      </c>
      <c r="G108" s="61">
        <f>COUNTIF($X108:$AC108,10)</f>
        <v>0</v>
      </c>
      <c r="H108" s="63">
        <f>G108</f>
        <v>0</v>
      </c>
      <c r="I108" s="60">
        <f>COUNTIF($AE108:$AJ108,10)</f>
        <v>1</v>
      </c>
      <c r="J108" s="63">
        <f>I108</f>
        <v>1</v>
      </c>
      <c r="K108" s="63"/>
      <c r="L108" s="61">
        <f>COUNTIF($X108:$AC108,10)+COUNTIFS($X108:$AC108,"&gt;=7",$X108:$AC108,"&lt;10")/2</f>
        <v>0.5</v>
      </c>
      <c r="M108" s="63" t="str">
        <f>_xlfn.CONCAT(COUNTIF($X108:$AC108,10)+COUNTIFS($X108:$AC108,"&gt;=7",$X108:$AC108,"&lt;10")/2,REPT("*",COUNTBLANK($X108:$AC108)))</f>
        <v>0.5</v>
      </c>
      <c r="N108" s="60">
        <v>1.5</v>
      </c>
      <c r="O108" s="60">
        <v>1.5</v>
      </c>
      <c r="P108" s="60"/>
      <c r="Q108" s="64">
        <v>3</v>
      </c>
      <c r="R108" s="64">
        <v>2.2727272727272698</v>
      </c>
      <c r="S108" s="64">
        <v>0.90056285178236295</v>
      </c>
      <c r="T108" s="64">
        <v>1.4285714285714299</v>
      </c>
      <c r="U108" s="64">
        <v>5.7360134521993897</v>
      </c>
      <c r="V108" s="64">
        <v>4.0555555555555598</v>
      </c>
      <c r="W108" s="61"/>
      <c r="X108" s="64">
        <f>[1]Health!F105</f>
        <v>3</v>
      </c>
      <c r="Y108" s="64">
        <f>'[1]Food Security'!F105</f>
        <v>2.2727272727272698</v>
      </c>
      <c r="Z108" s="64">
        <f>'[1]Macro Fiscal'!F105</f>
        <v>2.5454545454545401</v>
      </c>
      <c r="AA108" s="64">
        <f>'[1]Socioeconomic Vulnerability'!F105</f>
        <v>7</v>
      </c>
      <c r="AB108" s="64">
        <f>'[1]Natural Hazard'!F105</f>
        <v>1.1666666666666701</v>
      </c>
      <c r="AC108" s="64">
        <f>'[1]Fragility and Conflict'!F105</f>
        <v>105</v>
      </c>
      <c r="AD108" s="61"/>
      <c r="AE108" s="64">
        <f>[1]Health!G105</f>
        <v>10</v>
      </c>
      <c r="AF108" s="64">
        <f>'[1]Food Security'!G105</f>
        <v>3</v>
      </c>
      <c r="AG108" s="64">
        <f>'[1]Macro Fiscal'!G105</f>
        <v>0</v>
      </c>
      <c r="AH108" s="64">
        <f>'[1]Socioeconomic Vulnerability'!G105</f>
        <v>0</v>
      </c>
      <c r="AI108" s="64">
        <f>'[1]Natural Hazard'!G105</f>
        <v>0</v>
      </c>
      <c r="AJ108" s="64">
        <f>'[1]Fragility and Conflict'!G105</f>
        <v>0</v>
      </c>
      <c r="AK108" s="60"/>
      <c r="AL108" s="66">
        <v>0</v>
      </c>
      <c r="AM108" s="66">
        <v>0.5</v>
      </c>
      <c r="AN108" s="60"/>
      <c r="AO108" s="60"/>
      <c r="AP108" s="60"/>
      <c r="AQ108" s="60"/>
      <c r="AR108" s="60"/>
      <c r="AS108" s="60"/>
      <c r="AT108" s="60"/>
      <c r="AU108" s="60"/>
      <c r="AV108" s="60"/>
      <c r="AW108" s="60"/>
      <c r="AX108" s="60"/>
      <c r="AY108" s="60"/>
      <c r="AZ108" s="60"/>
      <c r="BA108" s="60"/>
      <c r="BB108" s="60"/>
      <c r="BC108" s="60"/>
      <c r="BD108" s="60"/>
      <c r="BE108" s="60"/>
      <c r="BF108" s="60"/>
      <c r="BG108" s="60"/>
      <c r="BH108" s="60"/>
      <c r="BI108" s="60"/>
      <c r="BJ108" s="60"/>
      <c r="BK108" s="60"/>
      <c r="BL108" s="60"/>
      <c r="BM108" s="60"/>
      <c r="BN108" s="60"/>
      <c r="BO108" s="60"/>
      <c r="BP108" s="60"/>
      <c r="BQ108" s="60"/>
      <c r="BR108" s="60"/>
      <c r="BS108" s="60"/>
      <c r="BT108" s="60"/>
      <c r="BU108" s="60"/>
    </row>
    <row r="109" spans="1:73" s="67" customFormat="1" x14ac:dyDescent="0.2">
      <c r="A109" s="58">
        <v>104</v>
      </c>
      <c r="B109" s="59" t="s">
        <v>698</v>
      </c>
      <c r="C109" s="59" t="s">
        <v>699</v>
      </c>
      <c r="D109" s="60"/>
      <c r="E109" s="61">
        <f>COUNTIF($Q109:$V109,10)</f>
        <v>0</v>
      </c>
      <c r="F109" s="62">
        <f>E109</f>
        <v>0</v>
      </c>
      <c r="G109" s="61">
        <f>COUNTIF($X109:$AC109,10)</f>
        <v>0</v>
      </c>
      <c r="H109" s="63">
        <f>G109</f>
        <v>0</v>
      </c>
      <c r="I109" s="60">
        <f>COUNTIF($AE109:$AJ109,10)</f>
        <v>1</v>
      </c>
      <c r="J109" s="63">
        <f>I109</f>
        <v>1</v>
      </c>
      <c r="K109" s="63"/>
      <c r="L109" s="61">
        <f>COUNTIF($X109:$AC109,10)+COUNTIFS($X109:$AC109,"&gt;=7",$X109:$AC109,"&lt;10")/2</f>
        <v>0.5</v>
      </c>
      <c r="M109" s="63" t="str">
        <f>_xlfn.CONCAT(COUNTIF($X109:$AC109,10)+COUNTIFS($X109:$AC109,"&gt;=7",$X109:$AC109,"&lt;10")/2,REPT("*",COUNTBLANK($X109:$AC109)))</f>
        <v>0.5</v>
      </c>
      <c r="N109" s="60">
        <v>0.5</v>
      </c>
      <c r="O109" s="60">
        <v>0.5</v>
      </c>
      <c r="P109" s="60"/>
      <c r="Q109" s="64">
        <v>5.24</v>
      </c>
      <c r="R109" s="64">
        <v>0</v>
      </c>
      <c r="S109" s="64">
        <v>0</v>
      </c>
      <c r="T109" s="64">
        <v>0.85714285714285599</v>
      </c>
      <c r="U109" s="64">
        <v>7.6609837327035404</v>
      </c>
      <c r="V109" s="64">
        <v>2.0888888888888899</v>
      </c>
      <c r="W109" s="61"/>
      <c r="X109" s="64">
        <f>[1]Health!F106</f>
        <v>5.24</v>
      </c>
      <c r="Y109" s="64">
        <f>'[1]Food Security'!F106</f>
        <v>0</v>
      </c>
      <c r="Z109" s="64">
        <f>'[1]Macro Fiscal'!F106</f>
        <v>0.214876033057852</v>
      </c>
      <c r="AA109" s="64">
        <f>'[1]Socioeconomic Vulnerability'!F106</f>
        <v>7</v>
      </c>
      <c r="AB109" s="64">
        <f>'[1]Natural Hazard'!F106</f>
        <v>0</v>
      </c>
      <c r="AC109" s="64">
        <f>'[1]Fragility and Conflict'!F106</f>
        <v>106</v>
      </c>
      <c r="AD109" s="61"/>
      <c r="AE109" s="64">
        <f>[1]Health!G106</f>
        <v>10</v>
      </c>
      <c r="AF109" s="64">
        <f>'[1]Food Security'!G106</f>
        <v>3</v>
      </c>
      <c r="AG109" s="64">
        <f>'[1]Macro Fiscal'!G106</f>
        <v>7.0454545454545396</v>
      </c>
      <c r="AH109" s="64">
        <f>'[1]Socioeconomic Vulnerability'!G106</f>
        <v>0</v>
      </c>
      <c r="AI109" s="64">
        <f>'[1]Natural Hazard'!G106</f>
        <v>0</v>
      </c>
      <c r="AJ109" s="64">
        <f>'[1]Fragility and Conflict'!G106</f>
        <v>0</v>
      </c>
      <c r="AK109" s="60"/>
      <c r="AL109" s="66">
        <v>0</v>
      </c>
      <c r="AM109" s="66">
        <v>0.5</v>
      </c>
      <c r="AN109" s="60"/>
      <c r="AO109" s="60"/>
      <c r="AP109" s="60"/>
      <c r="AQ109" s="60"/>
      <c r="AR109" s="60"/>
      <c r="AS109" s="60"/>
      <c r="AT109" s="60"/>
      <c r="AU109" s="60"/>
      <c r="AV109" s="60"/>
      <c r="AW109" s="60"/>
      <c r="AX109" s="60"/>
      <c r="AY109" s="60"/>
      <c r="AZ109" s="60"/>
      <c r="BA109" s="60"/>
      <c r="BB109" s="60"/>
      <c r="BC109" s="60"/>
      <c r="BD109" s="60"/>
      <c r="BE109" s="60"/>
      <c r="BF109" s="60"/>
      <c r="BG109" s="60"/>
      <c r="BH109" s="60"/>
      <c r="BI109" s="60"/>
      <c r="BJ109" s="60"/>
      <c r="BK109" s="60"/>
      <c r="BL109" s="60"/>
      <c r="BM109" s="60"/>
      <c r="BN109" s="60"/>
      <c r="BO109" s="60"/>
      <c r="BP109" s="60"/>
      <c r="BQ109" s="60"/>
      <c r="BR109" s="60"/>
      <c r="BS109" s="60"/>
      <c r="BT109" s="60"/>
      <c r="BU109" s="60"/>
    </row>
    <row r="110" spans="1:73" s="67" customFormat="1" x14ac:dyDescent="0.2">
      <c r="A110" s="58">
        <v>105</v>
      </c>
      <c r="B110" s="59" t="s">
        <v>702</v>
      </c>
      <c r="C110" s="59" t="s">
        <v>703</v>
      </c>
      <c r="D110" s="60"/>
      <c r="E110" s="61">
        <f>COUNTIF($Q110:$V110,10)</f>
        <v>0</v>
      </c>
      <c r="F110" s="62">
        <f>E110</f>
        <v>0</v>
      </c>
      <c r="G110" s="61">
        <f>COUNTIF($X110:$AC110,10)</f>
        <v>0</v>
      </c>
      <c r="H110" s="63">
        <f>G110</f>
        <v>0</v>
      </c>
      <c r="I110" s="60">
        <f>COUNTIF($AE110:$AJ110,10)</f>
        <v>1</v>
      </c>
      <c r="J110" s="63">
        <f>I110</f>
        <v>1</v>
      </c>
      <c r="K110" s="63"/>
      <c r="L110" s="61">
        <f>COUNTIF($X110:$AC110,10)+COUNTIFS($X110:$AC110,"&gt;=7",$X110:$AC110,"&lt;10")/2</f>
        <v>0.5</v>
      </c>
      <c r="M110" s="63" t="str">
        <f>_xlfn.CONCAT(COUNTIF($X110:$AC110,10)+COUNTIFS($X110:$AC110,"&gt;=7",$X110:$AC110,"&lt;10")/2,REPT("*",COUNTBLANK($X110:$AC110)))</f>
        <v>0.5</v>
      </c>
      <c r="N110" s="60">
        <v>2</v>
      </c>
      <c r="O110" s="60">
        <v>2</v>
      </c>
      <c r="P110" s="60"/>
      <c r="Q110" s="64">
        <v>3.5</v>
      </c>
      <c r="R110" s="64">
        <v>0.93301435406698396</v>
      </c>
      <c r="S110" s="64">
        <v>3.0018761726078802</v>
      </c>
      <c r="T110" s="64">
        <v>1.71428571428572</v>
      </c>
      <c r="U110" s="64">
        <v>5.7360134521993897</v>
      </c>
      <c r="V110" s="64">
        <v>4.7</v>
      </c>
      <c r="W110" s="61"/>
      <c r="X110" s="64">
        <f>[1]Health!F107</f>
        <v>3.5</v>
      </c>
      <c r="Y110" s="64">
        <f>'[1]Food Security'!F107</f>
        <v>0.93301435406698596</v>
      </c>
      <c r="Z110" s="64">
        <f>'[1]Macro Fiscal'!F107</f>
        <v>3.1735537190082601</v>
      </c>
      <c r="AA110" s="64">
        <f>'[1]Socioeconomic Vulnerability'!F107</f>
        <v>7</v>
      </c>
      <c r="AB110" s="64">
        <f>'[1]Natural Hazard'!F107</f>
        <v>1.8333333333333299</v>
      </c>
      <c r="AC110" s="64">
        <f>'[1]Fragility and Conflict'!F107</f>
        <v>107</v>
      </c>
      <c r="AD110" s="61"/>
      <c r="AE110" s="64">
        <f>[1]Health!G107</f>
        <v>10</v>
      </c>
      <c r="AF110" s="64">
        <f>'[1]Food Security'!G107</f>
        <v>1</v>
      </c>
      <c r="AG110" s="64">
        <f>'[1]Macro Fiscal'!G107</f>
        <v>6.3636363636363704</v>
      </c>
      <c r="AH110" s="64">
        <f>'[1]Socioeconomic Vulnerability'!G107</f>
        <v>0</v>
      </c>
      <c r="AI110" s="64">
        <f>'[1]Natural Hazard'!G107</f>
        <v>0</v>
      </c>
      <c r="AJ110" s="64">
        <f>'[1]Fragility and Conflict'!G107</f>
        <v>0</v>
      </c>
      <c r="AK110" s="60"/>
      <c r="AL110" s="66">
        <v>0</v>
      </c>
      <c r="AM110" s="66">
        <v>0.5</v>
      </c>
      <c r="AN110" s="60"/>
      <c r="AO110" s="60"/>
      <c r="AP110" s="60"/>
      <c r="AQ110" s="60"/>
      <c r="AR110" s="60"/>
      <c r="AS110" s="60"/>
      <c r="AT110" s="60"/>
      <c r="AU110" s="60"/>
      <c r="AV110" s="60"/>
      <c r="AW110" s="60"/>
      <c r="AX110" s="60"/>
      <c r="AY110" s="60"/>
      <c r="AZ110" s="60"/>
      <c r="BA110" s="60"/>
      <c r="BB110" s="60"/>
      <c r="BC110" s="60"/>
      <c r="BD110" s="60"/>
      <c r="BE110" s="60"/>
      <c r="BF110" s="60"/>
      <c r="BG110" s="60"/>
      <c r="BH110" s="60"/>
      <c r="BI110" s="60"/>
      <c r="BJ110" s="60"/>
      <c r="BK110" s="60"/>
      <c r="BL110" s="60"/>
      <c r="BM110" s="60"/>
      <c r="BN110" s="60"/>
      <c r="BO110" s="60"/>
      <c r="BP110" s="60"/>
      <c r="BQ110" s="60"/>
      <c r="BR110" s="60"/>
      <c r="BS110" s="60"/>
      <c r="BT110" s="60"/>
      <c r="BU110" s="60"/>
    </row>
    <row r="111" spans="1:73" s="67" customFormat="1" x14ac:dyDescent="0.2">
      <c r="A111" s="58">
        <v>106</v>
      </c>
      <c r="B111" s="59" t="s">
        <v>706</v>
      </c>
      <c r="C111" s="59" t="s">
        <v>707</v>
      </c>
      <c r="D111" s="60"/>
      <c r="E111" s="61">
        <f>COUNTIF($Q111:$V111,10)</f>
        <v>0</v>
      </c>
      <c r="F111" s="62">
        <f>E111</f>
        <v>0</v>
      </c>
      <c r="G111" s="61">
        <f>COUNTIF($X111:$AC111,10)</f>
        <v>0</v>
      </c>
      <c r="H111" s="63">
        <f>G111</f>
        <v>0</v>
      </c>
      <c r="I111" s="60">
        <f>COUNTIF($AE111:$AJ111,10)</f>
        <v>0</v>
      </c>
      <c r="J111" s="63">
        <f>I111</f>
        <v>0</v>
      </c>
      <c r="K111" s="63"/>
      <c r="L111" s="61">
        <f>COUNTIF($X111:$AC111,10)+COUNTIFS($X111:$AC111,"&gt;=7",$X111:$AC111,"&lt;10")/2</f>
        <v>0.5</v>
      </c>
      <c r="M111" s="63" t="str">
        <f>_xlfn.CONCAT(COUNTIF($X111:$AC111,10)+COUNTIFS($X111:$AC111,"&gt;=7",$X111:$AC111,"&lt;10")/2,REPT("*",COUNTBLANK($X111:$AC111)))</f>
        <v>0.5</v>
      </c>
      <c r="N111" s="60">
        <v>2</v>
      </c>
      <c r="O111" s="60">
        <v>2</v>
      </c>
      <c r="P111" s="60"/>
      <c r="Q111" s="64">
        <v>5.75</v>
      </c>
      <c r="R111" s="64">
        <v>3.4928229665071799</v>
      </c>
      <c r="S111" s="64">
        <v>6.3977485928705402</v>
      </c>
      <c r="T111" s="64">
        <v>6.4285714285714297</v>
      </c>
      <c r="U111" s="64">
        <v>8.7997771220758203</v>
      </c>
      <c r="V111" s="64">
        <v>7.9111111111111097</v>
      </c>
      <c r="W111" s="61"/>
      <c r="X111" s="64">
        <f>[1]Health!F108</f>
        <v>5.75</v>
      </c>
      <c r="Y111" s="64">
        <f>'[1]Food Security'!F108</f>
        <v>3.4928229665071799</v>
      </c>
      <c r="Z111" s="64">
        <f>'[1]Macro Fiscal'!F108</f>
        <v>6.4793388429752099</v>
      </c>
      <c r="AA111" s="64">
        <f>'[1]Socioeconomic Vulnerability'!F108</f>
        <v>7</v>
      </c>
      <c r="AB111" s="64">
        <f>'[1]Natural Hazard'!F108</f>
        <v>6.1666666666666696</v>
      </c>
      <c r="AC111" s="64">
        <f>'[1]Fragility and Conflict'!F108</f>
        <v>108</v>
      </c>
      <c r="AD111" s="61"/>
      <c r="AE111" s="64">
        <f>[1]Health!G108</f>
        <v>7.1428571428571104</v>
      </c>
      <c r="AF111" s="64">
        <f>'[1]Food Security'!G108</f>
        <v>1</v>
      </c>
      <c r="AG111" s="64">
        <f>'[1]Macro Fiscal'!G108</f>
        <v>0.90909090909091705</v>
      </c>
      <c r="AH111" s="64">
        <f>'[1]Socioeconomic Vulnerability'!G108</f>
        <v>0</v>
      </c>
      <c r="AI111" s="64">
        <f>'[1]Natural Hazard'!G108</f>
        <v>0</v>
      </c>
      <c r="AJ111" s="64">
        <f>'[1]Fragility and Conflict'!G108</f>
        <v>0</v>
      </c>
      <c r="AK111" s="60"/>
      <c r="AL111" s="66">
        <v>0</v>
      </c>
      <c r="AM111" s="66">
        <v>0.2</v>
      </c>
      <c r="AN111" s="60"/>
      <c r="AO111" s="60"/>
      <c r="AP111" s="60"/>
      <c r="AQ111" s="60"/>
      <c r="AR111" s="60"/>
      <c r="AS111" s="60"/>
      <c r="AT111" s="60"/>
      <c r="AU111" s="60"/>
      <c r="AV111" s="60"/>
      <c r="AW111" s="60"/>
      <c r="AX111" s="60"/>
      <c r="AY111" s="60"/>
      <c r="AZ111" s="60"/>
      <c r="BA111" s="60"/>
      <c r="BB111" s="60"/>
      <c r="BC111" s="60"/>
      <c r="BD111" s="60"/>
      <c r="BE111" s="60"/>
      <c r="BF111" s="60"/>
      <c r="BG111" s="60"/>
      <c r="BH111" s="60"/>
      <c r="BI111" s="60"/>
      <c r="BJ111" s="60"/>
      <c r="BK111" s="60"/>
      <c r="BL111" s="60"/>
      <c r="BM111" s="60"/>
      <c r="BN111" s="60"/>
      <c r="BO111" s="60"/>
      <c r="BP111" s="60"/>
      <c r="BQ111" s="60"/>
      <c r="BR111" s="60"/>
      <c r="BS111" s="60"/>
      <c r="BT111" s="60"/>
      <c r="BU111" s="60"/>
    </row>
    <row r="112" spans="1:73" s="67" customFormat="1" x14ac:dyDescent="0.2">
      <c r="A112" s="58">
        <v>107</v>
      </c>
      <c r="B112" s="59" t="s">
        <v>712</v>
      </c>
      <c r="C112" s="59" t="s">
        <v>713</v>
      </c>
      <c r="D112" s="60"/>
      <c r="E112" s="61">
        <f>COUNTIF($Q112:$V112,10)</f>
        <v>0</v>
      </c>
      <c r="F112" s="62">
        <f>E112</f>
        <v>0</v>
      </c>
      <c r="G112" s="61">
        <f>COUNTIF($X112:$AC112,10)</f>
        <v>0</v>
      </c>
      <c r="H112" s="63">
        <f>G112</f>
        <v>0</v>
      </c>
      <c r="I112" s="60">
        <f>COUNTIF($AE112:$AJ112,10)</f>
        <v>0</v>
      </c>
      <c r="J112" s="63">
        <f>I112</f>
        <v>0</v>
      </c>
      <c r="K112" s="63"/>
      <c r="L112" s="61">
        <f>COUNTIF($X112:$AC112,10)+COUNTIFS($X112:$AC112,"&gt;=7",$X112:$AC112,"&lt;10")/2</f>
        <v>1</v>
      </c>
      <c r="M112" s="63" t="str">
        <f>_xlfn.CONCAT(COUNTIF($X112:$AC112,10)+COUNTIFS($X112:$AC112,"&gt;=7",$X112:$AC112,"&lt;10")/2,REPT("*",COUNTBLANK($X112:$AC112)))</f>
        <v>1</v>
      </c>
      <c r="N112" s="60">
        <v>1</v>
      </c>
      <c r="O112" s="60">
        <v>1</v>
      </c>
      <c r="P112" s="60"/>
      <c r="Q112" s="64">
        <v>6</v>
      </c>
      <c r="R112" s="64">
        <v>4.5933014354067003</v>
      </c>
      <c r="S112" s="64">
        <v>4.4652908067542203</v>
      </c>
      <c r="T112" s="64">
        <v>3.5714285714285698</v>
      </c>
      <c r="U112" s="64">
        <v>8.0066444277884905</v>
      </c>
      <c r="V112" s="64">
        <v>7.3333333333333304</v>
      </c>
      <c r="W112" s="61"/>
      <c r="X112" s="64">
        <f>[1]Health!F109</f>
        <v>6</v>
      </c>
      <c r="Y112" s="64">
        <f>'[1]Food Security'!F109</f>
        <v>4.5933014354067003</v>
      </c>
      <c r="Z112" s="64">
        <f>'[1]Macro Fiscal'!F109</f>
        <v>7.5702479338842998</v>
      </c>
      <c r="AA112" s="64">
        <f>'[1]Socioeconomic Vulnerability'!F109</f>
        <v>7</v>
      </c>
      <c r="AB112" s="64">
        <f>'[1]Natural Hazard'!F109</f>
        <v>5.1666666666666696</v>
      </c>
      <c r="AC112" s="64">
        <f>'[1]Fragility and Conflict'!F109</f>
        <v>109</v>
      </c>
      <c r="AD112" s="61"/>
      <c r="AE112" s="64">
        <f>[1]Health!G109</f>
        <v>9.3010400000000004</v>
      </c>
      <c r="AF112" s="64">
        <f>'[1]Food Security'!G109</f>
        <v>5</v>
      </c>
      <c r="AG112" s="64">
        <f>'[1]Macro Fiscal'!G109</f>
        <v>3.4090909090909198</v>
      </c>
      <c r="AH112" s="64">
        <f>'[1]Socioeconomic Vulnerability'!G109</f>
        <v>0</v>
      </c>
      <c r="AI112" s="64">
        <f>'[1]Natural Hazard'!G109</f>
        <v>0</v>
      </c>
      <c r="AJ112" s="64">
        <f>'[1]Fragility and Conflict'!G109</f>
        <v>0</v>
      </c>
      <c r="AK112" s="60"/>
      <c r="AL112" s="66">
        <v>0</v>
      </c>
      <c r="AM112" s="66">
        <v>0.3</v>
      </c>
      <c r="AN112" s="60"/>
      <c r="AO112" s="60"/>
      <c r="AP112" s="60"/>
      <c r="AQ112" s="60"/>
      <c r="AR112" s="60"/>
      <c r="AS112" s="60"/>
      <c r="AT112" s="60"/>
      <c r="AU112" s="60"/>
      <c r="AV112" s="60"/>
      <c r="AW112" s="60"/>
      <c r="AX112" s="60"/>
      <c r="AY112" s="60"/>
      <c r="AZ112" s="60"/>
      <c r="BA112" s="60"/>
      <c r="BB112" s="60"/>
      <c r="BC112" s="60"/>
      <c r="BD112" s="60"/>
      <c r="BE112" s="60"/>
      <c r="BF112" s="60"/>
      <c r="BG112" s="60"/>
      <c r="BH112" s="60"/>
      <c r="BI112" s="60"/>
      <c r="BJ112" s="60"/>
      <c r="BK112" s="60"/>
      <c r="BL112" s="60"/>
      <c r="BM112" s="60"/>
      <c r="BN112" s="60"/>
      <c r="BO112" s="60"/>
      <c r="BP112" s="60"/>
      <c r="BQ112" s="60"/>
      <c r="BR112" s="60"/>
      <c r="BS112" s="60"/>
      <c r="BT112" s="60"/>
      <c r="BU112" s="60"/>
    </row>
    <row r="113" spans="1:73" s="67" customFormat="1" x14ac:dyDescent="0.2">
      <c r="A113" s="58">
        <v>108</v>
      </c>
      <c r="B113" s="59" t="s">
        <v>716</v>
      </c>
      <c r="C113" s="59" t="s">
        <v>717</v>
      </c>
      <c r="D113" s="60"/>
      <c r="E113" s="61">
        <f>COUNTIF($Q113:$V113,10)</f>
        <v>0</v>
      </c>
      <c r="F113" s="62">
        <f>E113</f>
        <v>0</v>
      </c>
      <c r="G113" s="61">
        <f>COUNTIF($X113:$AC113,10)</f>
        <v>2</v>
      </c>
      <c r="H113" s="63">
        <f>G113</f>
        <v>2</v>
      </c>
      <c r="I113" s="60">
        <f>COUNTIF($AE113:$AJ113,10)</f>
        <v>0</v>
      </c>
      <c r="J113" s="63">
        <f>I113</f>
        <v>0</v>
      </c>
      <c r="K113" s="63"/>
      <c r="L113" s="61">
        <f>COUNTIF($X113:$AC113,10)+COUNTIFS($X113:$AC113,"&gt;=7",$X113:$AC113,"&lt;10")/2</f>
        <v>3.5</v>
      </c>
      <c r="M113" s="63" t="str">
        <f>_xlfn.CONCAT(COUNTIF($X113:$AC113,10)+COUNTIFS($X113:$AC113,"&gt;=7",$X113:$AC113,"&lt;10")/2,REPT("*",COUNTBLANK($X113:$AC113)))</f>
        <v>3.5</v>
      </c>
      <c r="N113" s="60">
        <v>2.5</v>
      </c>
      <c r="O113" s="60">
        <v>2.5</v>
      </c>
      <c r="P113" s="60"/>
      <c r="Q113" s="64">
        <f>IFERROR(GEOMEAN(X113,AE113), MAX(X113,AE113))</f>
        <v>8.8083962362345503</v>
      </c>
      <c r="R113" s="64">
        <f>IFERROR(GEOMEAN(Y113,AF113), MAX(Y113,AF113))</f>
        <v>7.0710678118654755</v>
      </c>
      <c r="S113" s="64">
        <f>IFERROR(GEOMEAN(Z113,AG113), MAX(Z113,AG113))</f>
        <v>4.6661657632501363</v>
      </c>
      <c r="T113" s="64">
        <f>IFERROR(GEOMEAN(AA113,AH113), MAX(AA113,AH113))</f>
        <v>9.3784793104444208</v>
      </c>
      <c r="U113" s="64">
        <f>IFERROR(GEOMEAN(AB113,AI113), MAX(AB113,AI113))</f>
        <v>8.5</v>
      </c>
      <c r="V113" s="64">
        <f>IFERROR(GEOMEAN(AC113,AJ113), MAX(AC113,AJ113))</f>
        <v>110</v>
      </c>
      <c r="W113" s="61"/>
      <c r="X113" s="64">
        <f>[1]Health!F110</f>
        <v>10</v>
      </c>
      <c r="Y113" s="64">
        <f>'[1]Food Security'!F110</f>
        <v>10</v>
      </c>
      <c r="Z113" s="64">
        <f>'[1]Macro Fiscal'!F110</f>
        <v>7.9834710743801596</v>
      </c>
      <c r="AA113" s="64">
        <f>'[1]Socioeconomic Vulnerability'!F110</f>
        <v>9.3784793104444208</v>
      </c>
      <c r="AB113" s="64">
        <f>'[1]Natural Hazard'!F110</f>
        <v>8.5</v>
      </c>
      <c r="AC113" s="64">
        <f>'[1]Fragility and Conflict'!F110</f>
        <v>110</v>
      </c>
      <c r="AD113" s="61"/>
      <c r="AE113" s="64">
        <f>[1]Health!G110</f>
        <v>7.7587844254510996</v>
      </c>
      <c r="AF113" s="64">
        <f>'[1]Food Security'!G110</f>
        <v>5</v>
      </c>
      <c r="AG113" s="64">
        <f>'[1]Macro Fiscal'!G110</f>
        <v>2.7272727272727302</v>
      </c>
      <c r="AH113" s="64">
        <f>'[1]Socioeconomic Vulnerability'!G110</f>
        <v>0</v>
      </c>
      <c r="AI113" s="64">
        <f>'[1]Natural Hazard'!G110</f>
        <v>0</v>
      </c>
      <c r="AJ113" s="64">
        <f>'[1]Fragility and Conflict'!G110</f>
        <v>0</v>
      </c>
      <c r="AK113" s="60"/>
      <c r="AL113" s="66">
        <v>0</v>
      </c>
      <c r="AM113" s="66">
        <v>0.2</v>
      </c>
      <c r="AN113" s="60"/>
      <c r="AO113" s="60"/>
      <c r="AP113" s="60"/>
      <c r="AQ113" s="60"/>
      <c r="AR113" s="60"/>
      <c r="AS113" s="60"/>
      <c r="AT113" s="60"/>
      <c r="AU113" s="60"/>
      <c r="AV113" s="60"/>
      <c r="AW113" s="60"/>
      <c r="AX113" s="60"/>
      <c r="AY113" s="60"/>
      <c r="AZ113" s="60"/>
      <c r="BA113" s="60"/>
      <c r="BB113" s="60"/>
      <c r="BC113" s="60"/>
      <c r="BD113" s="60"/>
      <c r="BE113" s="60"/>
      <c r="BF113" s="60"/>
      <c r="BG113" s="60"/>
      <c r="BH113" s="60"/>
      <c r="BI113" s="60"/>
      <c r="BJ113" s="60"/>
      <c r="BK113" s="60"/>
      <c r="BL113" s="60"/>
      <c r="BM113" s="60"/>
      <c r="BN113" s="60"/>
      <c r="BO113" s="60"/>
      <c r="BP113" s="60"/>
      <c r="BQ113" s="60"/>
      <c r="BR113" s="60"/>
      <c r="BS113" s="60"/>
      <c r="BT113" s="60"/>
      <c r="BU113" s="60"/>
    </row>
    <row r="114" spans="1:73" s="67" customFormat="1" x14ac:dyDescent="0.2">
      <c r="A114" s="58">
        <v>109</v>
      </c>
      <c r="B114" s="59" t="s">
        <v>721</v>
      </c>
      <c r="C114" s="59" t="s">
        <v>722</v>
      </c>
      <c r="D114" s="60"/>
      <c r="E114" s="61">
        <f>COUNTIF($Q114:$V114,10)</f>
        <v>1</v>
      </c>
      <c r="F114" s="62">
        <f>E114</f>
        <v>1</v>
      </c>
      <c r="G114" s="61">
        <f>COUNTIF($X114:$AC114,10)</f>
        <v>0</v>
      </c>
      <c r="H114" s="63">
        <f>G114</f>
        <v>0</v>
      </c>
      <c r="I114" s="60">
        <f>COUNTIF($AE114:$AJ114,10)</f>
        <v>0</v>
      </c>
      <c r="J114" s="63">
        <f>I114</f>
        <v>0</v>
      </c>
      <c r="K114" s="63"/>
      <c r="L114" s="61">
        <f>COUNTIF($X114:$AC114,10)+COUNTIFS($X114:$AC114,"&gt;=7",$X114:$AC114,"&lt;10")/2</f>
        <v>0.5</v>
      </c>
      <c r="M114" s="63" t="str">
        <f>_xlfn.CONCAT(COUNTIF($X114:$AC114,10)+COUNTIFS($X114:$AC114,"&gt;=7",$X114:$AC114,"&lt;10")/2,REPT("*",COUNTBLANK($X114:$AC114)))</f>
        <v>0.5</v>
      </c>
      <c r="N114" s="60">
        <v>1</v>
      </c>
      <c r="O114" s="60">
        <v>1</v>
      </c>
      <c r="P114" s="60"/>
      <c r="Q114" s="64">
        <v>7.24</v>
      </c>
      <c r="R114" s="64">
        <v>2.9186602870813401</v>
      </c>
      <c r="S114" s="64">
        <v>10</v>
      </c>
      <c r="T114" s="64">
        <v>3.4285714285714302</v>
      </c>
      <c r="U114" s="64">
        <v>3.6666666666666701</v>
      </c>
      <c r="V114" s="64">
        <v>7.3555555555555596</v>
      </c>
      <c r="W114" s="61"/>
      <c r="X114" s="64">
        <f>[1]Health!F111</f>
        <v>7.24</v>
      </c>
      <c r="Y114" s="64">
        <f>'[1]Food Security'!F111</f>
        <v>2.9186602870813401</v>
      </c>
      <c r="Z114" s="64">
        <f>'[1]Macro Fiscal'!F111</f>
        <v>0</v>
      </c>
      <c r="AA114" s="64">
        <f>'[1]Socioeconomic Vulnerability'!F111</f>
        <v>0</v>
      </c>
      <c r="AB114" s="64">
        <f>'[1]Natural Hazard'!F111</f>
        <v>3.6666666666666701</v>
      </c>
      <c r="AC114" s="64">
        <f>'[1]Fragility and Conflict'!F111</f>
        <v>111</v>
      </c>
      <c r="AD114" s="61"/>
      <c r="AE114" s="64">
        <f>[1]Health!G111</f>
        <v>9.9476800000000001</v>
      </c>
      <c r="AF114" s="64">
        <f>'[1]Food Security'!G111</f>
        <v>1</v>
      </c>
      <c r="AG114" s="64">
        <f>'[1]Macro Fiscal'!G111</f>
        <v>0</v>
      </c>
      <c r="AH114" s="64">
        <f>'[1]Socioeconomic Vulnerability'!G111</f>
        <v>0</v>
      </c>
      <c r="AI114" s="64">
        <f>'[1]Natural Hazard'!G111</f>
        <v>7</v>
      </c>
      <c r="AJ114" s="64">
        <f>'[1]Fragility and Conflict'!G111</f>
        <v>0</v>
      </c>
      <c r="AK114" s="60"/>
      <c r="AL114" s="66">
        <v>0</v>
      </c>
      <c r="AM114" s="66">
        <v>0.4</v>
      </c>
      <c r="AN114" s="60"/>
      <c r="AO114" s="60"/>
      <c r="AP114" s="60"/>
      <c r="AQ114" s="60"/>
      <c r="AR114" s="60"/>
      <c r="AS114" s="60"/>
      <c r="AT114" s="60"/>
      <c r="AU114" s="60"/>
      <c r="AV114" s="60"/>
      <c r="AW114" s="60"/>
      <c r="AX114" s="60"/>
      <c r="AY114" s="60"/>
      <c r="AZ114" s="60"/>
      <c r="BA114" s="60"/>
      <c r="BB114" s="60"/>
      <c r="BC114" s="60"/>
      <c r="BD114" s="60"/>
      <c r="BE114" s="60"/>
      <c r="BF114" s="60"/>
      <c r="BG114" s="60"/>
      <c r="BH114" s="60"/>
      <c r="BI114" s="60"/>
      <c r="BJ114" s="60"/>
      <c r="BK114" s="60"/>
      <c r="BL114" s="60"/>
      <c r="BM114" s="60"/>
      <c r="BN114" s="60"/>
      <c r="BO114" s="60"/>
      <c r="BP114" s="60"/>
      <c r="BQ114" s="60"/>
      <c r="BR114" s="60"/>
      <c r="BS114" s="60"/>
      <c r="BT114" s="60"/>
      <c r="BU114" s="60"/>
    </row>
    <row r="115" spans="1:73" s="67" customFormat="1" x14ac:dyDescent="0.2">
      <c r="A115" s="58">
        <v>110</v>
      </c>
      <c r="B115" s="59" t="s">
        <v>725</v>
      </c>
      <c r="C115" s="59" t="s">
        <v>726</v>
      </c>
      <c r="D115" s="60"/>
      <c r="E115" s="61">
        <f>COUNTIF($Q115:$V115,10)</f>
        <v>1</v>
      </c>
      <c r="F115" s="62">
        <f>E115</f>
        <v>1</v>
      </c>
      <c r="G115" s="61">
        <f>COUNTIF($X115:$AC115,10)</f>
        <v>0</v>
      </c>
      <c r="H115" s="63">
        <f>G115</f>
        <v>0</v>
      </c>
      <c r="I115" s="60">
        <f>COUNTIF($AE115:$AJ115,10)</f>
        <v>1</v>
      </c>
      <c r="J115" s="63">
        <f>I115</f>
        <v>1</v>
      </c>
      <c r="K115" s="63"/>
      <c r="L115" s="61">
        <f>COUNTIF($X115:$AC115,10)+COUNTIFS($X115:$AC115,"&gt;=7",$X115:$AC115,"&lt;10")/2</f>
        <v>1</v>
      </c>
      <c r="M115" s="63" t="str">
        <f>_xlfn.CONCAT(COUNTIF($X115:$AC115,10)+COUNTIFS($X115:$AC115,"&gt;=7",$X115:$AC115,"&lt;10")/2,REPT("*",COUNTBLANK($X115:$AC115)))</f>
        <v>1</v>
      </c>
      <c r="N115" s="60">
        <v>2.5</v>
      </c>
      <c r="O115" s="60">
        <v>2.5</v>
      </c>
      <c r="P115" s="60"/>
      <c r="Q115" s="64">
        <v>4.25</v>
      </c>
      <c r="R115" s="64">
        <v>3.2296650717703299</v>
      </c>
      <c r="S115" s="64">
        <v>2.4953095684802999</v>
      </c>
      <c r="T115" s="64">
        <v>4.8571428571428603</v>
      </c>
      <c r="U115" s="64">
        <v>10</v>
      </c>
      <c r="V115" s="64">
        <v>7.4666666666666703</v>
      </c>
      <c r="W115" s="61"/>
      <c r="X115" s="64">
        <f>[1]Health!F112</f>
        <v>4.25</v>
      </c>
      <c r="Y115" s="64">
        <f>'[1]Food Security'!F112</f>
        <v>3.2296650717703299</v>
      </c>
      <c r="Z115" s="64">
        <f>'[1]Macro Fiscal'!F112</f>
        <v>5.25619834710744</v>
      </c>
      <c r="AA115" s="64">
        <f>'[1]Socioeconomic Vulnerability'!F112</f>
        <v>7</v>
      </c>
      <c r="AB115" s="64">
        <f>'[1]Natural Hazard'!F112</f>
        <v>9.5</v>
      </c>
      <c r="AC115" s="64">
        <f>'[1]Fragility and Conflict'!F112</f>
        <v>112</v>
      </c>
      <c r="AD115" s="61"/>
      <c r="AE115" s="64">
        <f>[1]Health!G112</f>
        <v>10</v>
      </c>
      <c r="AF115" s="64">
        <f>'[1]Food Security'!G112</f>
        <v>3</v>
      </c>
      <c r="AG115" s="64">
        <f>'[1]Macro Fiscal'!G112</f>
        <v>5.2272727272727302</v>
      </c>
      <c r="AH115" s="64">
        <f>'[1]Socioeconomic Vulnerability'!G112</f>
        <v>0</v>
      </c>
      <c r="AI115" s="64">
        <f>'[1]Natural Hazard'!G112</f>
        <v>7</v>
      </c>
      <c r="AJ115" s="64">
        <f>'[1]Fragility and Conflict'!G112</f>
        <v>0</v>
      </c>
      <c r="AK115" s="60"/>
      <c r="AL115" s="66">
        <v>0</v>
      </c>
      <c r="AM115" s="66">
        <v>0.2</v>
      </c>
      <c r="AN115" s="60"/>
      <c r="AO115" s="60"/>
      <c r="AP115" s="60"/>
      <c r="AQ115" s="60"/>
      <c r="AR115" s="60"/>
      <c r="AS115" s="60"/>
      <c r="AT115" s="60"/>
      <c r="AU115" s="60"/>
      <c r="AV115" s="60"/>
      <c r="AW115" s="60"/>
      <c r="AX115" s="60"/>
      <c r="AY115" s="60"/>
      <c r="AZ115" s="60"/>
      <c r="BA115" s="60"/>
      <c r="BB115" s="60"/>
      <c r="BC115" s="60"/>
      <c r="BD115" s="60"/>
      <c r="BE115" s="60"/>
      <c r="BF115" s="60"/>
      <c r="BG115" s="60"/>
      <c r="BH115" s="60"/>
      <c r="BI115" s="60"/>
      <c r="BJ115" s="60"/>
      <c r="BK115" s="60"/>
      <c r="BL115" s="60"/>
      <c r="BM115" s="60"/>
      <c r="BN115" s="60"/>
      <c r="BO115" s="60"/>
      <c r="BP115" s="60"/>
      <c r="BQ115" s="60"/>
      <c r="BR115" s="60"/>
      <c r="BS115" s="60"/>
      <c r="BT115" s="60"/>
      <c r="BU115" s="60"/>
    </row>
    <row r="116" spans="1:73" s="67" customFormat="1" x14ac:dyDescent="0.2">
      <c r="A116" s="58">
        <v>111</v>
      </c>
      <c r="B116" s="59" t="s">
        <v>731</v>
      </c>
      <c r="C116" s="59" t="s">
        <v>732</v>
      </c>
      <c r="D116" s="60"/>
      <c r="E116" s="61">
        <f>COUNTIF($Q116:$V116,10)</f>
        <v>2</v>
      </c>
      <c r="F116" s="62">
        <f>E116</f>
        <v>2</v>
      </c>
      <c r="G116" s="61">
        <f>COUNTIF($X116:$AC116,10)</f>
        <v>1</v>
      </c>
      <c r="H116" s="63">
        <f>G116</f>
        <v>1</v>
      </c>
      <c r="I116" s="60">
        <f>COUNTIF($AE116:$AJ116,10)</f>
        <v>0</v>
      </c>
      <c r="J116" s="63">
        <f>I116</f>
        <v>0</v>
      </c>
      <c r="K116" s="63"/>
      <c r="L116" s="61">
        <f>COUNTIF($X116:$AC116,10)+COUNTIFS($X116:$AC116,"&gt;=7",$X116:$AC116,"&lt;10")/2</f>
        <v>1</v>
      </c>
      <c r="M116" s="63" t="str">
        <f>_xlfn.CONCAT(COUNTIF($X116:$AC116,10)+COUNTIFS($X116:$AC116,"&gt;=7",$X116:$AC116,"&lt;10")/2,REPT("*",COUNTBLANK($X116:$AC116)))</f>
        <v>1</v>
      </c>
      <c r="N116" s="60">
        <v>0</v>
      </c>
      <c r="O116" s="60">
        <v>0</v>
      </c>
      <c r="P116" s="60"/>
      <c r="Q116" s="64">
        <v>10</v>
      </c>
      <c r="R116" s="68"/>
      <c r="S116" s="64">
        <v>10</v>
      </c>
      <c r="T116" s="64">
        <v>7.7142857142857197</v>
      </c>
      <c r="U116" s="64">
        <v>5.1191812776980496</v>
      </c>
      <c r="V116" s="68"/>
      <c r="W116" s="61"/>
      <c r="X116" s="64">
        <f>[1]Health!F113</f>
        <v>10</v>
      </c>
      <c r="Y116" s="64">
        <f>'[1]Food Security'!F113</f>
        <v>0</v>
      </c>
      <c r="Z116" s="64">
        <f>'[1]Macro Fiscal'!F113</f>
        <v>0</v>
      </c>
      <c r="AA116" s="64">
        <f>'[1]Socioeconomic Vulnerability'!F113</f>
        <v>0</v>
      </c>
      <c r="AB116" s="64">
        <f>'[1]Natural Hazard'!F113</f>
        <v>4.3333333333333304</v>
      </c>
      <c r="AC116" s="64">
        <f>'[1]Fragility and Conflict'!F113</f>
        <v>113</v>
      </c>
      <c r="AD116" s="61"/>
      <c r="AE116" s="64">
        <f>[1]Health!G113</f>
        <v>0</v>
      </c>
      <c r="AF116" s="64">
        <f>'[1]Food Security'!G113</f>
        <v>0</v>
      </c>
      <c r="AG116" s="64">
        <f>'[1]Macro Fiscal'!G113</f>
        <v>0</v>
      </c>
      <c r="AH116" s="64">
        <f>'[1]Socioeconomic Vulnerability'!G113</f>
        <v>0</v>
      </c>
      <c r="AI116" s="64">
        <f>'[1]Natural Hazard'!G113</f>
        <v>0</v>
      </c>
      <c r="AJ116" s="64">
        <f>'[1]Fragility and Conflict'!G113</f>
        <v>0</v>
      </c>
      <c r="AK116" s="60"/>
      <c r="AL116" s="66">
        <v>0.3</v>
      </c>
      <c r="AM116" s="66">
        <v>0.7</v>
      </c>
      <c r="AN116" s="60"/>
      <c r="AO116" s="60"/>
      <c r="AP116" s="60"/>
      <c r="AQ116" s="60"/>
      <c r="AR116" s="60"/>
      <c r="AS116" s="60"/>
      <c r="AT116" s="60"/>
      <c r="AU116" s="60"/>
      <c r="AV116" s="60"/>
      <c r="AW116" s="60"/>
      <c r="AX116" s="60"/>
      <c r="AY116" s="60"/>
      <c r="AZ116" s="60"/>
      <c r="BA116" s="60"/>
      <c r="BB116" s="60"/>
      <c r="BC116" s="60"/>
      <c r="BD116" s="60"/>
      <c r="BE116" s="60"/>
      <c r="BF116" s="60"/>
      <c r="BG116" s="60"/>
      <c r="BH116" s="60"/>
      <c r="BI116" s="60"/>
      <c r="BJ116" s="60"/>
      <c r="BK116" s="60"/>
      <c r="BL116" s="60"/>
      <c r="BM116" s="60"/>
      <c r="BN116" s="60"/>
      <c r="BO116" s="60"/>
      <c r="BP116" s="60"/>
      <c r="BQ116" s="60"/>
      <c r="BR116" s="60"/>
      <c r="BS116" s="60"/>
      <c r="BT116" s="60"/>
      <c r="BU116" s="60"/>
    </row>
    <row r="117" spans="1:73" s="67" customFormat="1" x14ac:dyDescent="0.2">
      <c r="A117" s="58">
        <v>112</v>
      </c>
      <c r="B117" s="59" t="s">
        <v>733</v>
      </c>
      <c r="C117" s="59" t="s">
        <v>734</v>
      </c>
      <c r="D117" s="60"/>
      <c r="E117" s="61">
        <f>COUNTIF($Q117:$V117,10)</f>
        <v>0</v>
      </c>
      <c r="F117" s="62">
        <f>E117</f>
        <v>0</v>
      </c>
      <c r="G117" s="61">
        <f>COUNTIF($X117:$AC117,10)</f>
        <v>1</v>
      </c>
      <c r="H117" s="63">
        <f>G117</f>
        <v>1</v>
      </c>
      <c r="I117" s="60">
        <f>COUNTIF($AE117:$AJ117,10)</f>
        <v>1</v>
      </c>
      <c r="J117" s="63">
        <f>I117</f>
        <v>1</v>
      </c>
      <c r="K117" s="63"/>
      <c r="L117" s="61">
        <f>COUNTIF($X117:$AC117,10)+COUNTIFS($X117:$AC117,"&gt;=7",$X117:$AC117,"&lt;10")/2</f>
        <v>1</v>
      </c>
      <c r="M117" s="63" t="str">
        <f>_xlfn.CONCAT(COUNTIF($X117:$AC117,10)+COUNTIFS($X117:$AC117,"&gt;=7",$X117:$AC117,"&lt;10")/2,REPT("*",COUNTBLANK($X117:$AC117)))</f>
        <v>1</v>
      </c>
      <c r="N117" s="60">
        <v>1</v>
      </c>
      <c r="O117" s="60">
        <v>1</v>
      </c>
      <c r="P117" s="60"/>
      <c r="Q117" s="64">
        <v>6.18</v>
      </c>
      <c r="R117" s="64">
        <v>3.6124401913875599</v>
      </c>
      <c r="S117" s="64">
        <v>1.9887429643527199</v>
      </c>
      <c r="T117" s="64">
        <v>3.4285714285714302</v>
      </c>
      <c r="U117" s="64">
        <v>8.8400521524361295</v>
      </c>
      <c r="V117" s="64">
        <v>6.9</v>
      </c>
      <c r="W117" s="61"/>
      <c r="X117" s="64">
        <f>[1]Health!F114</f>
        <v>6.18</v>
      </c>
      <c r="Y117" s="64">
        <f>'[1]Food Security'!F114</f>
        <v>3.6124401913875599</v>
      </c>
      <c r="Z117" s="64">
        <f>'[1]Macro Fiscal'!F114</f>
        <v>5.1074380165289304</v>
      </c>
      <c r="AA117" s="64">
        <f>'[1]Socioeconomic Vulnerability'!F114</f>
        <v>10</v>
      </c>
      <c r="AB117" s="64">
        <f>'[1]Natural Hazard'!F114</f>
        <v>4.6666666666666696</v>
      </c>
      <c r="AC117" s="64">
        <f>'[1]Fragility and Conflict'!F114</f>
        <v>114</v>
      </c>
      <c r="AD117" s="61"/>
      <c r="AE117" s="64">
        <f>[1]Health!G114</f>
        <v>10</v>
      </c>
      <c r="AF117" s="64">
        <f>'[1]Food Security'!G114</f>
        <v>5</v>
      </c>
      <c r="AG117" s="64">
        <f>'[1]Macro Fiscal'!G114</f>
        <v>4.7727272727272698</v>
      </c>
      <c r="AH117" s="64">
        <f>'[1]Socioeconomic Vulnerability'!G114</f>
        <v>0</v>
      </c>
      <c r="AI117" s="64">
        <f>'[1]Natural Hazard'!G114</f>
        <v>0</v>
      </c>
      <c r="AJ117" s="64">
        <f>'[1]Fragility and Conflict'!G114</f>
        <v>0</v>
      </c>
      <c r="AK117" s="60"/>
      <c r="AL117" s="66">
        <v>0</v>
      </c>
      <c r="AM117" s="66">
        <v>0.3</v>
      </c>
      <c r="AN117" s="60"/>
      <c r="AO117" s="60"/>
      <c r="AP117" s="60"/>
      <c r="AQ117" s="60"/>
      <c r="AR117" s="60"/>
      <c r="AS117" s="60"/>
      <c r="AT117" s="60"/>
      <c r="AU117" s="60"/>
      <c r="AV117" s="60"/>
      <c r="AW117" s="60"/>
      <c r="AX117" s="60"/>
      <c r="AY117" s="60"/>
      <c r="AZ117" s="60"/>
      <c r="BA117" s="60"/>
      <c r="BB117" s="60"/>
      <c r="BC117" s="60"/>
      <c r="BD117" s="60"/>
      <c r="BE117" s="60"/>
      <c r="BF117" s="60"/>
      <c r="BG117" s="60"/>
      <c r="BH117" s="60"/>
      <c r="BI117" s="60"/>
      <c r="BJ117" s="60"/>
      <c r="BK117" s="60"/>
      <c r="BL117" s="60"/>
      <c r="BM117" s="60"/>
      <c r="BN117" s="60"/>
      <c r="BO117" s="60"/>
      <c r="BP117" s="60"/>
      <c r="BQ117" s="60"/>
      <c r="BR117" s="60"/>
      <c r="BS117" s="60"/>
      <c r="BT117" s="60"/>
      <c r="BU117" s="60"/>
    </row>
    <row r="118" spans="1:73" s="67" customFormat="1" x14ac:dyDescent="0.2">
      <c r="A118" s="58">
        <v>113</v>
      </c>
      <c r="B118" s="59" t="s">
        <v>737</v>
      </c>
      <c r="C118" s="59" t="s">
        <v>738</v>
      </c>
      <c r="D118" s="60"/>
      <c r="E118" s="61">
        <f>COUNTIF($Q118:$V118,10)</f>
        <v>0</v>
      </c>
      <c r="F118" s="62">
        <f>E118</f>
        <v>0</v>
      </c>
      <c r="G118" s="61">
        <f>COUNTIF($X118:$AC118,10)</f>
        <v>0</v>
      </c>
      <c r="H118" s="63">
        <f>G118</f>
        <v>0</v>
      </c>
      <c r="I118" s="60">
        <f>COUNTIF($AE118:$AJ118,10)</f>
        <v>3</v>
      </c>
      <c r="J118" s="63">
        <f>I118</f>
        <v>3</v>
      </c>
      <c r="K118" s="63"/>
      <c r="L118" s="61">
        <f>COUNTIF($X118:$AC118,10)+COUNTIFS($X118:$AC118,"&gt;=7",$X118:$AC118,"&lt;10")/2</f>
        <v>1.5</v>
      </c>
      <c r="M118" s="63" t="str">
        <f>_xlfn.CONCAT(COUNTIF($X118:$AC118,10)+COUNTIFS($X118:$AC118,"&gt;=7",$X118:$AC118,"&lt;10")/2,REPT("*",COUNTBLANK($X118:$AC118)))</f>
        <v>1.5</v>
      </c>
      <c r="N118" s="60">
        <v>3.5</v>
      </c>
      <c r="O118" s="60">
        <v>3.5</v>
      </c>
      <c r="P118" s="60"/>
      <c r="Q118" s="64">
        <f>IFERROR(GEOMEAN(X118,AE118), MAX(X118,AE118))</f>
        <v>9.6176920308356717</v>
      </c>
      <c r="R118" s="64">
        <f>IFERROR(GEOMEAN(Y118,AF118), MAX(Y118,AF118))</f>
        <v>9.0717501463446073</v>
      </c>
      <c r="S118" s="64">
        <f>IFERROR(GEOMEAN(Z118,AG118), MAX(Z118,AG118))</f>
        <v>6.9478036787121695</v>
      </c>
      <c r="T118" s="64">
        <f>IFERROR(GEOMEAN(AA118,AH118), MAX(AA118,AH118))</f>
        <v>1.5587064198085201</v>
      </c>
      <c r="U118" s="64">
        <f>IFERROR(GEOMEAN(AB118,AI118), MAX(AB118,AI118))</f>
        <v>5.6666666666666696</v>
      </c>
      <c r="V118" s="64">
        <f>IFERROR(GEOMEAN(AC118,AJ118), MAX(AC118,AJ118))</f>
        <v>33.911649915626342</v>
      </c>
      <c r="W118" s="61"/>
      <c r="X118" s="64">
        <f>[1]Health!F115</f>
        <v>9.25</v>
      </c>
      <c r="Y118" s="64">
        <f>'[1]Food Security'!F115</f>
        <v>8.2296650717703397</v>
      </c>
      <c r="Z118" s="64">
        <f>'[1]Macro Fiscal'!F115</f>
        <v>8.4958677685950406</v>
      </c>
      <c r="AA118" s="64">
        <f>'[1]Socioeconomic Vulnerability'!F115</f>
        <v>1.5587064198085201</v>
      </c>
      <c r="AB118" s="64">
        <f>'[1]Natural Hazard'!F115</f>
        <v>5.6666666666666696</v>
      </c>
      <c r="AC118" s="64">
        <f>'[1]Fragility and Conflict'!F115</f>
        <v>115</v>
      </c>
      <c r="AD118" s="61"/>
      <c r="AE118" s="64">
        <f>[1]Health!G115</f>
        <v>10</v>
      </c>
      <c r="AF118" s="64">
        <f>'[1]Food Security'!G115</f>
        <v>10</v>
      </c>
      <c r="AG118" s="64">
        <f>'[1]Macro Fiscal'!G115</f>
        <v>5.6818181818181799</v>
      </c>
      <c r="AH118" s="64">
        <f>'[1]Socioeconomic Vulnerability'!G115</f>
        <v>0</v>
      </c>
      <c r="AI118" s="64">
        <f>'[1]Natural Hazard'!G115</f>
        <v>0</v>
      </c>
      <c r="AJ118" s="64">
        <f>'[1]Fragility and Conflict'!G115</f>
        <v>10</v>
      </c>
      <c r="AK118" s="60"/>
      <c r="AL118" s="66">
        <v>0</v>
      </c>
      <c r="AM118" s="66">
        <v>0.2</v>
      </c>
      <c r="AN118" s="60"/>
      <c r="AO118" s="60"/>
      <c r="AP118" s="60"/>
      <c r="AQ118" s="60"/>
      <c r="AR118" s="60"/>
      <c r="AS118" s="60"/>
      <c r="AT118" s="60"/>
      <c r="AU118" s="60"/>
      <c r="AV118" s="60"/>
      <c r="AW118" s="60"/>
      <c r="AX118" s="60"/>
      <c r="AY118" s="60"/>
      <c r="AZ118" s="60"/>
      <c r="BA118" s="60"/>
      <c r="BB118" s="60"/>
      <c r="BC118" s="60"/>
      <c r="BD118" s="60"/>
      <c r="BE118" s="60"/>
      <c r="BF118" s="60"/>
      <c r="BG118" s="60"/>
      <c r="BH118" s="60"/>
      <c r="BI118" s="60"/>
      <c r="BJ118" s="60"/>
      <c r="BK118" s="60"/>
      <c r="BL118" s="60"/>
      <c r="BM118" s="60"/>
      <c r="BN118" s="60"/>
      <c r="BO118" s="60"/>
      <c r="BP118" s="60"/>
      <c r="BQ118" s="60"/>
      <c r="BR118" s="60"/>
      <c r="BS118" s="60"/>
      <c r="BT118" s="60"/>
      <c r="BU118" s="60"/>
    </row>
    <row r="119" spans="1:73" s="67" customFormat="1" x14ac:dyDescent="0.2">
      <c r="A119" s="58">
        <v>114</v>
      </c>
      <c r="B119" s="59" t="s">
        <v>742</v>
      </c>
      <c r="C119" s="59" t="s">
        <v>743</v>
      </c>
      <c r="D119" s="60"/>
      <c r="E119" s="61">
        <f>COUNTIF($Q119:$V119,10)</f>
        <v>0</v>
      </c>
      <c r="F119" s="62">
        <f>E119</f>
        <v>0</v>
      </c>
      <c r="G119" s="61">
        <f>COUNTIF($X119:$AC119,10)</f>
        <v>0</v>
      </c>
      <c r="H119" s="63">
        <f>G119</f>
        <v>0</v>
      </c>
      <c r="I119" s="60">
        <f>COUNTIF($AE119:$AJ119,10)</f>
        <v>1</v>
      </c>
      <c r="J119" s="63">
        <f>I119</f>
        <v>1</v>
      </c>
      <c r="K119" s="63"/>
      <c r="L119" s="61">
        <f>COUNTIF($X119:$AC119,10)+COUNTIFS($X119:$AC119,"&gt;=7",$X119:$AC119,"&lt;10")/2</f>
        <v>0</v>
      </c>
      <c r="M119" s="63" t="str">
        <f>_xlfn.CONCAT(COUNTIF($X119:$AC119,10)+COUNTIFS($X119:$AC119,"&gt;=7",$X119:$AC119,"&lt;10")/2,REPT("*",COUNTBLANK($X119:$AC119)))</f>
        <v>0</v>
      </c>
      <c r="N119" s="60">
        <v>0.5</v>
      </c>
      <c r="O119" s="60">
        <v>0.5</v>
      </c>
      <c r="P119" s="60"/>
      <c r="Q119" s="64">
        <v>6.54</v>
      </c>
      <c r="R119" s="64">
        <v>0</v>
      </c>
      <c r="S119" s="64">
        <v>5.3283302063789897</v>
      </c>
      <c r="T119" s="64">
        <v>1</v>
      </c>
      <c r="U119" s="64">
        <v>5.6141213099677501</v>
      </c>
      <c r="V119" s="64">
        <v>3.7333333333333298</v>
      </c>
      <c r="W119" s="61"/>
      <c r="X119" s="64">
        <f>[1]Health!F116</f>
        <v>6.54</v>
      </c>
      <c r="Y119" s="64">
        <f>'[1]Food Security'!F116</f>
        <v>0</v>
      </c>
      <c r="Z119" s="64">
        <f>'[1]Macro Fiscal'!F116</f>
        <v>1.8677685950413201</v>
      </c>
      <c r="AA119" s="64">
        <f>'[1]Socioeconomic Vulnerability'!F116</f>
        <v>0</v>
      </c>
      <c r="AB119" s="64">
        <f>'[1]Natural Hazard'!F116</f>
        <v>2.5</v>
      </c>
      <c r="AC119" s="64">
        <f>'[1]Fragility and Conflict'!F116</f>
        <v>116</v>
      </c>
      <c r="AD119" s="61"/>
      <c r="AE119" s="64">
        <f>[1]Health!G116</f>
        <v>10</v>
      </c>
      <c r="AF119" s="64">
        <f>'[1]Food Security'!G116</f>
        <v>1</v>
      </c>
      <c r="AG119" s="64">
        <f>'[1]Macro Fiscal'!G116</f>
        <v>6.8181818181818201</v>
      </c>
      <c r="AH119" s="64">
        <f>'[1]Socioeconomic Vulnerability'!G116</f>
        <v>0</v>
      </c>
      <c r="AI119" s="64">
        <f>'[1]Natural Hazard'!G116</f>
        <v>0</v>
      </c>
      <c r="AJ119" s="64">
        <f>'[1]Fragility and Conflict'!G116</f>
        <v>0</v>
      </c>
      <c r="AK119" s="60"/>
      <c r="AL119" s="66">
        <v>0</v>
      </c>
      <c r="AM119" s="66">
        <v>0.5</v>
      </c>
      <c r="AN119" s="60"/>
      <c r="AO119" s="60"/>
      <c r="AP119" s="60"/>
      <c r="AQ119" s="60"/>
      <c r="AR119" s="60"/>
      <c r="AS119" s="60"/>
      <c r="AT119" s="60"/>
      <c r="AU119" s="60"/>
      <c r="AV119" s="60"/>
      <c r="AW119" s="60"/>
      <c r="AX119" s="60"/>
      <c r="AY119" s="60"/>
      <c r="AZ119" s="60"/>
      <c r="BA119" s="60"/>
      <c r="BB119" s="60"/>
      <c r="BC119" s="60"/>
      <c r="BD119" s="60"/>
      <c r="BE119" s="60"/>
      <c r="BF119" s="60"/>
      <c r="BG119" s="60"/>
      <c r="BH119" s="60"/>
      <c r="BI119" s="60"/>
      <c r="BJ119" s="60"/>
      <c r="BK119" s="60"/>
      <c r="BL119" s="60"/>
      <c r="BM119" s="60"/>
      <c r="BN119" s="60"/>
      <c r="BO119" s="60"/>
      <c r="BP119" s="60"/>
      <c r="BQ119" s="60"/>
      <c r="BR119" s="60"/>
      <c r="BS119" s="60"/>
      <c r="BT119" s="60"/>
      <c r="BU119" s="60"/>
    </row>
    <row r="120" spans="1:73" s="67" customFormat="1" x14ac:dyDescent="0.2">
      <c r="A120" s="58">
        <v>115</v>
      </c>
      <c r="B120" s="59" t="s">
        <v>746</v>
      </c>
      <c r="C120" s="59" t="s">
        <v>747</v>
      </c>
      <c r="D120" s="60"/>
      <c r="E120" s="61">
        <f>COUNTIF($Q120:$V120,10)</f>
        <v>0</v>
      </c>
      <c r="F120" s="62">
        <f>E120</f>
        <v>0</v>
      </c>
      <c r="G120" s="61">
        <f>COUNTIF($X120:$AC120,10)</f>
        <v>1</v>
      </c>
      <c r="H120" s="63">
        <f>G120</f>
        <v>1</v>
      </c>
      <c r="I120" s="60">
        <f>COUNTIF($AE120:$AJ120,10)</f>
        <v>2</v>
      </c>
      <c r="J120" s="63">
        <f>I120</f>
        <v>2</v>
      </c>
      <c r="K120" s="63"/>
      <c r="L120" s="61">
        <f>COUNTIF($X120:$AC120,10)+COUNTIFS($X120:$AC120,"&gt;=7",$X120:$AC120,"&lt;10")/2</f>
        <v>3</v>
      </c>
      <c r="M120" s="63" t="str">
        <f>_xlfn.CONCAT(COUNTIF($X120:$AC120,10)+COUNTIFS($X120:$AC120,"&gt;=7",$X120:$AC120,"&lt;10")/2,REPT("*",COUNTBLANK($X120:$AC120)))</f>
        <v>3</v>
      </c>
      <c r="N120" s="60">
        <v>3</v>
      </c>
      <c r="O120" s="60">
        <v>3</v>
      </c>
      <c r="P120" s="60"/>
      <c r="Q120" s="64">
        <f>IFERROR(GEOMEAN(X120,AE120), MAX(X120,AE120))</f>
        <v>8.3666002653407556</v>
      </c>
      <c r="R120" s="64">
        <f>IFERROR(GEOMEAN(Y120,AF120), MAX(Y120,AF120))</f>
        <v>5.9503528100939782</v>
      </c>
      <c r="S120" s="64">
        <f>IFERROR(GEOMEAN(Z120,AG120), MAX(Z120,AG120))</f>
        <v>7.2286889822916587</v>
      </c>
      <c r="T120" s="64">
        <f>IFERROR(GEOMEAN(AA120,AH120), MAX(AA120,AH120))</f>
        <v>9.8841076805477996</v>
      </c>
      <c r="U120" s="64">
        <f>IFERROR(GEOMEAN(AB120,AI120), MAX(AB120,AI120))</f>
        <v>8.3666002653407556</v>
      </c>
      <c r="V120" s="64">
        <f>IFERROR(GEOMEAN(AC120,AJ120), MAX(AC120,AJ120))</f>
        <v>34.205262752974136</v>
      </c>
      <c r="W120" s="61"/>
      <c r="X120" s="64">
        <f>[1]Health!F117</f>
        <v>7</v>
      </c>
      <c r="Y120" s="64">
        <f>'[1]Food Security'!F117</f>
        <v>7.0813397129186599</v>
      </c>
      <c r="Z120" s="64">
        <f>'[1]Macro Fiscal'!F117</f>
        <v>8.8429752066115697</v>
      </c>
      <c r="AA120" s="64">
        <f>'[1]Socioeconomic Vulnerability'!F117</f>
        <v>9.8841076805477996</v>
      </c>
      <c r="AB120" s="64">
        <f>'[1]Natural Hazard'!F117</f>
        <v>10</v>
      </c>
      <c r="AC120" s="64">
        <f>'[1]Fragility and Conflict'!F117</f>
        <v>117</v>
      </c>
      <c r="AD120" s="61"/>
      <c r="AE120" s="64">
        <f>[1]Health!G117</f>
        <v>10</v>
      </c>
      <c r="AF120" s="64">
        <f>'[1]Food Security'!G117</f>
        <v>5</v>
      </c>
      <c r="AG120" s="64">
        <f>'[1]Macro Fiscal'!G117</f>
        <v>5.9090909090909198</v>
      </c>
      <c r="AH120" s="64">
        <f>'[1]Socioeconomic Vulnerability'!G117</f>
        <v>0</v>
      </c>
      <c r="AI120" s="64">
        <f>'[1]Natural Hazard'!G117</f>
        <v>7</v>
      </c>
      <c r="AJ120" s="64">
        <f>'[1]Fragility and Conflict'!G117</f>
        <v>10</v>
      </c>
      <c r="AK120" s="60"/>
      <c r="AL120" s="66">
        <v>0</v>
      </c>
      <c r="AM120" s="66">
        <v>0.2</v>
      </c>
      <c r="AN120" s="60"/>
      <c r="AO120" s="60"/>
      <c r="AP120" s="60"/>
      <c r="AQ120" s="60"/>
      <c r="AR120" s="60"/>
      <c r="AS120" s="60"/>
      <c r="AT120" s="60"/>
      <c r="AU120" s="60"/>
      <c r="AV120" s="60"/>
      <c r="AW120" s="60"/>
      <c r="AX120" s="60"/>
      <c r="AY120" s="60"/>
      <c r="AZ120" s="60"/>
      <c r="BA120" s="60"/>
      <c r="BB120" s="60"/>
      <c r="BC120" s="60"/>
      <c r="BD120" s="60"/>
      <c r="BE120" s="60"/>
      <c r="BF120" s="60"/>
      <c r="BG120" s="60"/>
      <c r="BH120" s="60"/>
      <c r="BI120" s="60"/>
      <c r="BJ120" s="60"/>
      <c r="BK120" s="60"/>
      <c r="BL120" s="60"/>
      <c r="BM120" s="60"/>
      <c r="BN120" s="60"/>
      <c r="BO120" s="60"/>
      <c r="BP120" s="60"/>
      <c r="BQ120" s="60"/>
      <c r="BR120" s="60"/>
      <c r="BS120" s="60"/>
      <c r="BT120" s="60"/>
      <c r="BU120" s="60"/>
    </row>
    <row r="121" spans="1:73" s="67" customFormat="1" x14ac:dyDescent="0.2">
      <c r="A121" s="58">
        <v>116</v>
      </c>
      <c r="B121" s="59" t="s">
        <v>751</v>
      </c>
      <c r="C121" s="59" t="s">
        <v>752</v>
      </c>
      <c r="D121" s="60"/>
      <c r="E121" s="61">
        <f>COUNTIF($Q121:$V121,10)</f>
        <v>0</v>
      </c>
      <c r="F121" s="62">
        <f>E121</f>
        <v>0</v>
      </c>
      <c r="G121" s="61">
        <f>COUNTIF($X121:$AC121,10)</f>
        <v>0</v>
      </c>
      <c r="H121" s="63">
        <f>G121</f>
        <v>0</v>
      </c>
      <c r="I121" s="60">
        <f>COUNTIF($AE121:$AJ121,10)</f>
        <v>1</v>
      </c>
      <c r="J121" s="63">
        <f>I121</f>
        <v>1</v>
      </c>
      <c r="K121" s="63"/>
      <c r="L121" s="61">
        <f>COUNTIF($X121:$AC121,10)+COUNTIFS($X121:$AC121,"&gt;=7",$X121:$AC121,"&lt;10")/2</f>
        <v>0</v>
      </c>
      <c r="M121" s="63" t="str">
        <f>_xlfn.CONCAT(COUNTIF($X121:$AC121,10)+COUNTIFS($X121:$AC121,"&gt;=7",$X121:$AC121,"&lt;10")/2,REPT("*",COUNTBLANK($X121:$AC121)))</f>
        <v>0</v>
      </c>
      <c r="N121" s="60">
        <v>1.5</v>
      </c>
      <c r="O121" s="60">
        <v>1.5</v>
      </c>
      <c r="P121" s="60"/>
      <c r="Q121" s="64">
        <v>5.26</v>
      </c>
      <c r="R121" s="64">
        <v>1.1722488038277501</v>
      </c>
      <c r="S121" s="64">
        <v>9.3058161350844308</v>
      </c>
      <c r="T121" s="64">
        <v>3.1428571428571401</v>
      </c>
      <c r="U121" s="64">
        <v>8.1474911110942294</v>
      </c>
      <c r="V121" s="64">
        <v>6.1666666666666696</v>
      </c>
      <c r="W121" s="61"/>
      <c r="X121" s="64">
        <f>[1]Health!F118</f>
        <v>5.26</v>
      </c>
      <c r="Y121" s="64">
        <f>'[1]Food Security'!F118</f>
        <v>1.1722488038277501</v>
      </c>
      <c r="Z121" s="64">
        <f>'[1]Macro Fiscal'!F118</f>
        <v>6.2148760330578501</v>
      </c>
      <c r="AA121" s="64">
        <f>'[1]Socioeconomic Vulnerability'!F118</f>
        <v>0</v>
      </c>
      <c r="AB121" s="64">
        <f>'[1]Natural Hazard'!F118</f>
        <v>5.5</v>
      </c>
      <c r="AC121" s="64">
        <f>'[1]Fragility and Conflict'!F118</f>
        <v>118</v>
      </c>
      <c r="AD121" s="61"/>
      <c r="AE121" s="64">
        <f>[1]Health!G118</f>
        <v>10</v>
      </c>
      <c r="AF121" s="64">
        <f>'[1]Food Security'!G118</f>
        <v>3</v>
      </c>
      <c r="AG121" s="64">
        <f>'[1]Macro Fiscal'!G118</f>
        <v>7.0454545454545503</v>
      </c>
      <c r="AH121" s="64">
        <f>'[1]Socioeconomic Vulnerability'!G118</f>
        <v>0</v>
      </c>
      <c r="AI121" s="64">
        <f>'[1]Natural Hazard'!G118</f>
        <v>0</v>
      </c>
      <c r="AJ121" s="64">
        <f>'[1]Fragility and Conflict'!G118</f>
        <v>0</v>
      </c>
      <c r="AK121" s="60"/>
      <c r="AL121" s="66">
        <v>0</v>
      </c>
      <c r="AM121" s="66">
        <v>0.4</v>
      </c>
      <c r="AN121" s="60"/>
      <c r="AO121" s="60"/>
      <c r="AP121" s="60"/>
      <c r="AQ121" s="60"/>
      <c r="AR121" s="60"/>
      <c r="AS121" s="60"/>
      <c r="AT121" s="60"/>
      <c r="AU121" s="60"/>
      <c r="AV121" s="60"/>
      <c r="AW121" s="60"/>
      <c r="AX121" s="60"/>
      <c r="AY121" s="60"/>
      <c r="AZ121" s="60"/>
      <c r="BA121" s="60"/>
      <c r="BB121" s="60"/>
      <c r="BC121" s="60"/>
      <c r="BD121" s="60"/>
      <c r="BE121" s="60"/>
      <c r="BF121" s="60"/>
      <c r="BG121" s="60"/>
      <c r="BH121" s="60"/>
      <c r="BI121" s="60"/>
      <c r="BJ121" s="60"/>
      <c r="BK121" s="60"/>
      <c r="BL121" s="60"/>
      <c r="BM121" s="60"/>
      <c r="BN121" s="60"/>
      <c r="BO121" s="60"/>
      <c r="BP121" s="60"/>
      <c r="BQ121" s="60"/>
      <c r="BR121" s="60"/>
      <c r="BS121" s="60"/>
      <c r="BT121" s="60"/>
      <c r="BU121" s="60"/>
    </row>
    <row r="122" spans="1:73" s="67" customFormat="1" x14ac:dyDescent="0.2">
      <c r="A122" s="58">
        <v>117</v>
      </c>
      <c r="B122" s="59" t="s">
        <v>754</v>
      </c>
      <c r="C122" s="59" t="s">
        <v>755</v>
      </c>
      <c r="D122" s="60"/>
      <c r="E122" s="61">
        <f>COUNTIF($Q122:$V122,10)</f>
        <v>0</v>
      </c>
      <c r="F122" s="62">
        <f>E122</f>
        <v>0</v>
      </c>
      <c r="G122" s="61">
        <f>COUNTIF($X122:$AC122,10)</f>
        <v>0</v>
      </c>
      <c r="H122" s="63">
        <f>G122</f>
        <v>0</v>
      </c>
      <c r="I122" s="60">
        <f>COUNTIF($AE122:$AJ122,10)</f>
        <v>1</v>
      </c>
      <c r="J122" s="63">
        <f>I122</f>
        <v>1</v>
      </c>
      <c r="K122" s="63"/>
      <c r="L122" s="61">
        <f>COUNTIF($X122:$AC122,10)+COUNTIFS($X122:$AC122,"&gt;=7",$X122:$AC122,"&lt;10")/2</f>
        <v>1</v>
      </c>
      <c r="M122" s="63" t="str">
        <f>_xlfn.CONCAT(COUNTIF($X122:$AC122,10)+COUNTIFS($X122:$AC122,"&gt;=7",$X122:$AC122,"&lt;10")/2,REPT("*",COUNTBLANK($X122:$AC122)))</f>
        <v>1</v>
      </c>
      <c r="N122" s="60">
        <v>2.5</v>
      </c>
      <c r="O122" s="60">
        <v>2.5</v>
      </c>
      <c r="P122" s="60"/>
      <c r="Q122" s="64">
        <v>4.25</v>
      </c>
      <c r="R122" s="64">
        <v>7.2009569377990399</v>
      </c>
      <c r="S122" s="64">
        <v>6.4727954971857402</v>
      </c>
      <c r="T122" s="64">
        <v>5.28571428571429</v>
      </c>
      <c r="U122" s="64">
        <v>8.9674743032829305</v>
      </c>
      <c r="V122" s="64">
        <v>5.7666666666666702</v>
      </c>
      <c r="W122" s="61"/>
      <c r="X122" s="64">
        <f>[1]Health!F119</f>
        <v>4.25</v>
      </c>
      <c r="Y122" s="64">
        <f>'[1]Food Security'!F119</f>
        <v>7.2009569377990399</v>
      </c>
      <c r="Z122" s="64">
        <f>'[1]Macro Fiscal'!F119</f>
        <v>5.9173553719008298</v>
      </c>
      <c r="AA122" s="64">
        <f>'[1]Socioeconomic Vulnerability'!F119</f>
        <v>7</v>
      </c>
      <c r="AB122" s="64">
        <f>'[1]Natural Hazard'!F119</f>
        <v>3.1666666666666701</v>
      </c>
      <c r="AC122" s="64">
        <f>'[1]Fragility and Conflict'!F119</f>
        <v>119</v>
      </c>
      <c r="AD122" s="61"/>
      <c r="AE122" s="64">
        <f>[1]Health!G119</f>
        <v>10</v>
      </c>
      <c r="AF122" s="64">
        <f>'[1]Food Security'!G119</f>
        <v>5</v>
      </c>
      <c r="AG122" s="64">
        <f>'[1]Macro Fiscal'!G119</f>
        <v>1.13636363636363</v>
      </c>
      <c r="AH122" s="64">
        <f>'[1]Socioeconomic Vulnerability'!G119</f>
        <v>0</v>
      </c>
      <c r="AI122" s="64">
        <f>'[1]Natural Hazard'!G119</f>
        <v>0</v>
      </c>
      <c r="AJ122" s="64">
        <f>'[1]Fragility and Conflict'!G119</f>
        <v>0</v>
      </c>
      <c r="AK122" s="60"/>
      <c r="AL122" s="66">
        <v>0</v>
      </c>
      <c r="AM122" s="66">
        <v>0.3</v>
      </c>
      <c r="AN122" s="60"/>
      <c r="AO122" s="60"/>
      <c r="AP122" s="60"/>
      <c r="AQ122" s="60"/>
      <c r="AR122" s="60"/>
      <c r="AS122" s="60"/>
      <c r="AT122" s="60"/>
      <c r="AU122" s="60"/>
      <c r="AV122" s="60"/>
      <c r="AW122" s="60"/>
      <c r="AX122" s="60"/>
      <c r="AY122" s="60"/>
      <c r="AZ122" s="60"/>
      <c r="BA122" s="60"/>
      <c r="BB122" s="60"/>
      <c r="BC122" s="60"/>
      <c r="BD122" s="60"/>
      <c r="BE122" s="60"/>
      <c r="BF122" s="60"/>
      <c r="BG122" s="60"/>
      <c r="BH122" s="60"/>
      <c r="BI122" s="60"/>
      <c r="BJ122" s="60"/>
      <c r="BK122" s="60"/>
      <c r="BL122" s="60"/>
      <c r="BM122" s="60"/>
      <c r="BN122" s="60"/>
      <c r="BO122" s="60"/>
      <c r="BP122" s="60"/>
      <c r="BQ122" s="60"/>
      <c r="BR122" s="60"/>
      <c r="BS122" s="60"/>
      <c r="BT122" s="60"/>
      <c r="BU122" s="60"/>
    </row>
    <row r="123" spans="1:73" s="67" customFormat="1" x14ac:dyDescent="0.2">
      <c r="A123" s="58">
        <v>118</v>
      </c>
      <c r="B123" s="59" t="s">
        <v>759</v>
      </c>
      <c r="C123" s="59" t="s">
        <v>760</v>
      </c>
      <c r="D123" s="60"/>
      <c r="E123" s="61">
        <f>COUNTIF($Q123:$V123,10)</f>
        <v>1</v>
      </c>
      <c r="F123" s="62">
        <f>E123</f>
        <v>1</v>
      </c>
      <c r="G123" s="61">
        <f>COUNTIF($X123:$AC123,10)</f>
        <v>2</v>
      </c>
      <c r="H123" s="63">
        <f>G123</f>
        <v>2</v>
      </c>
      <c r="I123" s="60">
        <f>COUNTIF($AE123:$AJ123,10)</f>
        <v>2</v>
      </c>
      <c r="J123" s="63">
        <f>I123</f>
        <v>2</v>
      </c>
      <c r="K123" s="63"/>
      <c r="L123" s="61">
        <f>COUNTIF($X123:$AC123,10)+COUNTIFS($X123:$AC123,"&gt;=7",$X123:$AC123,"&lt;10")/2</f>
        <v>3.5</v>
      </c>
      <c r="M123" s="63" t="str">
        <f>_xlfn.CONCAT(COUNTIF($X123:$AC123,10)+COUNTIFS($X123:$AC123,"&gt;=7",$X123:$AC123,"&lt;10")/2,REPT("*",COUNTBLANK($X123:$AC123)))</f>
        <v>3.5</v>
      </c>
      <c r="N123" s="60">
        <v>5.5</v>
      </c>
      <c r="O123" s="60">
        <v>5.5</v>
      </c>
      <c r="P123" s="60"/>
      <c r="Q123" s="64">
        <f>IFERROR(GEOMEAN(X123,AE123), MAX(X123,AE123))</f>
        <v>6.2017367294604258</v>
      </c>
      <c r="R123" s="64">
        <f>IFERROR(GEOMEAN(Y123,AF123), MAX(Y123,AF123))</f>
        <v>10</v>
      </c>
      <c r="S123" s="64">
        <f>IFERROR(GEOMEAN(Z123,AG123), MAX(Z123,AG123))</f>
        <v>6.3960214906683124</v>
      </c>
      <c r="T123" s="64">
        <f>IFERROR(GEOMEAN(AA123,AH123), MAX(AA123,AH123))</f>
        <v>8.5555049351283508</v>
      </c>
      <c r="U123" s="64">
        <f>IFERROR(GEOMEAN(AB123,AI123), MAX(AB123,AI123))</f>
        <v>8</v>
      </c>
      <c r="V123" s="64">
        <f>IFERROR(GEOMEAN(AC123,AJ123), MAX(AC123,AJ123))</f>
        <v>34.641016151377549</v>
      </c>
      <c r="W123" s="61"/>
      <c r="X123" s="64">
        <f>[1]Health!F120</f>
        <v>10</v>
      </c>
      <c r="Y123" s="64">
        <f>'[1]Food Security'!F120</f>
        <v>10</v>
      </c>
      <c r="Z123" s="64">
        <f>'[1]Macro Fiscal'!F120</f>
        <v>8.1818181818181799</v>
      </c>
      <c r="AA123" s="64">
        <f>'[1]Socioeconomic Vulnerability'!F120</f>
        <v>8.5555049351283508</v>
      </c>
      <c r="AB123" s="64">
        <f>'[1]Natural Hazard'!F120</f>
        <v>8</v>
      </c>
      <c r="AC123" s="64">
        <f>'[1]Fragility and Conflict'!F120</f>
        <v>120</v>
      </c>
      <c r="AD123" s="61"/>
      <c r="AE123" s="64">
        <f>[1]Health!G120</f>
        <v>3.8461538461538498</v>
      </c>
      <c r="AF123" s="64">
        <f>'[1]Food Security'!G120</f>
        <v>10</v>
      </c>
      <c r="AG123" s="64">
        <f>'[1]Macro Fiscal'!G120</f>
        <v>5</v>
      </c>
      <c r="AH123" s="64">
        <f>'[1]Socioeconomic Vulnerability'!G120</f>
        <v>0</v>
      </c>
      <c r="AI123" s="64">
        <f>'[1]Natural Hazard'!G120</f>
        <v>0</v>
      </c>
      <c r="AJ123" s="64">
        <f>'[1]Fragility and Conflict'!G120</f>
        <v>10</v>
      </c>
      <c r="AK123" s="60"/>
      <c r="AL123" s="66">
        <v>0</v>
      </c>
      <c r="AM123" s="66">
        <v>0.2</v>
      </c>
      <c r="AN123" s="60"/>
      <c r="AO123" s="60"/>
      <c r="AP123" s="60"/>
      <c r="AQ123" s="60"/>
      <c r="AR123" s="60"/>
      <c r="AS123" s="60"/>
      <c r="AT123" s="60"/>
      <c r="AU123" s="60"/>
      <c r="AV123" s="60"/>
      <c r="AW123" s="60"/>
      <c r="AX123" s="60"/>
      <c r="AY123" s="60"/>
      <c r="AZ123" s="60"/>
      <c r="BA123" s="60"/>
      <c r="BB123" s="60"/>
      <c r="BC123" s="60"/>
      <c r="BD123" s="60"/>
      <c r="BE123" s="60"/>
      <c r="BF123" s="60"/>
      <c r="BG123" s="60"/>
      <c r="BH123" s="60"/>
      <c r="BI123" s="60"/>
      <c r="BJ123" s="60"/>
      <c r="BK123" s="60"/>
      <c r="BL123" s="60"/>
      <c r="BM123" s="60"/>
      <c r="BN123" s="60"/>
      <c r="BO123" s="60"/>
      <c r="BP123" s="60"/>
      <c r="BQ123" s="60"/>
      <c r="BR123" s="60"/>
      <c r="BS123" s="60"/>
      <c r="BT123" s="60"/>
      <c r="BU123" s="60"/>
    </row>
    <row r="124" spans="1:73" s="67" customFormat="1" x14ac:dyDescent="0.2">
      <c r="A124" s="58">
        <v>119</v>
      </c>
      <c r="B124" s="59" t="s">
        <v>764</v>
      </c>
      <c r="C124" s="59" t="s">
        <v>765</v>
      </c>
      <c r="D124" s="60"/>
      <c r="E124" s="61">
        <f>COUNTIF($Q124:$V124,10)</f>
        <v>0</v>
      </c>
      <c r="F124" s="62">
        <f>E124</f>
        <v>0</v>
      </c>
      <c r="G124" s="61">
        <f>COUNTIF($X124:$AC124,10)</f>
        <v>0</v>
      </c>
      <c r="H124" s="63">
        <f>G124</f>
        <v>0</v>
      </c>
      <c r="I124" s="60">
        <f>COUNTIF($AE124:$AJ124,10)</f>
        <v>1</v>
      </c>
      <c r="J124" s="63">
        <f>I124</f>
        <v>1</v>
      </c>
      <c r="K124" s="63"/>
      <c r="L124" s="61">
        <f>COUNTIF($X124:$AC124,10)+COUNTIFS($X124:$AC124,"&gt;=7",$X124:$AC124,"&lt;10")/2</f>
        <v>2</v>
      </c>
      <c r="M124" s="63" t="str">
        <f>_xlfn.CONCAT(COUNTIF($X124:$AC124,10)+COUNTIFS($X124:$AC124,"&gt;=7",$X124:$AC124,"&lt;10")/2,REPT("*",COUNTBLANK($X124:$AC124)))</f>
        <v>2</v>
      </c>
      <c r="N124" s="60">
        <v>4.5</v>
      </c>
      <c r="O124" s="60">
        <v>4.5</v>
      </c>
      <c r="P124" s="60"/>
      <c r="Q124" s="64">
        <f>IFERROR(GEOMEAN(X124,AE124), MAX(X124,AE124))</f>
        <v>9.7467943448089631</v>
      </c>
      <c r="R124" s="64">
        <f>IFERROR(GEOMEAN(Y124,AF124), MAX(Y124,AF124))</f>
        <v>4.9398293366874615</v>
      </c>
      <c r="S124" s="64">
        <f>IFERROR(GEOMEAN(Z124,AG124), MAX(Z124,AG124))</f>
        <v>1.9459256400345599</v>
      </c>
      <c r="T124" s="64">
        <f>IFERROR(GEOMEAN(AA124,AH124), MAX(AA124,AH124))</f>
        <v>0</v>
      </c>
      <c r="U124" s="64">
        <f>IFERROR(GEOMEAN(AB124,AI124), MAX(AB124,AI124))</f>
        <v>7.6666666666666696</v>
      </c>
      <c r="V124" s="64">
        <f>IFERROR(GEOMEAN(AC124,AJ124), MAX(AC124,AJ124))</f>
        <v>121</v>
      </c>
      <c r="W124" s="61"/>
      <c r="X124" s="64">
        <f>[1]Health!F121</f>
        <v>9.5</v>
      </c>
      <c r="Y124" s="64">
        <f>'[1]Food Security'!F121</f>
        <v>8.1339712918660307</v>
      </c>
      <c r="Z124" s="64">
        <f>'[1]Macro Fiscal'!F121</f>
        <v>8.3305785123966896</v>
      </c>
      <c r="AA124" s="64">
        <f>'[1]Socioeconomic Vulnerability'!F121</f>
        <v>0</v>
      </c>
      <c r="AB124" s="64">
        <f>'[1]Natural Hazard'!F121</f>
        <v>7.6666666666666696</v>
      </c>
      <c r="AC124" s="64">
        <f>'[1]Fragility and Conflict'!F121</f>
        <v>121</v>
      </c>
      <c r="AD124" s="61"/>
      <c r="AE124" s="64">
        <f>[1]Health!G121</f>
        <v>10</v>
      </c>
      <c r="AF124" s="64">
        <f>'[1]Food Security'!G121</f>
        <v>3</v>
      </c>
      <c r="AG124" s="64">
        <f>'[1]Macro Fiscal'!G121</f>
        <v>0.45454545454544998</v>
      </c>
      <c r="AH124" s="64">
        <f>'[1]Socioeconomic Vulnerability'!G121</f>
        <v>0</v>
      </c>
      <c r="AI124" s="64">
        <f>'[1]Natural Hazard'!G121</f>
        <v>0</v>
      </c>
      <c r="AJ124" s="64">
        <f>'[1]Fragility and Conflict'!G121</f>
        <v>0</v>
      </c>
      <c r="AK124" s="60"/>
      <c r="AL124" s="66">
        <v>0</v>
      </c>
      <c r="AM124" s="66">
        <v>0.2</v>
      </c>
      <c r="AN124" s="60"/>
      <c r="AO124" s="60"/>
      <c r="AP124" s="60"/>
      <c r="AQ124" s="60"/>
      <c r="AR124" s="60"/>
      <c r="AS124" s="60"/>
      <c r="AT124" s="60"/>
      <c r="AU124" s="60"/>
      <c r="AV124" s="60"/>
      <c r="AW124" s="60"/>
      <c r="AX124" s="60"/>
      <c r="AY124" s="60"/>
      <c r="AZ124" s="60"/>
      <c r="BA124" s="60"/>
      <c r="BB124" s="60"/>
      <c r="BC124" s="60"/>
      <c r="BD124" s="60"/>
      <c r="BE124" s="60"/>
      <c r="BF124" s="60"/>
      <c r="BG124" s="60"/>
      <c r="BH124" s="60"/>
      <c r="BI124" s="60"/>
      <c r="BJ124" s="60"/>
      <c r="BK124" s="60"/>
      <c r="BL124" s="60"/>
      <c r="BM124" s="60"/>
      <c r="BN124" s="60"/>
      <c r="BO124" s="60"/>
      <c r="BP124" s="60"/>
      <c r="BQ124" s="60"/>
      <c r="BR124" s="60"/>
      <c r="BS124" s="60"/>
      <c r="BT124" s="60"/>
      <c r="BU124" s="60"/>
    </row>
    <row r="125" spans="1:73" s="67" customFormat="1" x14ac:dyDescent="0.2">
      <c r="A125" s="58">
        <v>120</v>
      </c>
      <c r="B125" s="59" t="s">
        <v>768</v>
      </c>
      <c r="C125" s="59" t="s">
        <v>769</v>
      </c>
      <c r="D125" s="60"/>
      <c r="E125" s="61">
        <f>COUNTIF($Q125:$V125,10)</f>
        <v>0</v>
      </c>
      <c r="F125" s="62">
        <f>E125</f>
        <v>0</v>
      </c>
      <c r="G125" s="61">
        <f>COUNTIF($X125:$AC125,10)</f>
        <v>1</v>
      </c>
      <c r="H125" s="63">
        <f>G125</f>
        <v>1</v>
      </c>
      <c r="I125" s="60">
        <f>COUNTIF($AE125:$AJ125,10)</f>
        <v>1</v>
      </c>
      <c r="J125" s="63">
        <f>I125</f>
        <v>1</v>
      </c>
      <c r="K125" s="63"/>
      <c r="L125" s="61">
        <f>COUNTIF($X125:$AC125,10)+COUNTIFS($X125:$AC125,"&gt;=7",$X125:$AC125,"&lt;10")/2</f>
        <v>1.5</v>
      </c>
      <c r="M125" s="63" t="str">
        <f>_xlfn.CONCAT(COUNTIF($X125:$AC125,10)+COUNTIFS($X125:$AC125,"&gt;=7",$X125:$AC125,"&lt;10")/2,REPT("*",COUNTBLANK($X125:$AC125)))</f>
        <v>1.5</v>
      </c>
      <c r="N125" s="60">
        <v>4</v>
      </c>
      <c r="O125" s="60">
        <v>4</v>
      </c>
      <c r="P125" s="60"/>
      <c r="Q125" s="64">
        <v>7.02</v>
      </c>
      <c r="R125" s="64">
        <v>1.79425837320574</v>
      </c>
      <c r="S125" s="64">
        <v>5.7786116322701702</v>
      </c>
      <c r="T125" s="64">
        <v>3.1428571428571401</v>
      </c>
      <c r="U125" s="64">
        <v>5.9489139474219304</v>
      </c>
      <c r="V125" s="64">
        <v>4.1333333333333302</v>
      </c>
      <c r="W125" s="61"/>
      <c r="X125" s="64">
        <f>[1]Health!F122</f>
        <v>7.02</v>
      </c>
      <c r="Y125" s="64">
        <f>'[1]Food Security'!F122</f>
        <v>1.79425837320574</v>
      </c>
      <c r="Z125" s="64">
        <f>'[1]Macro Fiscal'!F122</f>
        <v>2.8760330578512399</v>
      </c>
      <c r="AA125" s="64">
        <f>'[1]Socioeconomic Vulnerability'!F122</f>
        <v>10</v>
      </c>
      <c r="AB125" s="64">
        <f>'[1]Natural Hazard'!F122</f>
        <v>4.5</v>
      </c>
      <c r="AC125" s="64">
        <f>'[1]Fragility and Conflict'!F122</f>
        <v>122</v>
      </c>
      <c r="AD125" s="61"/>
      <c r="AE125" s="64">
        <f>[1]Health!G122</f>
        <v>10</v>
      </c>
      <c r="AF125" s="64">
        <f>'[1]Food Security'!G122</f>
        <v>3</v>
      </c>
      <c r="AG125" s="64">
        <f>'[1]Macro Fiscal'!G122</f>
        <v>5.4545454545454604</v>
      </c>
      <c r="AH125" s="64">
        <f>'[1]Socioeconomic Vulnerability'!G122</f>
        <v>0</v>
      </c>
      <c r="AI125" s="64">
        <f>'[1]Natural Hazard'!G122</f>
        <v>7</v>
      </c>
      <c r="AJ125" s="64">
        <f>'[1]Fragility and Conflict'!G122</f>
        <v>0</v>
      </c>
      <c r="AK125" s="60"/>
      <c r="AL125" s="66">
        <v>0</v>
      </c>
      <c r="AM125" s="66">
        <v>0.3</v>
      </c>
      <c r="AN125" s="60"/>
      <c r="AO125" s="60"/>
      <c r="AP125" s="60"/>
      <c r="AQ125" s="60"/>
      <c r="AR125" s="60"/>
      <c r="AS125" s="60"/>
      <c r="AT125" s="60"/>
      <c r="AU125" s="60"/>
      <c r="AV125" s="60"/>
      <c r="AW125" s="60"/>
      <c r="AX125" s="60"/>
      <c r="AY125" s="60"/>
      <c r="AZ125" s="60"/>
      <c r="BA125" s="60"/>
      <c r="BB125" s="60"/>
      <c r="BC125" s="60"/>
      <c r="BD125" s="60"/>
      <c r="BE125" s="60"/>
      <c r="BF125" s="60"/>
      <c r="BG125" s="60"/>
      <c r="BH125" s="60"/>
      <c r="BI125" s="60"/>
      <c r="BJ125" s="60"/>
      <c r="BK125" s="60"/>
      <c r="BL125" s="60"/>
      <c r="BM125" s="60"/>
      <c r="BN125" s="60"/>
      <c r="BO125" s="60"/>
      <c r="BP125" s="60"/>
      <c r="BQ125" s="60"/>
      <c r="BR125" s="60"/>
      <c r="BS125" s="60"/>
      <c r="BT125" s="60"/>
      <c r="BU125" s="60"/>
    </row>
    <row r="126" spans="1:73" s="67" customFormat="1" x14ac:dyDescent="0.2">
      <c r="A126" s="58">
        <v>121</v>
      </c>
      <c r="B126" s="59" t="s">
        <v>774</v>
      </c>
      <c r="C126" s="59" t="s">
        <v>775</v>
      </c>
      <c r="D126" s="60"/>
      <c r="E126" s="61">
        <f>COUNTIF($Q126:$V126,10)</f>
        <v>1</v>
      </c>
      <c r="F126" s="62">
        <f>E126</f>
        <v>1</v>
      </c>
      <c r="G126" s="61">
        <f>COUNTIF($X126:$AC126,10)</f>
        <v>2</v>
      </c>
      <c r="H126" s="63">
        <f>G126</f>
        <v>2</v>
      </c>
      <c r="I126" s="60">
        <f>COUNTIF($AE126:$AJ126,10)</f>
        <v>0</v>
      </c>
      <c r="J126" s="63">
        <f>I126</f>
        <v>0</v>
      </c>
      <c r="K126" s="63"/>
      <c r="L126" s="61">
        <f>COUNTIF($X126:$AC126,10)+COUNTIFS($X126:$AC126,"&gt;=7",$X126:$AC126,"&lt;10")/2</f>
        <v>3</v>
      </c>
      <c r="M126" s="63" t="str">
        <f>_xlfn.CONCAT(COUNTIF($X126:$AC126,10)+COUNTIFS($X126:$AC126,"&gt;=7",$X126:$AC126,"&lt;10")/2,REPT("*",COUNTBLANK($X126:$AC126)))</f>
        <v>3</v>
      </c>
      <c r="N126" s="60">
        <v>4</v>
      </c>
      <c r="O126" s="60">
        <v>4</v>
      </c>
      <c r="P126" s="60"/>
      <c r="Q126" s="64">
        <f>IFERROR(GEOMEAN(X126,AE126), MAX(X126,AE126))</f>
        <v>6.8299679017153156</v>
      </c>
      <c r="R126" s="64">
        <f>IFERROR(GEOMEAN(Y126,AF126), MAX(Y126,AF126))</f>
        <v>7.0710678118654755</v>
      </c>
      <c r="S126" s="64">
        <f>IFERROR(GEOMEAN(Z126,AG126), MAX(Z126,AG126))</f>
        <v>6.0426731935308835</v>
      </c>
      <c r="T126" s="64">
        <f>IFERROR(GEOMEAN(AA126,AH126), MAX(AA126,AH126))</f>
        <v>10</v>
      </c>
      <c r="U126" s="64">
        <f>IFERROR(GEOMEAN(AB126,AI126), MAX(AB126,AI126))</f>
        <v>5.8333333333333304</v>
      </c>
      <c r="V126" s="64">
        <f>IFERROR(GEOMEAN(AC126,AJ126), MAX(AC126,AJ126))</f>
        <v>123</v>
      </c>
      <c r="W126" s="61"/>
      <c r="X126" s="64">
        <f>[1]Health!F123</f>
        <v>9.25</v>
      </c>
      <c r="Y126" s="64">
        <f>'[1]Food Security'!F123</f>
        <v>10</v>
      </c>
      <c r="Z126" s="64">
        <f>'[1]Macro Fiscal'!F123</f>
        <v>8.0330578512396702</v>
      </c>
      <c r="AA126" s="64">
        <f>'[1]Socioeconomic Vulnerability'!F123</f>
        <v>10</v>
      </c>
      <c r="AB126" s="64">
        <f>'[1]Natural Hazard'!F123</f>
        <v>5.8333333333333304</v>
      </c>
      <c r="AC126" s="64">
        <f>'[1]Fragility and Conflict'!F123</f>
        <v>123</v>
      </c>
      <c r="AD126" s="61"/>
      <c r="AE126" s="64">
        <f>[1]Health!G123</f>
        <v>5.0430769230769199</v>
      </c>
      <c r="AF126" s="64">
        <f>'[1]Food Security'!G123</f>
        <v>5</v>
      </c>
      <c r="AG126" s="64">
        <f>'[1]Macro Fiscal'!G123</f>
        <v>4.5454545454545503</v>
      </c>
      <c r="AH126" s="64">
        <f>'[1]Socioeconomic Vulnerability'!G123</f>
        <v>0</v>
      </c>
      <c r="AI126" s="64">
        <f>'[1]Natural Hazard'!G123</f>
        <v>0</v>
      </c>
      <c r="AJ126" s="64">
        <f>'[1]Fragility and Conflict'!G123</f>
        <v>0</v>
      </c>
      <c r="AK126" s="60"/>
      <c r="AL126" s="66">
        <v>0</v>
      </c>
      <c r="AM126" s="66">
        <v>0.2</v>
      </c>
      <c r="AN126" s="60"/>
      <c r="AO126" s="60"/>
      <c r="AP126" s="60"/>
      <c r="AQ126" s="60"/>
      <c r="AR126" s="60"/>
      <c r="AS126" s="60"/>
      <c r="AT126" s="60"/>
      <c r="AU126" s="60"/>
      <c r="AV126" s="60"/>
      <c r="AW126" s="60"/>
      <c r="AX126" s="60"/>
      <c r="AY126" s="60"/>
      <c r="AZ126" s="60"/>
      <c r="BA126" s="60"/>
      <c r="BB126" s="60"/>
      <c r="BC126" s="60"/>
      <c r="BD126" s="60"/>
      <c r="BE126" s="60"/>
      <c r="BF126" s="60"/>
      <c r="BG126" s="60"/>
      <c r="BH126" s="60"/>
      <c r="BI126" s="60"/>
      <c r="BJ126" s="60"/>
      <c r="BK126" s="60"/>
      <c r="BL126" s="60"/>
      <c r="BM126" s="60"/>
      <c r="BN126" s="60"/>
      <c r="BO126" s="60"/>
      <c r="BP126" s="60"/>
      <c r="BQ126" s="60"/>
      <c r="BR126" s="60"/>
      <c r="BS126" s="60"/>
      <c r="BT126" s="60"/>
      <c r="BU126" s="60"/>
    </row>
    <row r="127" spans="1:73" s="67" customFormat="1" x14ac:dyDescent="0.2">
      <c r="A127" s="58">
        <v>122</v>
      </c>
      <c r="B127" s="59" t="s">
        <v>778</v>
      </c>
      <c r="C127" s="59" t="s">
        <v>779</v>
      </c>
      <c r="D127" s="60"/>
      <c r="E127" s="61">
        <f>COUNTIF($Q127:$V127,10)</f>
        <v>0</v>
      </c>
      <c r="F127" s="62">
        <f>E127</f>
        <v>0</v>
      </c>
      <c r="G127" s="61">
        <f>COUNTIF($X127:$AC127,10)</f>
        <v>0</v>
      </c>
      <c r="H127" s="63">
        <f>G127</f>
        <v>0</v>
      </c>
      <c r="I127" s="60">
        <f>COUNTIF($AE127:$AJ127,10)</f>
        <v>1</v>
      </c>
      <c r="J127" s="63">
        <f>I127</f>
        <v>1</v>
      </c>
      <c r="K127" s="63"/>
      <c r="L127" s="61">
        <f>COUNTIF($X127:$AC127,10)+COUNTIFS($X127:$AC127,"&gt;=7",$X127:$AC127,"&lt;10")/2</f>
        <v>0</v>
      </c>
      <c r="M127" s="63" t="str">
        <f>_xlfn.CONCAT(COUNTIF($X127:$AC127,10)+COUNTIFS($X127:$AC127,"&gt;=7",$X127:$AC127,"&lt;10")/2,REPT("*",COUNTBLANK($X127:$AC127)))</f>
        <v>0</v>
      </c>
      <c r="N127" s="60">
        <v>2</v>
      </c>
      <c r="O127" s="60">
        <v>2</v>
      </c>
      <c r="P127" s="60"/>
      <c r="Q127" s="64">
        <v>3</v>
      </c>
      <c r="R127" s="64">
        <v>2.3444976076555002</v>
      </c>
      <c r="S127" s="64">
        <v>2.2138836772983099</v>
      </c>
      <c r="T127" s="64">
        <v>2.8571428571428599</v>
      </c>
      <c r="U127" s="64">
        <v>7.3759576263387396</v>
      </c>
      <c r="V127" s="64">
        <v>6.4</v>
      </c>
      <c r="W127" s="61"/>
      <c r="X127" s="64">
        <f>[1]Health!F124</f>
        <v>3</v>
      </c>
      <c r="Y127" s="64">
        <f>'[1]Food Security'!F124</f>
        <v>2.3444976076555002</v>
      </c>
      <c r="Z127" s="64">
        <f>'[1]Macro Fiscal'!F124</f>
        <v>2.7933884297520701</v>
      </c>
      <c r="AA127" s="64">
        <f>'[1]Socioeconomic Vulnerability'!F124</f>
        <v>0</v>
      </c>
      <c r="AB127" s="64">
        <f>'[1]Natural Hazard'!F124</f>
        <v>6.5</v>
      </c>
      <c r="AC127" s="64">
        <f>'[1]Fragility and Conflict'!F124</f>
        <v>124</v>
      </c>
      <c r="AD127" s="61"/>
      <c r="AE127" s="64">
        <f>[1]Health!G124</f>
        <v>9.5238095238094793</v>
      </c>
      <c r="AF127" s="64">
        <f>'[1]Food Security'!G124</f>
        <v>5</v>
      </c>
      <c r="AG127" s="64">
        <f>'[1]Macro Fiscal'!G124</f>
        <v>1.5909090909090899</v>
      </c>
      <c r="AH127" s="64">
        <f>'[1]Socioeconomic Vulnerability'!G124</f>
        <v>0</v>
      </c>
      <c r="AI127" s="64">
        <f>'[1]Natural Hazard'!G124</f>
        <v>10</v>
      </c>
      <c r="AJ127" s="64">
        <f>'[1]Fragility and Conflict'!G124</f>
        <v>0</v>
      </c>
      <c r="AK127" s="60"/>
      <c r="AL127" s="66">
        <v>0</v>
      </c>
      <c r="AM127" s="66">
        <v>0.2</v>
      </c>
      <c r="AN127" s="60"/>
      <c r="AO127" s="60"/>
      <c r="AP127" s="60"/>
      <c r="AQ127" s="60"/>
      <c r="AR127" s="60"/>
      <c r="AS127" s="60"/>
      <c r="AT127" s="60"/>
      <c r="AU127" s="60"/>
      <c r="AV127" s="60"/>
      <c r="AW127" s="60"/>
      <c r="AX127" s="60"/>
      <c r="AY127" s="60"/>
      <c r="AZ127" s="60"/>
      <c r="BA127" s="60"/>
      <c r="BB127" s="60"/>
      <c r="BC127" s="60"/>
      <c r="BD127" s="60"/>
      <c r="BE127" s="60"/>
      <c r="BF127" s="60"/>
      <c r="BG127" s="60"/>
      <c r="BH127" s="60"/>
      <c r="BI127" s="60"/>
      <c r="BJ127" s="60"/>
      <c r="BK127" s="60"/>
      <c r="BL127" s="60"/>
      <c r="BM127" s="60"/>
      <c r="BN127" s="60"/>
      <c r="BO127" s="60"/>
      <c r="BP127" s="60"/>
      <c r="BQ127" s="60"/>
      <c r="BR127" s="60"/>
      <c r="BS127" s="60"/>
      <c r="BT127" s="60"/>
      <c r="BU127" s="60"/>
    </row>
    <row r="128" spans="1:73" s="67" customFormat="1" x14ac:dyDescent="0.2">
      <c r="A128" s="58">
        <v>123</v>
      </c>
      <c r="B128" s="59" t="s">
        <v>781</v>
      </c>
      <c r="C128" s="59" t="s">
        <v>782</v>
      </c>
      <c r="D128" s="60"/>
      <c r="E128" s="61">
        <f>COUNTIF($Q128:$V128,10)</f>
        <v>0</v>
      </c>
      <c r="F128" s="62">
        <f>E128</f>
        <v>0</v>
      </c>
      <c r="G128" s="61">
        <f>COUNTIF($X128:$AC128,10)</f>
        <v>0</v>
      </c>
      <c r="H128" s="63">
        <f>G128</f>
        <v>0</v>
      </c>
      <c r="I128" s="60">
        <f>COUNTIF($AE128:$AJ128,10)</f>
        <v>1</v>
      </c>
      <c r="J128" s="63">
        <f>I128</f>
        <v>1</v>
      </c>
      <c r="K128" s="63"/>
      <c r="L128" s="61">
        <f>COUNTIF($X128:$AC128,10)+COUNTIFS($X128:$AC128,"&gt;=7",$X128:$AC128,"&lt;10")/2</f>
        <v>1</v>
      </c>
      <c r="M128" s="63" t="str">
        <f>_xlfn.CONCAT(COUNTIF($X128:$AC128,10)+COUNTIFS($X128:$AC128,"&gt;=7",$X128:$AC128,"&lt;10")/2,REPT("*",COUNTBLANK($X128:$AC128)))</f>
        <v>1</v>
      </c>
      <c r="N128" s="60">
        <v>1.5</v>
      </c>
      <c r="O128" s="60">
        <v>1.5</v>
      </c>
      <c r="P128" s="60"/>
      <c r="Q128" s="64">
        <v>7.75</v>
      </c>
      <c r="R128" s="64">
        <v>9.2822966507177007</v>
      </c>
      <c r="S128" s="64">
        <v>3.8649155722326398</v>
      </c>
      <c r="T128" s="64">
        <v>8</v>
      </c>
      <c r="U128" s="64">
        <v>7.15484540552628</v>
      </c>
      <c r="V128" s="64">
        <v>7.2333333333333298</v>
      </c>
      <c r="W128" s="61"/>
      <c r="X128" s="64">
        <f>[1]Health!F125</f>
        <v>7.75</v>
      </c>
      <c r="Y128" s="64">
        <f>'[1]Food Security'!F125</f>
        <v>9.2822966507177096</v>
      </c>
      <c r="Z128" s="64">
        <f>'[1]Macro Fiscal'!F125</f>
        <v>4.9421487603305803</v>
      </c>
      <c r="AA128" s="64">
        <f>'[1]Socioeconomic Vulnerability'!F125</f>
        <v>0</v>
      </c>
      <c r="AB128" s="64">
        <f>'[1]Natural Hazard'!F125</f>
        <v>5.5</v>
      </c>
      <c r="AC128" s="64">
        <f>'[1]Fragility and Conflict'!F125</f>
        <v>125</v>
      </c>
      <c r="AD128" s="61"/>
      <c r="AE128" s="64">
        <f>[1]Health!G125</f>
        <v>5.2138461538461502</v>
      </c>
      <c r="AF128" s="64">
        <f>'[1]Food Security'!G125</f>
        <v>3</v>
      </c>
      <c r="AG128" s="64">
        <f>'[1]Macro Fiscal'!G125</f>
        <v>4.5454545454545503</v>
      </c>
      <c r="AH128" s="64">
        <f>'[1]Socioeconomic Vulnerability'!G125</f>
        <v>0</v>
      </c>
      <c r="AI128" s="64">
        <f>'[1]Natural Hazard'!G125</f>
        <v>10</v>
      </c>
      <c r="AJ128" s="64">
        <f>'[1]Fragility and Conflict'!G125</f>
        <v>0</v>
      </c>
      <c r="AK128" s="60"/>
      <c r="AL128" s="66">
        <v>0</v>
      </c>
      <c r="AM128" s="66">
        <v>0.3</v>
      </c>
      <c r="AN128" s="60"/>
      <c r="AO128" s="60"/>
      <c r="AP128" s="60"/>
      <c r="AQ128" s="60"/>
      <c r="AR128" s="60"/>
      <c r="AS128" s="60"/>
      <c r="AT128" s="60"/>
      <c r="AU128" s="60"/>
      <c r="AV128" s="60"/>
      <c r="AW128" s="60"/>
      <c r="AX128" s="60"/>
      <c r="AY128" s="60"/>
      <c r="AZ128" s="60"/>
      <c r="BA128" s="60"/>
      <c r="BB128" s="60"/>
      <c r="BC128" s="60"/>
      <c r="BD128" s="60"/>
      <c r="BE128" s="60"/>
      <c r="BF128" s="60"/>
      <c r="BG128" s="60"/>
      <c r="BH128" s="60"/>
      <c r="BI128" s="60"/>
      <c r="BJ128" s="60"/>
      <c r="BK128" s="60"/>
      <c r="BL128" s="60"/>
      <c r="BM128" s="60"/>
      <c r="BN128" s="60"/>
      <c r="BO128" s="60"/>
      <c r="BP128" s="60"/>
      <c r="BQ128" s="60"/>
      <c r="BR128" s="60"/>
      <c r="BS128" s="60"/>
      <c r="BT128" s="60"/>
      <c r="BU128" s="60"/>
    </row>
    <row r="129" spans="1:73" s="67" customFormat="1" x14ac:dyDescent="0.2">
      <c r="A129" s="58">
        <v>124</v>
      </c>
      <c r="B129" s="59" t="s">
        <v>786</v>
      </c>
      <c r="C129" s="59" t="s">
        <v>787</v>
      </c>
      <c r="D129" s="60"/>
      <c r="E129" s="61">
        <f>COUNTIF($Q129:$V129,10)</f>
        <v>1</v>
      </c>
      <c r="F129" s="62">
        <f>E129</f>
        <v>1</v>
      </c>
      <c r="G129" s="61">
        <f>COUNTIF($X129:$AC129,10)</f>
        <v>2</v>
      </c>
      <c r="H129" s="63">
        <f>G129</f>
        <v>2</v>
      </c>
      <c r="I129" s="60">
        <f>COUNTIF($AE129:$AJ129,10)</f>
        <v>2</v>
      </c>
      <c r="J129" s="63">
        <f>I129</f>
        <v>2</v>
      </c>
      <c r="K129" s="63"/>
      <c r="L129" s="61">
        <f>COUNTIF($X129:$AC129,10)+COUNTIFS($X129:$AC129,"&gt;=7",$X129:$AC129,"&lt;10")/2</f>
        <v>2.5</v>
      </c>
      <c r="M129" s="63" t="str">
        <f>_xlfn.CONCAT(COUNTIF($X129:$AC129,10)+COUNTIFS($X129:$AC129,"&gt;=7",$X129:$AC129,"&lt;10")/2,REPT("*",COUNTBLANK($X129:$AC129)))</f>
        <v>2.5</v>
      </c>
      <c r="N129" s="60">
        <v>3.5</v>
      </c>
      <c r="O129" s="60">
        <v>3.5</v>
      </c>
      <c r="P129" s="60"/>
      <c r="Q129" s="64">
        <f>IFERROR(GEOMEAN(X129,AE129), MAX(X129,AE129))</f>
        <v>9.7590007294853081</v>
      </c>
      <c r="R129" s="64">
        <f>IFERROR(GEOMEAN(Y129,AF129), MAX(Y129,AF129))</f>
        <v>10</v>
      </c>
      <c r="S129" s="64">
        <f>IFERROR(GEOMEAN(Z129,AG129), MAX(Z129,AG129))</f>
        <v>9.0909090909090899</v>
      </c>
      <c r="T129" s="64">
        <f>IFERROR(GEOMEAN(AA129,AH129), MAX(AA129,AH129))</f>
        <v>0</v>
      </c>
      <c r="U129" s="64">
        <f>IFERROR(GEOMEAN(AB129,AI129), MAX(AB129,AI129))</f>
        <v>5.8333333333333304</v>
      </c>
      <c r="V129" s="64">
        <f>IFERROR(GEOMEAN(AC129,AJ129), MAX(AC129,AJ129))</f>
        <v>35.496478698597699</v>
      </c>
      <c r="W129" s="61"/>
      <c r="X129" s="64">
        <f>[1]Health!F126</f>
        <v>10</v>
      </c>
      <c r="Y129" s="64">
        <f>'[1]Food Security'!F126</f>
        <v>10</v>
      </c>
      <c r="Z129" s="64">
        <f>'[1]Macro Fiscal'!F126</f>
        <v>9.0909090909090899</v>
      </c>
      <c r="AA129" s="64">
        <f>'[1]Socioeconomic Vulnerability'!F126</f>
        <v>0</v>
      </c>
      <c r="AB129" s="64">
        <f>'[1]Natural Hazard'!F126</f>
        <v>5.8333333333333304</v>
      </c>
      <c r="AC129" s="64">
        <f>'[1]Fragility and Conflict'!F126</f>
        <v>126</v>
      </c>
      <c r="AD129" s="61"/>
      <c r="AE129" s="64">
        <f>[1]Health!G126</f>
        <v>9.5238095238094793</v>
      </c>
      <c r="AF129" s="64">
        <f>'[1]Food Security'!G126</f>
        <v>10</v>
      </c>
      <c r="AG129" s="64">
        <f>'[1]Macro Fiscal'!G126</f>
        <v>0</v>
      </c>
      <c r="AH129" s="64">
        <f>'[1]Socioeconomic Vulnerability'!G126</f>
        <v>0</v>
      </c>
      <c r="AI129" s="64">
        <f>'[1]Natural Hazard'!G126</f>
        <v>0</v>
      </c>
      <c r="AJ129" s="64">
        <f>'[1]Fragility and Conflict'!G126</f>
        <v>10</v>
      </c>
      <c r="AK129" s="60"/>
      <c r="AL129" s="66">
        <v>0</v>
      </c>
      <c r="AM129" s="66">
        <v>0.2</v>
      </c>
      <c r="AN129" s="60"/>
      <c r="AO129" s="60"/>
      <c r="AP129" s="60"/>
      <c r="AQ129" s="60"/>
      <c r="AR129" s="60"/>
      <c r="AS129" s="60"/>
      <c r="AT129" s="60"/>
      <c r="AU129" s="60"/>
      <c r="AV129" s="60"/>
      <c r="AW129" s="60"/>
      <c r="AX129" s="60"/>
      <c r="AY129" s="60"/>
      <c r="AZ129" s="60"/>
      <c r="BA129" s="60"/>
      <c r="BB129" s="60"/>
      <c r="BC129" s="60"/>
      <c r="BD129" s="60"/>
      <c r="BE129" s="60"/>
      <c r="BF129" s="60"/>
      <c r="BG129" s="60"/>
      <c r="BH129" s="60"/>
      <c r="BI129" s="60"/>
      <c r="BJ129" s="60"/>
      <c r="BK129" s="60"/>
      <c r="BL129" s="60"/>
      <c r="BM129" s="60"/>
      <c r="BN129" s="60"/>
      <c r="BO129" s="60"/>
      <c r="BP129" s="60"/>
      <c r="BQ129" s="60"/>
      <c r="BR129" s="60"/>
      <c r="BS129" s="60"/>
      <c r="BT129" s="60"/>
      <c r="BU129" s="60"/>
    </row>
    <row r="130" spans="1:73" s="67" customFormat="1" x14ac:dyDescent="0.2">
      <c r="A130" s="58">
        <v>125</v>
      </c>
      <c r="B130" s="59" t="s">
        <v>793</v>
      </c>
      <c r="C130" s="59" t="s">
        <v>794</v>
      </c>
      <c r="D130" s="60"/>
      <c r="E130" s="61">
        <f>COUNTIF($Q130:$V130,10)</f>
        <v>1</v>
      </c>
      <c r="F130" s="62">
        <f>E130</f>
        <v>1</v>
      </c>
      <c r="G130" s="61">
        <f>COUNTIF($X130:$AC130,10)</f>
        <v>1</v>
      </c>
      <c r="H130" s="63">
        <f>G130</f>
        <v>1</v>
      </c>
      <c r="I130" s="60">
        <f>COUNTIF($AE130:$AJ130,10)</f>
        <v>2</v>
      </c>
      <c r="J130" s="63">
        <f>I130</f>
        <v>2</v>
      </c>
      <c r="K130" s="63"/>
      <c r="L130" s="61">
        <f>COUNTIF($X130:$AC130,10)+COUNTIFS($X130:$AC130,"&gt;=7",$X130:$AC130,"&lt;10")/2</f>
        <v>2.5</v>
      </c>
      <c r="M130" s="63" t="str">
        <f>_xlfn.CONCAT(COUNTIF($X130:$AC130,10)+COUNTIFS($X130:$AC130,"&gt;=7",$X130:$AC130,"&lt;10")/2,REPT("*",COUNTBLANK($X130:$AC130)))</f>
        <v>2.5</v>
      </c>
      <c r="N130" s="60">
        <v>3.5</v>
      </c>
      <c r="O130" s="60">
        <v>3.5</v>
      </c>
      <c r="P130" s="60"/>
      <c r="Q130" s="64">
        <v>9.75</v>
      </c>
      <c r="R130" s="64">
        <v>8.4928229665071804</v>
      </c>
      <c r="S130" s="64">
        <v>6.9043151969981196</v>
      </c>
      <c r="T130" s="64">
        <v>7.8571428571428603</v>
      </c>
      <c r="U130" s="64">
        <v>7.6683734341927901</v>
      </c>
      <c r="V130" s="64">
        <v>10</v>
      </c>
      <c r="W130" s="61"/>
      <c r="X130" s="64">
        <f>[1]Health!F127</f>
        <v>9.75</v>
      </c>
      <c r="Y130" s="64">
        <f>'[1]Food Security'!F127</f>
        <v>8.4928229665071804</v>
      </c>
      <c r="Z130" s="64">
        <f>'[1]Macro Fiscal'!F127</f>
        <v>9.60330578512397</v>
      </c>
      <c r="AA130" s="64">
        <f>'[1]Socioeconomic Vulnerability'!F127</f>
        <v>10</v>
      </c>
      <c r="AB130" s="64">
        <f>'[1]Natural Hazard'!F127</f>
        <v>5</v>
      </c>
      <c r="AC130" s="64">
        <f>'[1]Fragility and Conflict'!F127</f>
        <v>127</v>
      </c>
      <c r="AD130" s="61"/>
      <c r="AE130" s="64">
        <f>[1]Health!G127</f>
        <v>10</v>
      </c>
      <c r="AF130" s="64">
        <f>'[1]Food Security'!G127</f>
        <v>10</v>
      </c>
      <c r="AG130" s="64">
        <f>'[1]Macro Fiscal'!G127</f>
        <v>5.4545454545454701</v>
      </c>
      <c r="AH130" s="64">
        <f>'[1]Socioeconomic Vulnerability'!G127</f>
        <v>0</v>
      </c>
      <c r="AI130" s="64">
        <f>'[1]Natural Hazard'!G127</f>
        <v>0</v>
      </c>
      <c r="AJ130" s="64">
        <f>'[1]Fragility and Conflict'!G127</f>
        <v>6.0994717079986902</v>
      </c>
      <c r="AK130" s="60"/>
      <c r="AL130" s="66">
        <v>0</v>
      </c>
      <c r="AM130" s="66">
        <v>0.1</v>
      </c>
      <c r="AN130" s="60"/>
      <c r="AO130" s="60"/>
      <c r="AP130" s="60"/>
      <c r="AQ130" s="60"/>
      <c r="AR130" s="60"/>
      <c r="AS130" s="60"/>
      <c r="AT130" s="60"/>
      <c r="AU130" s="60"/>
      <c r="AV130" s="60"/>
      <c r="AW130" s="60"/>
      <c r="AX130" s="60"/>
      <c r="AY130" s="60"/>
      <c r="AZ130" s="60"/>
      <c r="BA130" s="60"/>
      <c r="BB130" s="60"/>
      <c r="BC130" s="60"/>
      <c r="BD130" s="60"/>
      <c r="BE130" s="60"/>
      <c r="BF130" s="60"/>
      <c r="BG130" s="60"/>
      <c r="BH130" s="60"/>
      <c r="BI130" s="60"/>
      <c r="BJ130" s="60"/>
      <c r="BK130" s="60"/>
      <c r="BL130" s="60"/>
      <c r="BM130" s="60"/>
      <c r="BN130" s="60"/>
      <c r="BO130" s="60"/>
      <c r="BP130" s="60"/>
      <c r="BQ130" s="60"/>
      <c r="BR130" s="60"/>
      <c r="BS130" s="60"/>
      <c r="BT130" s="60"/>
      <c r="BU130" s="60"/>
    </row>
    <row r="131" spans="1:73" s="67" customFormat="1" x14ac:dyDescent="0.2">
      <c r="A131" s="58">
        <v>126</v>
      </c>
      <c r="B131" s="59" t="s">
        <v>801</v>
      </c>
      <c r="C131" s="59" t="s">
        <v>802</v>
      </c>
      <c r="D131" s="60"/>
      <c r="E131" s="61">
        <f>COUNTIF($Q131:$V131,10)</f>
        <v>0</v>
      </c>
      <c r="F131" s="62">
        <f>E131</f>
        <v>0</v>
      </c>
      <c r="G131" s="61">
        <f>COUNTIF($X131:$AC131,10)</f>
        <v>0</v>
      </c>
      <c r="H131" s="63">
        <f>G131</f>
        <v>0</v>
      </c>
      <c r="I131" s="60">
        <f>COUNTIF($AE131:$AJ131,10)</f>
        <v>1</v>
      </c>
      <c r="J131" s="63">
        <f>I131</f>
        <v>1</v>
      </c>
      <c r="K131" s="63"/>
      <c r="L131" s="61">
        <f>COUNTIF($X131:$AC131,10)+COUNTIFS($X131:$AC131,"&gt;=7",$X131:$AC131,"&lt;10")/2</f>
        <v>1.5</v>
      </c>
      <c r="M131" s="63" t="str">
        <f>_xlfn.CONCAT(COUNTIF($X131:$AC131,10)+COUNTIFS($X131:$AC131,"&gt;=7",$X131:$AC131,"&lt;10")/2,REPT("*",COUNTBLANK($X131:$AC131)))</f>
        <v>1.5</v>
      </c>
      <c r="N131" s="60">
        <v>2</v>
      </c>
      <c r="O131" s="60">
        <v>2</v>
      </c>
      <c r="P131" s="60"/>
      <c r="Q131" s="64">
        <v>6.5</v>
      </c>
      <c r="R131" s="64">
        <v>6.7942583732057402</v>
      </c>
      <c r="S131" s="64">
        <v>8.0863039399624697</v>
      </c>
      <c r="T131" s="64">
        <v>7.1428571428571397</v>
      </c>
      <c r="U131" s="64">
        <v>9.3333333333333304</v>
      </c>
      <c r="V131" s="64">
        <v>8.56666666666667</v>
      </c>
      <c r="W131" s="61"/>
      <c r="X131" s="64">
        <f>[1]Health!F128</f>
        <v>6.5</v>
      </c>
      <c r="Y131" s="64">
        <f>'[1]Food Security'!F128</f>
        <v>6.7942583732057402</v>
      </c>
      <c r="Z131" s="64">
        <f>'[1]Macro Fiscal'!F128</f>
        <v>9.0743801652892593</v>
      </c>
      <c r="AA131" s="64">
        <f>'[1]Socioeconomic Vulnerability'!F128</f>
        <v>7</v>
      </c>
      <c r="AB131" s="64">
        <f>'[1]Natural Hazard'!F128</f>
        <v>9.3333333333333304</v>
      </c>
      <c r="AC131" s="64">
        <f>'[1]Fragility and Conflict'!F128</f>
        <v>128</v>
      </c>
      <c r="AD131" s="61"/>
      <c r="AE131" s="64">
        <f>[1]Health!G128</f>
        <v>10</v>
      </c>
      <c r="AF131" s="64">
        <f>'[1]Food Security'!G128</f>
        <v>3</v>
      </c>
      <c r="AG131" s="64">
        <f>'[1]Macro Fiscal'!G128</f>
        <v>5.2272727272727302</v>
      </c>
      <c r="AH131" s="64">
        <f>'[1]Socioeconomic Vulnerability'!G128</f>
        <v>0</v>
      </c>
      <c r="AI131" s="64">
        <f>'[1]Natural Hazard'!G128</f>
        <v>0</v>
      </c>
      <c r="AJ131" s="64">
        <f>'[1]Fragility and Conflict'!G128</f>
        <v>0</v>
      </c>
      <c r="AK131" s="60"/>
      <c r="AL131" s="66">
        <v>0</v>
      </c>
      <c r="AM131" s="66">
        <v>0.2</v>
      </c>
      <c r="AN131" s="60"/>
      <c r="AO131" s="60"/>
      <c r="AP131" s="60"/>
      <c r="AQ131" s="60"/>
      <c r="AR131" s="60"/>
      <c r="AS131" s="60"/>
      <c r="AT131" s="60"/>
      <c r="AU131" s="60"/>
      <c r="AV131" s="60"/>
      <c r="AW131" s="60"/>
      <c r="AX131" s="60"/>
      <c r="AY131" s="60"/>
      <c r="AZ131" s="60"/>
      <c r="BA131" s="60"/>
      <c r="BB131" s="60"/>
      <c r="BC131" s="60"/>
      <c r="BD131" s="60"/>
      <c r="BE131" s="60"/>
      <c r="BF131" s="60"/>
      <c r="BG131" s="60"/>
      <c r="BH131" s="60"/>
      <c r="BI131" s="60"/>
      <c r="BJ131" s="60"/>
      <c r="BK131" s="60"/>
      <c r="BL131" s="60"/>
      <c r="BM131" s="60"/>
      <c r="BN131" s="60"/>
      <c r="BO131" s="60"/>
      <c r="BP131" s="60"/>
      <c r="BQ131" s="60"/>
      <c r="BR131" s="60"/>
      <c r="BS131" s="60"/>
      <c r="BT131" s="60"/>
      <c r="BU131" s="60"/>
    </row>
    <row r="132" spans="1:73" s="67" customFormat="1" x14ac:dyDescent="0.2">
      <c r="A132" s="58">
        <v>127</v>
      </c>
      <c r="B132" s="59" t="s">
        <v>805</v>
      </c>
      <c r="C132" s="59" t="s">
        <v>806</v>
      </c>
      <c r="D132" s="60"/>
      <c r="E132" s="61">
        <f>COUNTIF($Q132:$V132,10)</f>
        <v>0</v>
      </c>
      <c r="F132" s="62">
        <f>E132</f>
        <v>0</v>
      </c>
      <c r="G132" s="61">
        <f>COUNTIF($X132:$AC132,10)</f>
        <v>0</v>
      </c>
      <c r="H132" s="63">
        <f>G132</f>
        <v>0</v>
      </c>
      <c r="I132" s="60">
        <f>COUNTIF($AE132:$AJ132,10)</f>
        <v>0</v>
      </c>
      <c r="J132" s="63">
        <f>I132</f>
        <v>0</v>
      </c>
      <c r="K132" s="63"/>
      <c r="L132" s="61">
        <f>COUNTIF($X132:$AC132,10)+COUNTIFS($X132:$AC132,"&gt;=7",$X132:$AC132,"&lt;10")/2</f>
        <v>0.5</v>
      </c>
      <c r="M132" s="63" t="str">
        <f>_xlfn.CONCAT(COUNTIF($X132:$AC132,10)+COUNTIFS($X132:$AC132,"&gt;=7",$X132:$AC132,"&lt;10")/2,REPT("*",COUNTBLANK($X132:$AC132)))</f>
        <v>0.5</v>
      </c>
      <c r="N132" s="60">
        <v>1</v>
      </c>
      <c r="O132" s="60">
        <v>1</v>
      </c>
      <c r="P132" s="60"/>
      <c r="Q132" s="64">
        <v>1.25</v>
      </c>
      <c r="R132" s="64">
        <v>0</v>
      </c>
      <c r="S132" s="64">
        <v>2.3264540337711099</v>
      </c>
      <c r="T132" s="64">
        <v>0.28571428571428598</v>
      </c>
      <c r="U132" s="64">
        <v>6.4863948349011604</v>
      </c>
      <c r="V132" s="64">
        <v>2.5444444444444398</v>
      </c>
      <c r="W132" s="61"/>
      <c r="X132" s="64">
        <f>[1]Health!F129</f>
        <v>1.25</v>
      </c>
      <c r="Y132" s="64">
        <f>'[1]Food Security'!F129</f>
        <v>0</v>
      </c>
      <c r="Z132" s="64">
        <f>'[1]Macro Fiscal'!F129</f>
        <v>0.87603305785123797</v>
      </c>
      <c r="AA132" s="64">
        <f>'[1]Socioeconomic Vulnerability'!F129</f>
        <v>7</v>
      </c>
      <c r="AB132" s="64">
        <f>'[1]Natural Hazard'!F129</f>
        <v>1.6666666666666701</v>
      </c>
      <c r="AC132" s="64">
        <f>'[1]Fragility and Conflict'!F129</f>
        <v>129</v>
      </c>
      <c r="AD132" s="61"/>
      <c r="AE132" s="64">
        <f>[1]Health!G129</f>
        <v>9.2316400000000005</v>
      </c>
      <c r="AF132" s="64">
        <f>'[1]Food Security'!G129</f>
        <v>3</v>
      </c>
      <c r="AG132" s="64">
        <f>'[1]Macro Fiscal'!G129</f>
        <v>5.4545454545454604</v>
      </c>
      <c r="AH132" s="64">
        <f>'[1]Socioeconomic Vulnerability'!G129</f>
        <v>0</v>
      </c>
      <c r="AI132" s="64">
        <f>'[1]Natural Hazard'!G129</f>
        <v>0</v>
      </c>
      <c r="AJ132" s="64">
        <f>'[1]Fragility and Conflict'!G129</f>
        <v>0</v>
      </c>
      <c r="AK132" s="60"/>
      <c r="AL132" s="66">
        <v>0</v>
      </c>
      <c r="AM132" s="66">
        <v>0.4</v>
      </c>
      <c r="AN132" s="60"/>
      <c r="AO132" s="60"/>
      <c r="AP132" s="60"/>
      <c r="AQ132" s="60"/>
      <c r="AR132" s="60"/>
      <c r="AS132" s="60"/>
      <c r="AT132" s="60"/>
      <c r="AU132" s="60"/>
      <c r="AV132" s="60"/>
      <c r="AW132" s="60"/>
      <c r="AX132" s="60"/>
      <c r="AY132" s="60"/>
      <c r="AZ132" s="60"/>
      <c r="BA132" s="60"/>
      <c r="BB132" s="60"/>
      <c r="BC132" s="60"/>
      <c r="BD132" s="60"/>
      <c r="BE132" s="60"/>
      <c r="BF132" s="60"/>
      <c r="BG132" s="60"/>
      <c r="BH132" s="60"/>
      <c r="BI132" s="60"/>
      <c r="BJ132" s="60"/>
      <c r="BK132" s="60"/>
      <c r="BL132" s="60"/>
      <c r="BM132" s="60"/>
      <c r="BN132" s="60"/>
      <c r="BO132" s="60"/>
      <c r="BP132" s="60"/>
      <c r="BQ132" s="60"/>
      <c r="BR132" s="60"/>
      <c r="BS132" s="60"/>
      <c r="BT132" s="60"/>
      <c r="BU132" s="60"/>
    </row>
    <row r="133" spans="1:73" s="67" customFormat="1" x14ac:dyDescent="0.2">
      <c r="A133" s="58">
        <v>128</v>
      </c>
      <c r="B133" s="59" t="s">
        <v>810</v>
      </c>
      <c r="C133" s="59" t="s">
        <v>811</v>
      </c>
      <c r="D133" s="60"/>
      <c r="E133" s="61">
        <f>COUNTIF($Q133:$V133,10)</f>
        <v>0</v>
      </c>
      <c r="F133" s="62">
        <f>E133</f>
        <v>0</v>
      </c>
      <c r="G133" s="61">
        <f>COUNTIF($X133:$AC133,10)</f>
        <v>0</v>
      </c>
      <c r="H133" s="63">
        <f>G133</f>
        <v>0</v>
      </c>
      <c r="I133" s="60">
        <f>COUNTIF($AE133:$AJ133,10)</f>
        <v>0</v>
      </c>
      <c r="J133" s="63">
        <f>I133</f>
        <v>0</v>
      </c>
      <c r="K133" s="63"/>
      <c r="L133" s="61">
        <f>COUNTIF($X133:$AC133,10)+COUNTIFS($X133:$AC133,"&gt;=7",$X133:$AC133,"&lt;10")/2</f>
        <v>0</v>
      </c>
      <c r="M133" s="63" t="str">
        <f>_xlfn.CONCAT(COUNTIF($X133:$AC133,10)+COUNTIFS($X133:$AC133,"&gt;=7",$X133:$AC133,"&lt;10")/2,REPT("*",COUNTBLANK($X133:$AC133)))</f>
        <v>0</v>
      </c>
      <c r="N133" s="60">
        <v>1</v>
      </c>
      <c r="O133" s="60">
        <v>1</v>
      </c>
      <c r="P133" s="60"/>
      <c r="Q133" s="64">
        <v>1.08</v>
      </c>
      <c r="R133" s="64">
        <v>0</v>
      </c>
      <c r="S133" s="64">
        <v>0.97560975609755995</v>
      </c>
      <c r="T133" s="64">
        <v>0.28571428571428598</v>
      </c>
      <c r="U133" s="64">
        <v>5.4714369025613498</v>
      </c>
      <c r="V133" s="64">
        <v>1.8</v>
      </c>
      <c r="W133" s="61"/>
      <c r="X133" s="64">
        <f>[1]Health!F130</f>
        <v>1.08</v>
      </c>
      <c r="Y133" s="64">
        <f>'[1]Food Security'!F130</f>
        <v>0</v>
      </c>
      <c r="Z133" s="64">
        <f>'[1]Macro Fiscal'!F130</f>
        <v>0.26446280991735399</v>
      </c>
      <c r="AA133" s="64">
        <f>'[1]Socioeconomic Vulnerability'!F130</f>
        <v>0</v>
      </c>
      <c r="AB133" s="64">
        <f>'[1]Natural Hazard'!F130</f>
        <v>0</v>
      </c>
      <c r="AC133" s="64">
        <f>'[1]Fragility and Conflict'!F130</f>
        <v>130</v>
      </c>
      <c r="AD133" s="61"/>
      <c r="AE133" s="64">
        <f>[1]Health!G130</f>
        <v>9.5238095238094793</v>
      </c>
      <c r="AF133" s="64">
        <f>'[1]Food Security'!G130</f>
        <v>3</v>
      </c>
      <c r="AG133" s="64">
        <f>'[1]Macro Fiscal'!G130</f>
        <v>6.3636363636363704</v>
      </c>
      <c r="AH133" s="64">
        <f>'[1]Socioeconomic Vulnerability'!G130</f>
        <v>0</v>
      </c>
      <c r="AI133" s="64">
        <f>'[1]Natural Hazard'!G130</f>
        <v>0</v>
      </c>
      <c r="AJ133" s="64">
        <f>'[1]Fragility and Conflict'!G130</f>
        <v>0</v>
      </c>
      <c r="AK133" s="60"/>
      <c r="AL133" s="66">
        <v>0</v>
      </c>
      <c r="AM133" s="66">
        <v>0.5</v>
      </c>
      <c r="AN133" s="60"/>
      <c r="AO133" s="60"/>
      <c r="AP133" s="60"/>
      <c r="AQ133" s="60"/>
      <c r="AR133" s="60"/>
      <c r="AS133" s="60"/>
      <c r="AT133" s="60"/>
      <c r="AU133" s="60"/>
      <c r="AV133" s="60"/>
      <c r="AW133" s="60"/>
      <c r="AX133" s="60"/>
      <c r="AY133" s="60"/>
      <c r="AZ133" s="60"/>
      <c r="BA133" s="60"/>
      <c r="BB133" s="60"/>
      <c r="BC133" s="60"/>
      <c r="BD133" s="60"/>
      <c r="BE133" s="60"/>
      <c r="BF133" s="60"/>
      <c r="BG133" s="60"/>
      <c r="BH133" s="60"/>
      <c r="BI133" s="60"/>
      <c r="BJ133" s="60"/>
      <c r="BK133" s="60"/>
      <c r="BL133" s="60"/>
      <c r="BM133" s="60"/>
      <c r="BN133" s="60"/>
      <c r="BO133" s="60"/>
      <c r="BP133" s="60"/>
      <c r="BQ133" s="60"/>
      <c r="BR133" s="60"/>
      <c r="BS133" s="60"/>
      <c r="BT133" s="60"/>
      <c r="BU133" s="60"/>
    </row>
    <row r="134" spans="1:73" s="67" customFormat="1" x14ac:dyDescent="0.2">
      <c r="A134" s="58">
        <v>129</v>
      </c>
      <c r="B134" s="59" t="s">
        <v>814</v>
      </c>
      <c r="C134" s="59" t="s">
        <v>815</v>
      </c>
      <c r="D134" s="60"/>
      <c r="E134" s="61">
        <f>COUNTIF($Q134:$V134,10)</f>
        <v>0</v>
      </c>
      <c r="F134" s="62">
        <f>E134</f>
        <v>0</v>
      </c>
      <c r="G134" s="61">
        <f>COUNTIF($X134:$AC134,10)</f>
        <v>0</v>
      </c>
      <c r="H134" s="63">
        <f>G134</f>
        <v>0</v>
      </c>
      <c r="I134" s="60">
        <f>COUNTIF($AE134:$AJ134,10)</f>
        <v>0</v>
      </c>
      <c r="J134" s="63">
        <f>I134</f>
        <v>0</v>
      </c>
      <c r="K134" s="63"/>
      <c r="L134" s="61">
        <f>COUNTIF($X134:$AC134,10)+COUNTIFS($X134:$AC134,"&gt;=7",$X134:$AC134,"&lt;10")/2</f>
        <v>2</v>
      </c>
      <c r="M134" s="63" t="str">
        <f>_xlfn.CONCAT(COUNTIF($X134:$AC134,10)+COUNTIFS($X134:$AC134,"&gt;=7",$X134:$AC134,"&lt;10")/2,REPT("*",COUNTBLANK($X134:$AC134)))</f>
        <v>2</v>
      </c>
      <c r="N134" s="60">
        <v>1</v>
      </c>
      <c r="O134" s="60">
        <v>1</v>
      </c>
      <c r="P134" s="60"/>
      <c r="Q134" s="64">
        <v>7.75</v>
      </c>
      <c r="R134" s="64">
        <v>9.0430622009569408</v>
      </c>
      <c r="S134" s="64">
        <v>6.0037523452157604</v>
      </c>
      <c r="T134" s="64">
        <v>8.2857142857142794</v>
      </c>
      <c r="U134" s="64">
        <v>8.5336841842253897</v>
      </c>
      <c r="V134" s="64">
        <v>9.1777777777777807</v>
      </c>
      <c r="W134" s="61"/>
      <c r="X134" s="64">
        <f>[1]Health!F131</f>
        <v>7.75</v>
      </c>
      <c r="Y134" s="64">
        <f>'[1]Food Security'!F131</f>
        <v>9.0430622009569408</v>
      </c>
      <c r="Z134" s="64">
        <f>'[1]Macro Fiscal'!F131</f>
        <v>7.0743801652892602</v>
      </c>
      <c r="AA134" s="64">
        <f>'[1]Socioeconomic Vulnerability'!F131</f>
        <v>0</v>
      </c>
      <c r="AB134" s="64">
        <f>'[1]Natural Hazard'!F131</f>
        <v>8</v>
      </c>
      <c r="AC134" s="64">
        <f>'[1]Fragility and Conflict'!F131</f>
        <v>131</v>
      </c>
      <c r="AD134" s="61"/>
      <c r="AE134" s="64">
        <f>[1]Health!G131</f>
        <v>4.7619047619047397</v>
      </c>
      <c r="AF134" s="64">
        <f>'[1]Food Security'!G131</f>
        <v>3</v>
      </c>
      <c r="AG134" s="64">
        <f>'[1]Macro Fiscal'!G131</f>
        <v>5.2272727272727302</v>
      </c>
      <c r="AH134" s="64">
        <f>'[1]Socioeconomic Vulnerability'!G131</f>
        <v>0</v>
      </c>
      <c r="AI134" s="64">
        <f>'[1]Natural Hazard'!G131</f>
        <v>0</v>
      </c>
      <c r="AJ134" s="64">
        <f>'[1]Fragility and Conflict'!G131</f>
        <v>0</v>
      </c>
      <c r="AK134" s="60"/>
      <c r="AL134" s="66">
        <v>0</v>
      </c>
      <c r="AM134" s="66">
        <v>0.3</v>
      </c>
      <c r="AN134" s="60"/>
      <c r="AO134" s="60"/>
      <c r="AP134" s="60"/>
      <c r="AQ134" s="60"/>
      <c r="AR134" s="60"/>
      <c r="AS134" s="60"/>
      <c r="AT134" s="60"/>
      <c r="AU134" s="60"/>
      <c r="AV134" s="60"/>
      <c r="AW134" s="60"/>
      <c r="AX134" s="60"/>
      <c r="AY134" s="60"/>
      <c r="AZ134" s="60"/>
      <c r="BA134" s="60"/>
      <c r="BB134" s="60"/>
      <c r="BC134" s="60"/>
      <c r="BD134" s="60"/>
      <c r="BE134" s="60"/>
      <c r="BF134" s="60"/>
      <c r="BG134" s="60"/>
      <c r="BH134" s="60"/>
      <c r="BI134" s="60"/>
      <c r="BJ134" s="60"/>
      <c r="BK134" s="60"/>
      <c r="BL134" s="60"/>
      <c r="BM134" s="60"/>
      <c r="BN134" s="60"/>
      <c r="BO134" s="60"/>
      <c r="BP134" s="60"/>
      <c r="BQ134" s="60"/>
      <c r="BR134" s="60"/>
      <c r="BS134" s="60"/>
      <c r="BT134" s="60"/>
      <c r="BU134" s="60"/>
    </row>
    <row r="135" spans="1:73" s="67" customFormat="1" x14ac:dyDescent="0.2">
      <c r="A135" s="58">
        <v>130</v>
      </c>
      <c r="B135" s="59" t="s">
        <v>819</v>
      </c>
      <c r="C135" s="59" t="s">
        <v>820</v>
      </c>
      <c r="D135" s="60"/>
      <c r="E135" s="61">
        <f>COUNTIF($Q135:$V135,10)</f>
        <v>0</v>
      </c>
      <c r="F135" s="62">
        <f>E135</f>
        <v>0</v>
      </c>
      <c r="G135" s="61">
        <f>COUNTIF($X135:$AC135,10)</f>
        <v>0</v>
      </c>
      <c r="H135" s="63">
        <f>G135</f>
        <v>0</v>
      </c>
      <c r="I135" s="60">
        <f>COUNTIF($AE135:$AJ135,10)</f>
        <v>1</v>
      </c>
      <c r="J135" s="63">
        <f>I135</f>
        <v>1</v>
      </c>
      <c r="K135" s="63"/>
      <c r="L135" s="61">
        <f>COUNTIF($X135:$AC135,10)+COUNTIFS($X135:$AC135,"&gt;=7",$X135:$AC135,"&lt;10")/2</f>
        <v>0.5</v>
      </c>
      <c r="M135" s="63" t="str">
        <f>_xlfn.CONCAT(COUNTIF($X135:$AC135,10)+COUNTIFS($X135:$AC135,"&gt;=7",$X135:$AC135,"&lt;10")/2,REPT("*",COUNTBLANK($X135:$AC135)))</f>
        <v>0.5</v>
      </c>
      <c r="N135" s="60">
        <v>1</v>
      </c>
      <c r="O135" s="60">
        <v>1</v>
      </c>
      <c r="P135" s="60"/>
      <c r="Q135" s="64">
        <v>9.84</v>
      </c>
      <c r="R135" s="68"/>
      <c r="S135" s="64">
        <v>9.8311444652908104</v>
      </c>
      <c r="T135" s="64">
        <v>6</v>
      </c>
      <c r="U135" s="64">
        <v>4.2459533239123797</v>
      </c>
      <c r="V135" s="68"/>
      <c r="W135" s="61"/>
      <c r="X135" s="64">
        <f>[1]Health!F132</f>
        <v>9.84</v>
      </c>
      <c r="Y135" s="64">
        <f>'[1]Food Security'!F132</f>
        <v>0</v>
      </c>
      <c r="Z135" s="64">
        <f>'[1]Macro Fiscal'!F132</f>
        <v>0</v>
      </c>
      <c r="AA135" s="64">
        <f>'[1]Socioeconomic Vulnerability'!F132</f>
        <v>0</v>
      </c>
      <c r="AB135" s="64">
        <f>'[1]Natural Hazard'!F132</f>
        <v>3</v>
      </c>
      <c r="AC135" s="64">
        <f>'[1]Fragility and Conflict'!F132</f>
        <v>132</v>
      </c>
      <c r="AD135" s="61"/>
      <c r="AE135" s="64">
        <f>[1]Health!G132</f>
        <v>0</v>
      </c>
      <c r="AF135" s="64">
        <f>'[1]Food Security'!G132</f>
        <v>0</v>
      </c>
      <c r="AG135" s="64">
        <f>'[1]Macro Fiscal'!G132</f>
        <v>0</v>
      </c>
      <c r="AH135" s="64">
        <f>'[1]Socioeconomic Vulnerability'!G132</f>
        <v>0</v>
      </c>
      <c r="AI135" s="64">
        <f>'[1]Natural Hazard'!G132</f>
        <v>10</v>
      </c>
      <c r="AJ135" s="64">
        <f>'[1]Fragility and Conflict'!G132</f>
        <v>0</v>
      </c>
      <c r="AK135" s="60"/>
      <c r="AL135" s="66">
        <v>0.4</v>
      </c>
      <c r="AM135" s="66">
        <v>0.8</v>
      </c>
      <c r="AN135" s="60"/>
      <c r="AO135" s="60"/>
      <c r="AP135" s="60"/>
      <c r="AQ135" s="60"/>
      <c r="AR135" s="60"/>
      <c r="AS135" s="60"/>
      <c r="AT135" s="60"/>
      <c r="AU135" s="60"/>
      <c r="AV135" s="60"/>
      <c r="AW135" s="60"/>
      <c r="AX135" s="60"/>
      <c r="AY135" s="60"/>
      <c r="AZ135" s="60"/>
      <c r="BA135" s="60"/>
      <c r="BB135" s="60"/>
      <c r="BC135" s="60"/>
      <c r="BD135" s="60"/>
      <c r="BE135" s="60"/>
      <c r="BF135" s="60"/>
      <c r="BG135" s="60"/>
      <c r="BH135" s="60"/>
      <c r="BI135" s="60"/>
      <c r="BJ135" s="60"/>
      <c r="BK135" s="60"/>
      <c r="BL135" s="60"/>
      <c r="BM135" s="60"/>
      <c r="BN135" s="60"/>
      <c r="BO135" s="60"/>
      <c r="BP135" s="60"/>
      <c r="BQ135" s="60"/>
      <c r="BR135" s="60"/>
      <c r="BS135" s="60"/>
      <c r="BT135" s="60"/>
      <c r="BU135" s="60"/>
    </row>
    <row r="136" spans="1:73" s="67" customFormat="1" x14ac:dyDescent="0.2">
      <c r="A136" s="58">
        <v>131</v>
      </c>
      <c r="B136" s="59" t="s">
        <v>821</v>
      </c>
      <c r="C136" s="59" t="s">
        <v>822</v>
      </c>
      <c r="D136" s="60"/>
      <c r="E136" s="61">
        <f>COUNTIF($Q136:$V136,10)</f>
        <v>0</v>
      </c>
      <c r="F136" s="62">
        <f>E136</f>
        <v>0</v>
      </c>
      <c r="G136" s="61">
        <f>COUNTIF($X136:$AC136,10)</f>
        <v>0</v>
      </c>
      <c r="H136" s="63">
        <f>G136</f>
        <v>0</v>
      </c>
      <c r="I136" s="60">
        <f>COUNTIF($AE136:$AJ136,10)</f>
        <v>1</v>
      </c>
      <c r="J136" s="63">
        <f>I136</f>
        <v>1</v>
      </c>
      <c r="K136" s="63"/>
      <c r="L136" s="61">
        <f>COUNTIF($X136:$AC136,10)+COUNTIFS($X136:$AC136,"&gt;=7",$X136:$AC136,"&lt;10")/2</f>
        <v>0.5</v>
      </c>
      <c r="M136" s="63" t="str">
        <f>_xlfn.CONCAT(COUNTIF($X136:$AC136,10)+COUNTIFS($X136:$AC136,"&gt;=7",$X136:$AC136,"&lt;10")/2,REPT("*",COUNTBLANK($X136:$AC136)))</f>
        <v>0.5</v>
      </c>
      <c r="N136" s="60">
        <v>2</v>
      </c>
      <c r="O136" s="60">
        <v>2</v>
      </c>
      <c r="P136" s="60"/>
      <c r="Q136" s="64">
        <v>3.2</v>
      </c>
      <c r="R136" s="64">
        <v>1.84210526315789</v>
      </c>
      <c r="S136" s="64">
        <v>3.9774859287054398</v>
      </c>
      <c r="T136" s="64">
        <v>0.71428571428571397</v>
      </c>
      <c r="U136" s="64">
        <v>8.2775327988481102</v>
      </c>
      <c r="V136" s="64">
        <v>1.98888888888889</v>
      </c>
      <c r="W136" s="61"/>
      <c r="X136" s="64">
        <f>[1]Health!F133</f>
        <v>3.2</v>
      </c>
      <c r="Y136" s="64">
        <f>'[1]Food Security'!F133</f>
        <v>1.84210526315789</v>
      </c>
      <c r="Z136" s="64">
        <f>'[1]Macro Fiscal'!F133</f>
        <v>0.36363636363636298</v>
      </c>
      <c r="AA136" s="64">
        <f>'[1]Socioeconomic Vulnerability'!F133</f>
        <v>7</v>
      </c>
      <c r="AB136" s="64">
        <f>'[1]Natural Hazard'!F133</f>
        <v>5.8333333333333304</v>
      </c>
      <c r="AC136" s="64">
        <f>'[1]Fragility and Conflict'!F133</f>
        <v>133</v>
      </c>
      <c r="AD136" s="61"/>
      <c r="AE136" s="64">
        <f>[1]Health!G133</f>
        <v>10</v>
      </c>
      <c r="AF136" s="64">
        <f>'[1]Food Security'!G133</f>
        <v>3</v>
      </c>
      <c r="AG136" s="64">
        <f>'[1]Macro Fiscal'!G133</f>
        <v>0</v>
      </c>
      <c r="AH136" s="64">
        <f>'[1]Socioeconomic Vulnerability'!G133</f>
        <v>0</v>
      </c>
      <c r="AI136" s="64">
        <f>'[1]Natural Hazard'!G133</f>
        <v>0</v>
      </c>
      <c r="AJ136" s="64">
        <f>'[1]Fragility and Conflict'!G133</f>
        <v>0</v>
      </c>
      <c r="AK136" s="60"/>
      <c r="AL136" s="66">
        <v>0</v>
      </c>
      <c r="AM136" s="66">
        <v>0.5</v>
      </c>
      <c r="AN136" s="60"/>
      <c r="AO136" s="60"/>
      <c r="AP136" s="60"/>
      <c r="AQ136" s="60"/>
      <c r="AR136" s="60"/>
      <c r="AS136" s="60"/>
      <c r="AT136" s="60"/>
      <c r="AU136" s="60"/>
      <c r="AV136" s="60"/>
      <c r="AW136" s="60"/>
      <c r="AX136" s="60"/>
      <c r="AY136" s="60"/>
      <c r="AZ136" s="60"/>
      <c r="BA136" s="60"/>
      <c r="BB136" s="60"/>
      <c r="BC136" s="60"/>
      <c r="BD136" s="60"/>
      <c r="BE136" s="60"/>
      <c r="BF136" s="60"/>
      <c r="BG136" s="60"/>
      <c r="BH136" s="60"/>
      <c r="BI136" s="60"/>
      <c r="BJ136" s="60"/>
      <c r="BK136" s="60"/>
      <c r="BL136" s="60"/>
      <c r="BM136" s="60"/>
      <c r="BN136" s="60"/>
      <c r="BO136" s="60"/>
      <c r="BP136" s="60"/>
      <c r="BQ136" s="60"/>
      <c r="BR136" s="60"/>
      <c r="BS136" s="60"/>
      <c r="BT136" s="60"/>
      <c r="BU136" s="60"/>
    </row>
    <row r="137" spans="1:73" s="67" customFormat="1" x14ac:dyDescent="0.2">
      <c r="A137" s="58">
        <v>132</v>
      </c>
      <c r="B137" s="59" t="s">
        <v>825</v>
      </c>
      <c r="C137" s="59" t="s">
        <v>826</v>
      </c>
      <c r="D137" s="60"/>
      <c r="E137" s="61">
        <f>COUNTIF($Q137:$V137,10)</f>
        <v>0</v>
      </c>
      <c r="F137" s="62">
        <f>E137</f>
        <v>0</v>
      </c>
      <c r="G137" s="61">
        <f>COUNTIF($X137:$AC137,10)</f>
        <v>0</v>
      </c>
      <c r="H137" s="63">
        <f>G137</f>
        <v>0</v>
      </c>
      <c r="I137" s="60">
        <f>COUNTIF($AE137:$AJ137,10)</f>
        <v>0</v>
      </c>
      <c r="J137" s="63">
        <f>I137</f>
        <v>0</v>
      </c>
      <c r="K137" s="63"/>
      <c r="L137" s="61">
        <f>COUNTIF($X137:$AC137,10)+COUNTIFS($X137:$AC137,"&gt;=7",$X137:$AC137,"&lt;10")/2</f>
        <v>0</v>
      </c>
      <c r="M137" s="63" t="str">
        <f>_xlfn.CONCAT(COUNTIF($X137:$AC137,10)+COUNTIFS($X137:$AC137,"&gt;=7",$X137:$AC137,"&lt;10")/2,REPT("*",COUNTBLANK($X137:$AC137)))</f>
        <v>0</v>
      </c>
      <c r="N137" s="60">
        <v>1</v>
      </c>
      <c r="O137" s="60">
        <v>1</v>
      </c>
      <c r="P137" s="60"/>
      <c r="Q137" s="64">
        <v>5.38</v>
      </c>
      <c r="R137" s="64">
        <v>3.2296650717703299</v>
      </c>
      <c r="S137" s="64">
        <v>3.60225140712945</v>
      </c>
      <c r="T137" s="64">
        <v>2.4285714285714302</v>
      </c>
      <c r="U137" s="64">
        <v>7.45091107671223</v>
      </c>
      <c r="V137" s="64">
        <v>5.3333333333333304</v>
      </c>
      <c r="W137" s="61"/>
      <c r="X137" s="64">
        <f>[1]Health!F134</f>
        <v>5.38</v>
      </c>
      <c r="Y137" s="64">
        <f>'[1]Food Security'!F134</f>
        <v>3.2296650717703299</v>
      </c>
      <c r="Z137" s="64">
        <f>'[1]Macro Fiscal'!F134</f>
        <v>4.2809917355371896</v>
      </c>
      <c r="AA137" s="64">
        <f>'[1]Socioeconomic Vulnerability'!F134</f>
        <v>0</v>
      </c>
      <c r="AB137" s="64">
        <f>'[1]Natural Hazard'!F134</f>
        <v>6.6666666666666696</v>
      </c>
      <c r="AC137" s="64">
        <f>'[1]Fragility and Conflict'!F134</f>
        <v>134</v>
      </c>
      <c r="AD137" s="61"/>
      <c r="AE137" s="64">
        <f>[1]Health!G134</f>
        <v>4.7619047619047397</v>
      </c>
      <c r="AF137" s="64">
        <f>'[1]Food Security'!G134</f>
        <v>3</v>
      </c>
      <c r="AG137" s="64">
        <f>'[1]Macro Fiscal'!G134</f>
        <v>8.6363636363636296</v>
      </c>
      <c r="AH137" s="64">
        <f>'[1]Socioeconomic Vulnerability'!G134</f>
        <v>0</v>
      </c>
      <c r="AI137" s="64">
        <f>'[1]Natural Hazard'!G134</f>
        <v>0</v>
      </c>
      <c r="AJ137" s="64">
        <f>'[1]Fragility and Conflict'!G134</f>
        <v>0</v>
      </c>
      <c r="AK137" s="60"/>
      <c r="AL137" s="66">
        <v>0</v>
      </c>
      <c r="AM137" s="66">
        <v>0.4</v>
      </c>
      <c r="AN137" s="60"/>
      <c r="AO137" s="60"/>
      <c r="AP137" s="60"/>
      <c r="AQ137" s="60"/>
      <c r="AR137" s="60"/>
      <c r="AS137" s="60"/>
      <c r="AT137" s="60"/>
      <c r="AU137" s="60"/>
      <c r="AV137" s="60"/>
      <c r="AW137" s="60"/>
      <c r="AX137" s="60"/>
      <c r="AY137" s="60"/>
      <c r="AZ137" s="60"/>
      <c r="BA137" s="60"/>
      <c r="BB137" s="60"/>
      <c r="BC137" s="60"/>
      <c r="BD137" s="60"/>
      <c r="BE137" s="60"/>
      <c r="BF137" s="60"/>
      <c r="BG137" s="60"/>
      <c r="BH137" s="60"/>
      <c r="BI137" s="60"/>
      <c r="BJ137" s="60"/>
      <c r="BK137" s="60"/>
      <c r="BL137" s="60"/>
      <c r="BM137" s="60"/>
      <c r="BN137" s="60"/>
      <c r="BO137" s="60"/>
      <c r="BP137" s="60"/>
      <c r="BQ137" s="60"/>
      <c r="BR137" s="60"/>
      <c r="BS137" s="60"/>
      <c r="BT137" s="60"/>
      <c r="BU137" s="60"/>
    </row>
    <row r="138" spans="1:73" s="67" customFormat="1" x14ac:dyDescent="0.2">
      <c r="A138" s="58">
        <v>133</v>
      </c>
      <c r="B138" s="59" t="s">
        <v>829</v>
      </c>
      <c r="C138" s="59" t="s">
        <v>830</v>
      </c>
      <c r="D138" s="60"/>
      <c r="E138" s="61">
        <f>COUNTIF($Q138:$V138,10)</f>
        <v>1</v>
      </c>
      <c r="F138" s="62">
        <f>E138</f>
        <v>1</v>
      </c>
      <c r="G138" s="61">
        <f>COUNTIF($X138:$AC138,10)</f>
        <v>1</v>
      </c>
      <c r="H138" s="63">
        <f>G138</f>
        <v>1</v>
      </c>
      <c r="I138" s="60">
        <f>COUNTIF($AE138:$AJ138,10)</f>
        <v>0</v>
      </c>
      <c r="J138" s="63">
        <f>I138</f>
        <v>0</v>
      </c>
      <c r="K138" s="63"/>
      <c r="L138" s="61">
        <f>COUNTIF($X138:$AC138,10)+COUNTIFS($X138:$AC138,"&gt;=7",$X138:$AC138,"&lt;10")/2</f>
        <v>2</v>
      </c>
      <c r="M138" s="63" t="str">
        <f>_xlfn.CONCAT(COUNTIF($X138:$AC138,10)+COUNTIFS($X138:$AC138,"&gt;=7",$X138:$AC138,"&lt;10")/2,REPT("*",COUNTBLANK($X138:$AC138)))</f>
        <v>2</v>
      </c>
      <c r="N138" s="60">
        <v>2.5</v>
      </c>
      <c r="O138" s="60">
        <v>2.5</v>
      </c>
      <c r="P138" s="60"/>
      <c r="Q138" s="64">
        <f>IFERROR(GEOMEAN(X138,AE138), MAX(X138,AE138))</f>
        <v>5.1145719423863953</v>
      </c>
      <c r="R138" s="64">
        <f>IFERROR(GEOMEAN(Y138,AF138), MAX(Y138,AF138))</f>
        <v>5.7562115398815958</v>
      </c>
      <c r="S138" s="64">
        <f>IFERROR(GEOMEAN(Z138,AG138), MAX(Z138,AG138))</f>
        <v>2.0290897242213708</v>
      </c>
      <c r="T138" s="64">
        <f>IFERROR(GEOMEAN(AA138,AH138), MAX(AA138,AH138))</f>
        <v>0</v>
      </c>
      <c r="U138" s="64">
        <f>IFERROR(GEOMEAN(AB138,AI138), MAX(AB138,AI138))</f>
        <v>10</v>
      </c>
      <c r="V138" s="64">
        <f>IFERROR(GEOMEAN(AC138,AJ138), MAX(AC138,AJ138))</f>
        <v>135</v>
      </c>
      <c r="W138" s="61"/>
      <c r="X138" s="64">
        <f>[1]Health!F135</f>
        <v>8.25</v>
      </c>
      <c r="Y138" s="64">
        <f>'[1]Food Security'!F135</f>
        <v>6.6267942583732102</v>
      </c>
      <c r="Z138" s="64">
        <f>'[1]Macro Fiscal'!F135</f>
        <v>9.0578512396694197</v>
      </c>
      <c r="AA138" s="64">
        <f>'[1]Socioeconomic Vulnerability'!F135</f>
        <v>0</v>
      </c>
      <c r="AB138" s="64">
        <f>'[1]Natural Hazard'!F135</f>
        <v>10</v>
      </c>
      <c r="AC138" s="64">
        <f>'[1]Fragility and Conflict'!F135</f>
        <v>135</v>
      </c>
      <c r="AD138" s="61"/>
      <c r="AE138" s="64">
        <f>[1]Health!G135</f>
        <v>3.1707692307692299</v>
      </c>
      <c r="AF138" s="64">
        <f>'[1]Food Security'!G135</f>
        <v>5</v>
      </c>
      <c r="AG138" s="64">
        <f>'[1]Macro Fiscal'!G135</f>
        <v>0.45454545454546702</v>
      </c>
      <c r="AH138" s="64">
        <f>'[1]Socioeconomic Vulnerability'!G135</f>
        <v>0</v>
      </c>
      <c r="AI138" s="64">
        <f>'[1]Natural Hazard'!G135</f>
        <v>0</v>
      </c>
      <c r="AJ138" s="64">
        <f>'[1]Fragility and Conflict'!G135</f>
        <v>0</v>
      </c>
      <c r="AK138" s="60"/>
      <c r="AL138" s="66">
        <v>0</v>
      </c>
      <c r="AM138" s="66">
        <v>0.3</v>
      </c>
      <c r="AN138" s="60"/>
      <c r="AO138" s="60"/>
      <c r="AP138" s="60"/>
      <c r="AQ138" s="60"/>
      <c r="AR138" s="60"/>
      <c r="AS138" s="60"/>
      <c r="AT138" s="60"/>
      <c r="AU138" s="60"/>
      <c r="AV138" s="60"/>
      <c r="AW138" s="60"/>
      <c r="AX138" s="60"/>
      <c r="AY138" s="60"/>
      <c r="AZ138" s="60"/>
      <c r="BA138" s="60"/>
      <c r="BB138" s="60"/>
      <c r="BC138" s="60"/>
      <c r="BD138" s="60"/>
      <c r="BE138" s="60"/>
      <c r="BF138" s="60"/>
      <c r="BG138" s="60"/>
      <c r="BH138" s="60"/>
      <c r="BI138" s="60"/>
      <c r="BJ138" s="60"/>
      <c r="BK138" s="60"/>
      <c r="BL138" s="60"/>
      <c r="BM138" s="60"/>
      <c r="BN138" s="60"/>
      <c r="BO138" s="60"/>
      <c r="BP138" s="60"/>
      <c r="BQ138" s="60"/>
      <c r="BR138" s="60"/>
      <c r="BS138" s="60"/>
      <c r="BT138" s="60"/>
      <c r="BU138" s="60"/>
    </row>
    <row r="139" spans="1:73" s="67" customFormat="1" x14ac:dyDescent="0.2">
      <c r="A139" s="58">
        <v>134</v>
      </c>
      <c r="B139" s="59" t="s">
        <v>836</v>
      </c>
      <c r="C139" s="59" t="s">
        <v>837</v>
      </c>
      <c r="D139" s="60"/>
      <c r="E139" s="61">
        <f>COUNTIF($Q139:$V139,10)</f>
        <v>0</v>
      </c>
      <c r="F139" s="62">
        <f>E139</f>
        <v>0</v>
      </c>
      <c r="G139" s="61">
        <f>COUNTIF($X139:$AC139,10)</f>
        <v>0</v>
      </c>
      <c r="H139" s="63">
        <f>G139</f>
        <v>0</v>
      </c>
      <c r="I139" s="60">
        <f>COUNTIF($AE139:$AJ139,10)</f>
        <v>1</v>
      </c>
      <c r="J139" s="63">
        <f>I139</f>
        <v>1</v>
      </c>
      <c r="K139" s="63"/>
      <c r="L139" s="61">
        <f>COUNTIF($X139:$AC139,10)+COUNTIFS($X139:$AC139,"&gt;=7",$X139:$AC139,"&lt;10")/2</f>
        <v>1</v>
      </c>
      <c r="M139" s="63" t="str">
        <f>_xlfn.CONCAT(COUNTIF($X139:$AC139,10)+COUNTIFS($X139:$AC139,"&gt;=7",$X139:$AC139,"&lt;10")/2,REPT("*",COUNTBLANK($X139:$AC139)))</f>
        <v>1</v>
      </c>
      <c r="N139" s="60">
        <v>2</v>
      </c>
      <c r="O139" s="60">
        <v>2</v>
      </c>
      <c r="P139" s="60"/>
      <c r="Q139" s="64">
        <v>5.26</v>
      </c>
      <c r="R139" s="64">
        <v>5.0956937799043098</v>
      </c>
      <c r="S139" s="64">
        <v>3.30206378986867</v>
      </c>
      <c r="T139" s="64">
        <v>3.71428571428571</v>
      </c>
      <c r="U139" s="64">
        <v>8.6666666666666696</v>
      </c>
      <c r="V139" s="64">
        <v>5.1111111111111098</v>
      </c>
      <c r="W139" s="61"/>
      <c r="X139" s="64">
        <f>[1]Health!F136</f>
        <v>5.26</v>
      </c>
      <c r="Y139" s="64">
        <f>'[1]Food Security'!F136</f>
        <v>5.0956937799043098</v>
      </c>
      <c r="Z139" s="64">
        <f>'[1]Macro Fiscal'!F136</f>
        <v>4.1652892561983501</v>
      </c>
      <c r="AA139" s="64">
        <f>'[1]Socioeconomic Vulnerability'!F136</f>
        <v>7</v>
      </c>
      <c r="AB139" s="64">
        <f>'[1]Natural Hazard'!F136</f>
        <v>8.6666666666666696</v>
      </c>
      <c r="AC139" s="64">
        <f>'[1]Fragility and Conflict'!F136</f>
        <v>136</v>
      </c>
      <c r="AD139" s="61"/>
      <c r="AE139" s="64">
        <f>[1]Health!G136</f>
        <v>7.1428571428571104</v>
      </c>
      <c r="AF139" s="64">
        <f>'[1]Food Security'!G136</f>
        <v>0</v>
      </c>
      <c r="AG139" s="64">
        <f>'[1]Macro Fiscal'!G136</f>
        <v>0</v>
      </c>
      <c r="AH139" s="64">
        <f>'[1]Socioeconomic Vulnerability'!G136</f>
        <v>0</v>
      </c>
      <c r="AI139" s="64">
        <f>'[1]Natural Hazard'!G136</f>
        <v>10</v>
      </c>
      <c r="AJ139" s="64">
        <f>'[1]Fragility and Conflict'!G136</f>
        <v>0</v>
      </c>
      <c r="AK139" s="60"/>
      <c r="AL139" s="66">
        <v>0</v>
      </c>
      <c r="AM139" s="66">
        <v>0.4</v>
      </c>
      <c r="AN139" s="60"/>
      <c r="AO139" s="60"/>
      <c r="AP139" s="60"/>
      <c r="AQ139" s="60"/>
      <c r="AR139" s="60"/>
      <c r="AS139" s="60"/>
      <c r="AT139" s="60"/>
      <c r="AU139" s="60"/>
      <c r="AV139" s="60"/>
      <c r="AW139" s="60"/>
      <c r="AX139" s="60"/>
      <c r="AY139" s="60"/>
      <c r="AZ139" s="60"/>
      <c r="BA139" s="60"/>
      <c r="BB139" s="60"/>
      <c r="BC139" s="60"/>
      <c r="BD139" s="60"/>
      <c r="BE139" s="60"/>
      <c r="BF139" s="60"/>
      <c r="BG139" s="60"/>
      <c r="BH139" s="60"/>
      <c r="BI139" s="60"/>
      <c r="BJ139" s="60"/>
      <c r="BK139" s="60"/>
      <c r="BL139" s="60"/>
      <c r="BM139" s="60"/>
      <c r="BN139" s="60"/>
      <c r="BO139" s="60"/>
      <c r="BP139" s="60"/>
      <c r="BQ139" s="60"/>
      <c r="BR139" s="60"/>
      <c r="BS139" s="60"/>
      <c r="BT139" s="60"/>
      <c r="BU139" s="60"/>
    </row>
    <row r="140" spans="1:73" s="67" customFormat="1" x14ac:dyDescent="0.2">
      <c r="A140" s="58">
        <v>135</v>
      </c>
      <c r="B140" s="59" t="s">
        <v>840</v>
      </c>
      <c r="C140" s="59" t="s">
        <v>841</v>
      </c>
      <c r="D140" s="60"/>
      <c r="E140" s="61">
        <f>COUNTIF($Q140:$V140,10)</f>
        <v>1</v>
      </c>
      <c r="F140" s="62">
        <f>E140</f>
        <v>1</v>
      </c>
      <c r="G140" s="61">
        <f>COUNTIF($X140:$AC140,10)</f>
        <v>1</v>
      </c>
      <c r="H140" s="63">
        <f>G140</f>
        <v>1</v>
      </c>
      <c r="I140" s="60">
        <f>COUNTIF($AE140:$AJ140,10)</f>
        <v>1</v>
      </c>
      <c r="J140" s="63">
        <f>I140</f>
        <v>1</v>
      </c>
      <c r="K140" s="63"/>
      <c r="L140" s="61">
        <f>COUNTIF($X140:$AC140,10)+COUNTIFS($X140:$AC140,"&gt;=7",$X140:$AC140,"&lt;10")/2</f>
        <v>1.5</v>
      </c>
      <c r="M140" s="63" t="str">
        <f>_xlfn.CONCAT(COUNTIF($X140:$AC140,10)+COUNTIFS($X140:$AC140,"&gt;=7",$X140:$AC140,"&lt;10")/2,REPT("*",COUNTBLANK($X140:$AC140)))</f>
        <v>1.5</v>
      </c>
      <c r="N140" s="60">
        <v>2.5</v>
      </c>
      <c r="O140" s="60">
        <v>2.5</v>
      </c>
      <c r="P140" s="60"/>
      <c r="Q140" s="64">
        <v>5.75</v>
      </c>
      <c r="R140" s="64">
        <v>6.6507177033492804</v>
      </c>
      <c r="S140" s="64">
        <v>3.39587242026266</v>
      </c>
      <c r="T140" s="64">
        <v>4.8571428571428603</v>
      </c>
      <c r="U140" s="64">
        <v>10</v>
      </c>
      <c r="V140" s="64">
        <v>7.5111111111111102</v>
      </c>
      <c r="W140" s="61"/>
      <c r="X140" s="64">
        <f>[1]Health!F137</f>
        <v>5.75</v>
      </c>
      <c r="Y140" s="64">
        <f>'[1]Food Security'!F137</f>
        <v>6.6507177033492804</v>
      </c>
      <c r="Z140" s="64">
        <f>'[1]Macro Fiscal'!F137</f>
        <v>4.2975206611570202</v>
      </c>
      <c r="AA140" s="64">
        <f>'[1]Socioeconomic Vulnerability'!F137</f>
        <v>7</v>
      </c>
      <c r="AB140" s="64">
        <f>'[1]Natural Hazard'!F137</f>
        <v>10</v>
      </c>
      <c r="AC140" s="64">
        <f>'[1]Fragility and Conflict'!F137</f>
        <v>137</v>
      </c>
      <c r="AD140" s="61"/>
      <c r="AE140" s="64">
        <f>[1]Health!G137</f>
        <v>10</v>
      </c>
      <c r="AF140" s="64">
        <f>'[1]Food Security'!G137</f>
        <v>1</v>
      </c>
      <c r="AG140" s="64">
        <f>'[1]Macro Fiscal'!G137</f>
        <v>0.90909090909091705</v>
      </c>
      <c r="AH140" s="64">
        <f>'[1]Socioeconomic Vulnerability'!G137</f>
        <v>0</v>
      </c>
      <c r="AI140" s="64">
        <f>'[1]Natural Hazard'!G137</f>
        <v>0</v>
      </c>
      <c r="AJ140" s="64">
        <f>'[1]Fragility and Conflict'!G137</f>
        <v>0</v>
      </c>
      <c r="AK140" s="60"/>
      <c r="AL140" s="66">
        <v>0</v>
      </c>
      <c r="AM140" s="66">
        <v>0.3</v>
      </c>
      <c r="AN140" s="60"/>
      <c r="AO140" s="60"/>
      <c r="AP140" s="60"/>
      <c r="AQ140" s="60"/>
      <c r="AR140" s="60"/>
      <c r="AS140" s="60"/>
      <c r="AT140" s="60"/>
      <c r="AU140" s="60"/>
      <c r="AV140" s="60"/>
      <c r="AW140" s="60"/>
      <c r="AX140" s="60"/>
      <c r="AY140" s="60"/>
      <c r="AZ140" s="60"/>
      <c r="BA140" s="60"/>
      <c r="BB140" s="60"/>
      <c r="BC140" s="60"/>
      <c r="BD140" s="60"/>
      <c r="BE140" s="60"/>
      <c r="BF140" s="60"/>
      <c r="BG140" s="60"/>
      <c r="BH140" s="60"/>
      <c r="BI140" s="60"/>
      <c r="BJ140" s="60"/>
      <c r="BK140" s="60"/>
      <c r="BL140" s="60"/>
      <c r="BM140" s="60"/>
      <c r="BN140" s="60"/>
      <c r="BO140" s="60"/>
      <c r="BP140" s="60"/>
      <c r="BQ140" s="60"/>
      <c r="BR140" s="60"/>
      <c r="BS140" s="60"/>
      <c r="BT140" s="60"/>
      <c r="BU140" s="60"/>
    </row>
    <row r="141" spans="1:73" s="67" customFormat="1" x14ac:dyDescent="0.2">
      <c r="A141" s="58">
        <v>136</v>
      </c>
      <c r="B141" s="59" t="s">
        <v>844</v>
      </c>
      <c r="C141" s="59" t="s">
        <v>845</v>
      </c>
      <c r="D141" s="60"/>
      <c r="E141" s="61">
        <f>COUNTIF($Q141:$V141,10)</f>
        <v>1</v>
      </c>
      <c r="F141" s="62">
        <f>E141</f>
        <v>1</v>
      </c>
      <c r="G141" s="61">
        <f>COUNTIF($X141:$AC141,10)</f>
        <v>1</v>
      </c>
      <c r="H141" s="63">
        <f>G141</f>
        <v>1</v>
      </c>
      <c r="I141" s="60">
        <f>COUNTIF($AE141:$AJ141,10)</f>
        <v>1</v>
      </c>
      <c r="J141" s="63">
        <f>I141</f>
        <v>1</v>
      </c>
      <c r="K141" s="63"/>
      <c r="L141" s="61">
        <f>COUNTIF($X141:$AC141,10)+COUNTIFS($X141:$AC141,"&gt;=7",$X141:$AC141,"&lt;10")/2</f>
        <v>2</v>
      </c>
      <c r="M141" s="63" t="str">
        <f>_xlfn.CONCAT(COUNTIF($X141:$AC141,10)+COUNTIFS($X141:$AC141,"&gt;=7",$X141:$AC141,"&lt;10")/2,REPT("*",COUNTBLANK($X141:$AC141)))</f>
        <v>2</v>
      </c>
      <c r="N141" s="60">
        <v>2.5</v>
      </c>
      <c r="O141" s="60">
        <v>2.5</v>
      </c>
      <c r="P141" s="60"/>
      <c r="Q141" s="64">
        <v>6.75</v>
      </c>
      <c r="R141" s="64">
        <v>7.2009569377990399</v>
      </c>
      <c r="S141" s="64">
        <v>5.3470919324577801</v>
      </c>
      <c r="T141" s="64">
        <v>5.5714285714285703</v>
      </c>
      <c r="U141" s="64">
        <v>10</v>
      </c>
      <c r="V141" s="64">
        <v>9</v>
      </c>
      <c r="W141" s="61"/>
      <c r="X141" s="64">
        <f>[1]Health!F138</f>
        <v>6.75</v>
      </c>
      <c r="Y141" s="64">
        <f>'[1]Food Security'!F138</f>
        <v>7.2009569377990399</v>
      </c>
      <c r="Z141" s="64">
        <f>'[1]Macro Fiscal'!F138</f>
        <v>6.5123966942148801</v>
      </c>
      <c r="AA141" s="64">
        <f>'[1]Socioeconomic Vulnerability'!F138</f>
        <v>8.7796598161969897</v>
      </c>
      <c r="AB141" s="64">
        <f>'[1]Natural Hazard'!F138</f>
        <v>10</v>
      </c>
      <c r="AC141" s="64">
        <f>'[1]Fragility and Conflict'!F138</f>
        <v>138</v>
      </c>
      <c r="AD141" s="61"/>
      <c r="AE141" s="64">
        <f>[1]Health!G138</f>
        <v>7.1428571428571104</v>
      </c>
      <c r="AF141" s="64">
        <f>'[1]Food Security'!G138</f>
        <v>3</v>
      </c>
      <c r="AG141" s="64">
        <f>'[1]Macro Fiscal'!G138</f>
        <v>2.9545454545454501</v>
      </c>
      <c r="AH141" s="64">
        <f>'[1]Socioeconomic Vulnerability'!G138</f>
        <v>0</v>
      </c>
      <c r="AI141" s="64">
        <f>'[1]Natural Hazard'!G138</f>
        <v>10</v>
      </c>
      <c r="AJ141" s="64">
        <f>'[1]Fragility and Conflict'!G138</f>
        <v>3.7831541634821599</v>
      </c>
      <c r="AK141" s="60"/>
      <c r="AL141" s="66">
        <v>0</v>
      </c>
      <c r="AM141" s="66">
        <v>0.2</v>
      </c>
      <c r="AN141" s="60"/>
      <c r="AO141" s="60"/>
      <c r="AP141" s="60"/>
      <c r="AQ141" s="60"/>
      <c r="AR141" s="60"/>
      <c r="AS141" s="60"/>
      <c r="AT141" s="60"/>
      <c r="AU141" s="60"/>
      <c r="AV141" s="60"/>
      <c r="AW141" s="60"/>
      <c r="AX141" s="60"/>
      <c r="AY141" s="60"/>
      <c r="AZ141" s="60"/>
      <c r="BA141" s="60"/>
      <c r="BB141" s="60"/>
      <c r="BC141" s="60"/>
      <c r="BD141" s="60"/>
      <c r="BE141" s="60"/>
      <c r="BF141" s="60"/>
      <c r="BG141" s="60"/>
      <c r="BH141" s="60"/>
      <c r="BI141" s="60"/>
      <c r="BJ141" s="60"/>
      <c r="BK141" s="60"/>
      <c r="BL141" s="60"/>
      <c r="BM141" s="60"/>
      <c r="BN141" s="60"/>
      <c r="BO141" s="60"/>
      <c r="BP141" s="60"/>
      <c r="BQ141" s="60"/>
      <c r="BR141" s="60"/>
      <c r="BS141" s="60"/>
      <c r="BT141" s="60"/>
      <c r="BU141" s="60"/>
    </row>
    <row r="142" spans="1:73" s="67" customFormat="1" x14ac:dyDescent="0.2">
      <c r="A142" s="58">
        <v>137</v>
      </c>
      <c r="B142" s="59" t="s">
        <v>849</v>
      </c>
      <c r="C142" s="59" t="s">
        <v>850</v>
      </c>
      <c r="D142" s="60"/>
      <c r="E142" s="61">
        <f>COUNTIF($Q142:$V142,10)</f>
        <v>0</v>
      </c>
      <c r="F142" s="62">
        <f>E142</f>
        <v>0</v>
      </c>
      <c r="G142" s="61">
        <f>COUNTIF($X142:$AC142,10)</f>
        <v>0</v>
      </c>
      <c r="H142" s="63">
        <f>G142</f>
        <v>0</v>
      </c>
      <c r="I142" s="60">
        <f>COUNTIF($AE142:$AJ142,10)</f>
        <v>1</v>
      </c>
      <c r="J142" s="63">
        <f>I142</f>
        <v>1</v>
      </c>
      <c r="K142" s="63"/>
      <c r="L142" s="61">
        <f>COUNTIF($X142:$AC142,10)+COUNTIFS($X142:$AC142,"&gt;=7",$X142:$AC142,"&lt;10")/2</f>
        <v>0.5</v>
      </c>
      <c r="M142" s="63" t="str">
        <f>_xlfn.CONCAT(COUNTIF($X142:$AC142,10)+COUNTIFS($X142:$AC142,"&gt;=7",$X142:$AC142,"&lt;10")/2,REPT("*",COUNTBLANK($X142:$AC142)))</f>
        <v>0.5</v>
      </c>
      <c r="N142" s="60">
        <v>1</v>
      </c>
      <c r="O142" s="60">
        <v>1</v>
      </c>
      <c r="P142" s="60"/>
      <c r="Q142" s="64">
        <v>9.6199999999999992</v>
      </c>
      <c r="R142" s="68"/>
      <c r="S142" s="64">
        <v>9.0056285178236397</v>
      </c>
      <c r="T142" s="64">
        <v>4.8571428571428603</v>
      </c>
      <c r="U142" s="64">
        <v>5.2002095576297602</v>
      </c>
      <c r="V142" s="68"/>
      <c r="W142" s="61"/>
      <c r="X142" s="64">
        <f>[1]Health!F139</f>
        <v>9.6199999999999992</v>
      </c>
      <c r="Y142" s="64">
        <f>'[1]Food Security'!F139</f>
        <v>0</v>
      </c>
      <c r="Z142" s="64">
        <f>'[1]Macro Fiscal'!F139</f>
        <v>0</v>
      </c>
      <c r="AA142" s="64">
        <f>'[1]Socioeconomic Vulnerability'!F139</f>
        <v>0</v>
      </c>
      <c r="AB142" s="64">
        <f>'[1]Natural Hazard'!F139</f>
        <v>3.6666666666666701</v>
      </c>
      <c r="AC142" s="64">
        <f>'[1]Fragility and Conflict'!F139</f>
        <v>139</v>
      </c>
      <c r="AD142" s="61"/>
      <c r="AE142" s="64">
        <f>[1]Health!G139</f>
        <v>0</v>
      </c>
      <c r="AF142" s="64">
        <f>'[1]Food Security'!G139</f>
        <v>0</v>
      </c>
      <c r="AG142" s="64">
        <f>'[1]Macro Fiscal'!G139</f>
        <v>0</v>
      </c>
      <c r="AH142" s="64">
        <f>'[1]Socioeconomic Vulnerability'!G139</f>
        <v>0</v>
      </c>
      <c r="AI142" s="64">
        <f>'[1]Natural Hazard'!G139</f>
        <v>10</v>
      </c>
      <c r="AJ142" s="64">
        <f>'[1]Fragility and Conflict'!G139</f>
        <v>0</v>
      </c>
      <c r="AK142" s="60"/>
      <c r="AL142" s="66">
        <v>0.4</v>
      </c>
      <c r="AM142" s="66">
        <v>0.8</v>
      </c>
      <c r="AN142" s="60"/>
      <c r="AO142" s="60"/>
      <c r="AP142" s="60"/>
      <c r="AQ142" s="60"/>
      <c r="AR142" s="60"/>
      <c r="AS142" s="60"/>
      <c r="AT142" s="60"/>
      <c r="AU142" s="60"/>
      <c r="AV142" s="60"/>
      <c r="AW142" s="60"/>
      <c r="AX142" s="60"/>
      <c r="AY142" s="60"/>
      <c r="AZ142" s="60"/>
      <c r="BA142" s="60"/>
      <c r="BB142" s="60"/>
      <c r="BC142" s="60"/>
      <c r="BD142" s="60"/>
      <c r="BE142" s="60"/>
      <c r="BF142" s="60"/>
      <c r="BG142" s="60"/>
      <c r="BH142" s="60"/>
      <c r="BI142" s="60"/>
      <c r="BJ142" s="60"/>
      <c r="BK142" s="60"/>
      <c r="BL142" s="60"/>
      <c r="BM142" s="60"/>
      <c r="BN142" s="60"/>
      <c r="BO142" s="60"/>
      <c r="BP142" s="60"/>
      <c r="BQ142" s="60"/>
      <c r="BR142" s="60"/>
      <c r="BS142" s="60"/>
      <c r="BT142" s="60"/>
      <c r="BU142" s="60"/>
    </row>
    <row r="143" spans="1:73" s="67" customFormat="1" x14ac:dyDescent="0.2">
      <c r="A143" s="58">
        <v>138</v>
      </c>
      <c r="B143" s="59" t="s">
        <v>852</v>
      </c>
      <c r="C143" s="59" t="s">
        <v>853</v>
      </c>
      <c r="D143" s="60"/>
      <c r="E143" s="61">
        <f>COUNTIF($Q143:$V143,10)</f>
        <v>3</v>
      </c>
      <c r="F143" s="62">
        <f>E143</f>
        <v>3</v>
      </c>
      <c r="G143" s="61">
        <f>COUNTIF($X143:$AC143,10)</f>
        <v>1</v>
      </c>
      <c r="H143" s="63">
        <f>G143</f>
        <v>1</v>
      </c>
      <c r="I143" s="60">
        <f>COUNTIF($AE143:$AJ143,10)</f>
        <v>0</v>
      </c>
      <c r="J143" s="63">
        <f>I143</f>
        <v>0</v>
      </c>
      <c r="K143" s="63"/>
      <c r="L143" s="61">
        <f>COUNTIF($X143:$AC143,10)+COUNTIFS($X143:$AC143,"&gt;=7",$X143:$AC143,"&lt;10")/2</f>
        <v>2.5</v>
      </c>
      <c r="M143" s="63" t="str">
        <f>_xlfn.CONCAT(COUNTIF($X143:$AC143,10)+COUNTIFS($X143:$AC143,"&gt;=7",$X143:$AC143,"&lt;10")/2,REPT("*",COUNTBLANK($X143:$AC143)))</f>
        <v>2.5</v>
      </c>
      <c r="N143" s="60">
        <v>1.5</v>
      </c>
      <c r="O143" s="60">
        <v>1.5</v>
      </c>
      <c r="P143" s="60"/>
      <c r="Q143" s="64">
        <v>9.25</v>
      </c>
      <c r="R143" s="64">
        <v>10</v>
      </c>
      <c r="S143" s="64">
        <v>10</v>
      </c>
      <c r="T143" s="64">
        <v>9</v>
      </c>
      <c r="U143" s="64">
        <v>9.5</v>
      </c>
      <c r="V143" s="64">
        <v>10</v>
      </c>
      <c r="W143" s="61"/>
      <c r="X143" s="64">
        <f>[1]Health!F140</f>
        <v>9.25</v>
      </c>
      <c r="Y143" s="64">
        <f>'[1]Food Security'!F140</f>
        <v>10</v>
      </c>
      <c r="Z143" s="64">
        <f>'[1]Macro Fiscal'!F140</f>
        <v>7.65289256198347</v>
      </c>
      <c r="AA143" s="64">
        <f>'[1]Socioeconomic Vulnerability'!F140</f>
        <v>6.9923142932710203</v>
      </c>
      <c r="AB143" s="64">
        <f>'[1]Natural Hazard'!F140</f>
        <v>9.5</v>
      </c>
      <c r="AC143" s="64">
        <f>'[1]Fragility and Conflict'!F140</f>
        <v>140</v>
      </c>
      <c r="AD143" s="61"/>
      <c r="AE143" s="64">
        <f>[1]Health!G140</f>
        <v>7.1428571428571104</v>
      </c>
      <c r="AF143" s="64">
        <f>'[1]Food Security'!G140</f>
        <v>0</v>
      </c>
      <c r="AG143" s="64">
        <f>'[1]Macro Fiscal'!G140</f>
        <v>7.2727272727272698</v>
      </c>
      <c r="AH143" s="64">
        <f>'[1]Socioeconomic Vulnerability'!G140</f>
        <v>0</v>
      </c>
      <c r="AI143" s="64">
        <f>'[1]Natural Hazard'!G140</f>
        <v>0</v>
      </c>
      <c r="AJ143" s="64">
        <f>'[1]Fragility and Conflict'!G140</f>
        <v>0</v>
      </c>
      <c r="AK143" s="60"/>
      <c r="AL143" s="66">
        <v>0</v>
      </c>
      <c r="AM143" s="66">
        <v>0.4</v>
      </c>
      <c r="AN143" s="60"/>
      <c r="AO143" s="60"/>
      <c r="AP143" s="60"/>
      <c r="AQ143" s="60"/>
      <c r="AR143" s="60"/>
      <c r="AS143" s="60"/>
      <c r="AT143" s="60"/>
      <c r="AU143" s="60"/>
      <c r="AV143" s="60"/>
      <c r="AW143" s="60"/>
      <c r="AX143" s="60"/>
      <c r="AY143" s="60"/>
      <c r="AZ143" s="60"/>
      <c r="BA143" s="60"/>
      <c r="BB143" s="60"/>
      <c r="BC143" s="60"/>
      <c r="BD143" s="60"/>
      <c r="BE143" s="60"/>
      <c r="BF143" s="60"/>
      <c r="BG143" s="60"/>
      <c r="BH143" s="60"/>
      <c r="BI143" s="60"/>
      <c r="BJ143" s="60"/>
      <c r="BK143" s="60"/>
      <c r="BL143" s="60"/>
      <c r="BM143" s="60"/>
      <c r="BN143" s="60"/>
      <c r="BO143" s="60"/>
      <c r="BP143" s="60"/>
      <c r="BQ143" s="60"/>
      <c r="BR143" s="60"/>
      <c r="BS143" s="60"/>
      <c r="BT143" s="60"/>
      <c r="BU143" s="60"/>
    </row>
    <row r="144" spans="1:73" s="67" customFormat="1" x14ac:dyDescent="0.2">
      <c r="A144" s="58">
        <v>139</v>
      </c>
      <c r="B144" s="59" t="s">
        <v>856</v>
      </c>
      <c r="C144" s="59" t="s">
        <v>857</v>
      </c>
      <c r="D144" s="60"/>
      <c r="E144" s="61">
        <f>COUNTIF($Q144:$V144,10)</f>
        <v>0</v>
      </c>
      <c r="F144" s="62">
        <f>E144</f>
        <v>0</v>
      </c>
      <c r="G144" s="61">
        <f>COUNTIF($X144:$AC144,10)</f>
        <v>0</v>
      </c>
      <c r="H144" s="63">
        <f>G144</f>
        <v>0</v>
      </c>
      <c r="I144" s="60">
        <f>COUNTIF($AE144:$AJ144,10)</f>
        <v>1</v>
      </c>
      <c r="J144" s="63">
        <f>I144</f>
        <v>1</v>
      </c>
      <c r="K144" s="63"/>
      <c r="L144" s="61">
        <f>COUNTIF($X144:$AC144,10)+COUNTIFS($X144:$AC144,"&gt;=7",$X144:$AC144,"&lt;10")/2</f>
        <v>0.5</v>
      </c>
      <c r="M144" s="63" t="str">
        <f>_xlfn.CONCAT(COUNTIF($X144:$AC144,10)+COUNTIFS($X144:$AC144,"&gt;=7",$X144:$AC144,"&lt;10")/2,REPT("*",COUNTBLANK($X144:$AC144)))</f>
        <v>0.5</v>
      </c>
      <c r="N144" s="60">
        <v>2</v>
      </c>
      <c r="O144" s="60">
        <v>2</v>
      </c>
      <c r="P144" s="60"/>
      <c r="Q144" s="64">
        <v>2.92</v>
      </c>
      <c r="R144" s="64">
        <v>0.78947368421052599</v>
      </c>
      <c r="S144" s="64">
        <v>0</v>
      </c>
      <c r="T144" s="64">
        <v>1</v>
      </c>
      <c r="U144" s="64">
        <v>8.1119480180548909</v>
      </c>
      <c r="V144" s="64">
        <v>4.5555555555555598</v>
      </c>
      <c r="W144" s="61"/>
      <c r="X144" s="64">
        <f>[1]Health!F141</f>
        <v>2.92</v>
      </c>
      <c r="Y144" s="64">
        <f>'[1]Food Security'!F141</f>
        <v>0.78947368421052599</v>
      </c>
      <c r="Z144" s="64">
        <f>'[1]Macro Fiscal'!F141</f>
        <v>3.30578512396694</v>
      </c>
      <c r="AA144" s="64">
        <f>'[1]Socioeconomic Vulnerability'!F141</f>
        <v>9.7687693096342496</v>
      </c>
      <c r="AB144" s="64">
        <f>'[1]Natural Hazard'!F141</f>
        <v>2.1666666666666701</v>
      </c>
      <c r="AC144" s="64">
        <f>'[1]Fragility and Conflict'!F141</f>
        <v>141</v>
      </c>
      <c r="AD144" s="61"/>
      <c r="AE144" s="64">
        <f>[1]Health!G141</f>
        <v>10</v>
      </c>
      <c r="AF144" s="64">
        <f>'[1]Food Security'!G141</f>
        <v>5</v>
      </c>
      <c r="AG144" s="64">
        <f>'[1]Macro Fiscal'!G141</f>
        <v>0</v>
      </c>
      <c r="AH144" s="64">
        <f>'[1]Socioeconomic Vulnerability'!G141</f>
        <v>0</v>
      </c>
      <c r="AI144" s="64">
        <f>'[1]Natural Hazard'!G141</f>
        <v>0</v>
      </c>
      <c r="AJ144" s="64">
        <f>'[1]Fragility and Conflict'!G141</f>
        <v>0</v>
      </c>
      <c r="AK144" s="60"/>
      <c r="AL144" s="66">
        <v>0</v>
      </c>
      <c r="AM144" s="66">
        <v>0.3</v>
      </c>
      <c r="AN144" s="60"/>
      <c r="AO144" s="60"/>
      <c r="AP144" s="60"/>
      <c r="AQ144" s="60"/>
      <c r="AR144" s="60"/>
      <c r="AS144" s="60"/>
      <c r="AT144" s="60"/>
      <c r="AU144" s="60"/>
      <c r="AV144" s="60"/>
      <c r="AW144" s="60"/>
      <c r="AX144" s="60"/>
      <c r="AY144" s="60"/>
      <c r="AZ144" s="60"/>
      <c r="BA144" s="60"/>
      <c r="BB144" s="60"/>
      <c r="BC144" s="60"/>
      <c r="BD144" s="60"/>
      <c r="BE144" s="60"/>
      <c r="BF144" s="60"/>
      <c r="BG144" s="60"/>
      <c r="BH144" s="60"/>
      <c r="BI144" s="60"/>
      <c r="BJ144" s="60"/>
      <c r="BK144" s="60"/>
      <c r="BL144" s="60"/>
      <c r="BM144" s="60"/>
      <c r="BN144" s="60"/>
      <c r="BO144" s="60"/>
      <c r="BP144" s="60"/>
      <c r="BQ144" s="60"/>
      <c r="BR144" s="60"/>
      <c r="BS144" s="60"/>
      <c r="BT144" s="60"/>
      <c r="BU144" s="60"/>
    </row>
    <row r="145" spans="1:73" s="67" customFormat="1" x14ac:dyDescent="0.2">
      <c r="A145" s="58">
        <v>140</v>
      </c>
      <c r="B145" s="59" t="s">
        <v>860</v>
      </c>
      <c r="C145" s="59" t="s">
        <v>861</v>
      </c>
      <c r="D145" s="60"/>
      <c r="E145" s="61">
        <f>COUNTIF($Q145:$V145,10)</f>
        <v>1</v>
      </c>
      <c r="F145" s="62">
        <f>E145</f>
        <v>1</v>
      </c>
      <c r="G145" s="61">
        <f>COUNTIF($X145:$AC145,10)</f>
        <v>1</v>
      </c>
      <c r="H145" s="63">
        <f>G145</f>
        <v>1</v>
      </c>
      <c r="I145" s="60">
        <f>COUNTIF($AE145:$AJ145,10)</f>
        <v>0</v>
      </c>
      <c r="J145" s="63">
        <f>I145</f>
        <v>0</v>
      </c>
      <c r="K145" s="63"/>
      <c r="L145" s="61">
        <f>COUNTIF($X145:$AC145,10)+COUNTIFS($X145:$AC145,"&gt;=7",$X145:$AC145,"&lt;10")/2</f>
        <v>2</v>
      </c>
      <c r="M145" s="63" t="str">
        <f>_xlfn.CONCAT(COUNTIF($X145:$AC145,10)+COUNTIFS($X145:$AC145,"&gt;=7",$X145:$AC145,"&lt;10")/2,REPT("*",COUNTBLANK($X145:$AC145)))</f>
        <v>2</v>
      </c>
      <c r="N145" s="60">
        <v>0.5</v>
      </c>
      <c r="O145" s="60">
        <v>0.5</v>
      </c>
      <c r="P145" s="60"/>
      <c r="Q145" s="64">
        <v>6.75</v>
      </c>
      <c r="R145" s="64">
        <v>8.6363636363636296</v>
      </c>
      <c r="S145" s="68"/>
      <c r="T145" s="64">
        <v>9</v>
      </c>
      <c r="U145" s="64">
        <v>9.0067422006761397</v>
      </c>
      <c r="V145" s="64">
        <v>10</v>
      </c>
      <c r="W145" s="61"/>
      <c r="X145" s="64">
        <f>[1]Health!F142</f>
        <v>6.75</v>
      </c>
      <c r="Y145" s="64">
        <f>'[1]Food Security'!F142</f>
        <v>8.6363636363636402</v>
      </c>
      <c r="Z145" s="64">
        <f>'[1]Macro Fiscal'!F142</f>
        <v>10</v>
      </c>
      <c r="AA145" s="64">
        <f>'[1]Socioeconomic Vulnerability'!F142</f>
        <v>0</v>
      </c>
      <c r="AB145" s="64">
        <f>'[1]Natural Hazard'!F142</f>
        <v>7</v>
      </c>
      <c r="AC145" s="64">
        <f>'[1]Fragility and Conflict'!F142</f>
        <v>142</v>
      </c>
      <c r="AD145" s="61"/>
      <c r="AE145" s="64">
        <f>[1]Health!G142</f>
        <v>0</v>
      </c>
      <c r="AF145" s="64">
        <f>'[1]Food Security'!G142</f>
        <v>0</v>
      </c>
      <c r="AG145" s="64">
        <f>'[1]Macro Fiscal'!G142</f>
        <v>4.5454545454545299</v>
      </c>
      <c r="AH145" s="64">
        <f>'[1]Socioeconomic Vulnerability'!G142</f>
        <v>0</v>
      </c>
      <c r="AI145" s="64">
        <f>'[1]Natural Hazard'!G142</f>
        <v>0</v>
      </c>
      <c r="AJ145" s="64">
        <f>'[1]Fragility and Conflict'!G142</f>
        <v>0</v>
      </c>
      <c r="AK145" s="60"/>
      <c r="AL145" s="66">
        <v>0.1</v>
      </c>
      <c r="AM145" s="66">
        <v>0.6</v>
      </c>
      <c r="AN145" s="60"/>
      <c r="AO145" s="60"/>
      <c r="AP145" s="60"/>
      <c r="AQ145" s="60"/>
      <c r="AR145" s="60"/>
      <c r="AS145" s="60"/>
      <c r="AT145" s="60"/>
      <c r="AU145" s="60"/>
      <c r="AV145" s="60"/>
      <c r="AW145" s="60"/>
      <c r="AX145" s="60"/>
      <c r="AY145" s="60"/>
      <c r="AZ145" s="60"/>
      <c r="BA145" s="60"/>
      <c r="BB145" s="60"/>
      <c r="BC145" s="60"/>
      <c r="BD145" s="60"/>
      <c r="BE145" s="60"/>
      <c r="BF145" s="60"/>
      <c r="BG145" s="60"/>
      <c r="BH145" s="60"/>
      <c r="BI145" s="60"/>
      <c r="BJ145" s="60"/>
      <c r="BK145" s="60"/>
      <c r="BL145" s="60"/>
      <c r="BM145" s="60"/>
      <c r="BN145" s="60"/>
      <c r="BO145" s="60"/>
      <c r="BP145" s="60"/>
      <c r="BQ145" s="60"/>
      <c r="BR145" s="60"/>
      <c r="BS145" s="60"/>
      <c r="BT145" s="60"/>
      <c r="BU145" s="60"/>
    </row>
    <row r="146" spans="1:73" s="67" customFormat="1" x14ac:dyDescent="0.2">
      <c r="A146" s="58">
        <v>141</v>
      </c>
      <c r="B146" s="59" t="s">
        <v>862</v>
      </c>
      <c r="C146" s="59" t="s">
        <v>863</v>
      </c>
      <c r="D146" s="60"/>
      <c r="E146" s="61">
        <f>COUNTIF($Q146:$V146,10)</f>
        <v>0</v>
      </c>
      <c r="F146" s="62">
        <f>E146</f>
        <v>0</v>
      </c>
      <c r="G146" s="61">
        <f>COUNTIF($X146:$AC146,10)</f>
        <v>0</v>
      </c>
      <c r="H146" s="63">
        <f>G146</f>
        <v>0</v>
      </c>
      <c r="I146" s="60">
        <f>COUNTIF($AE146:$AJ146,10)</f>
        <v>1</v>
      </c>
      <c r="J146" s="63">
        <f>I146</f>
        <v>1</v>
      </c>
      <c r="K146" s="63"/>
      <c r="L146" s="61">
        <f>COUNTIF($X146:$AC146,10)+COUNTIFS($X146:$AC146,"&gt;=7",$X146:$AC146,"&lt;10")/2</f>
        <v>0.5</v>
      </c>
      <c r="M146" s="63" t="str">
        <f>_xlfn.CONCAT(COUNTIF($X146:$AC146,10)+COUNTIFS($X146:$AC146,"&gt;=7",$X146:$AC146,"&lt;10")/2,REPT("*",COUNTBLANK($X146:$AC146)))</f>
        <v>0.5</v>
      </c>
      <c r="N146" s="60">
        <v>2</v>
      </c>
      <c r="O146" s="60">
        <v>2</v>
      </c>
      <c r="P146" s="60"/>
      <c r="Q146" s="64">
        <v>2</v>
      </c>
      <c r="R146" s="64">
        <v>0</v>
      </c>
      <c r="S146" s="64">
        <v>4.2776735459662296</v>
      </c>
      <c r="T146" s="64">
        <v>1.4285714285714299</v>
      </c>
      <c r="U146" s="64">
        <v>8.7997771220758203</v>
      </c>
      <c r="V146" s="64">
        <v>2.6111111111111098</v>
      </c>
      <c r="W146" s="61"/>
      <c r="X146" s="64">
        <f>[1]Health!F143</f>
        <v>2</v>
      </c>
      <c r="Y146" s="64">
        <f>'[1]Food Security'!F143</f>
        <v>0</v>
      </c>
      <c r="Z146" s="64">
        <f>'[1]Macro Fiscal'!F143</f>
        <v>2.5289256198347099</v>
      </c>
      <c r="AA146" s="64">
        <f>'[1]Socioeconomic Vulnerability'!F143</f>
        <v>7</v>
      </c>
      <c r="AB146" s="64">
        <f>'[1]Natural Hazard'!F143</f>
        <v>4</v>
      </c>
      <c r="AC146" s="64">
        <f>'[1]Fragility and Conflict'!F143</f>
        <v>143</v>
      </c>
      <c r="AD146" s="61"/>
      <c r="AE146" s="64">
        <f>[1]Health!G143</f>
        <v>10</v>
      </c>
      <c r="AF146" s="64">
        <f>'[1]Food Security'!G143</f>
        <v>3</v>
      </c>
      <c r="AG146" s="64">
        <f>'[1]Macro Fiscal'!G143</f>
        <v>7.7272727272727204</v>
      </c>
      <c r="AH146" s="64">
        <f>'[1]Socioeconomic Vulnerability'!G143</f>
        <v>0</v>
      </c>
      <c r="AI146" s="64">
        <f>'[1]Natural Hazard'!G143</f>
        <v>0</v>
      </c>
      <c r="AJ146" s="64">
        <f>'[1]Fragility and Conflict'!G143</f>
        <v>0</v>
      </c>
      <c r="AK146" s="60"/>
      <c r="AL146" s="66">
        <v>0</v>
      </c>
      <c r="AM146" s="66">
        <v>0.4</v>
      </c>
      <c r="AN146" s="60"/>
      <c r="AO146" s="60"/>
      <c r="AP146" s="60"/>
      <c r="AQ146" s="60"/>
      <c r="AR146" s="60"/>
      <c r="AS146" s="60"/>
      <c r="AT146" s="60"/>
      <c r="AU146" s="60"/>
      <c r="AV146" s="60"/>
      <c r="AW146" s="60"/>
      <c r="AX146" s="60"/>
      <c r="AY146" s="60"/>
      <c r="AZ146" s="60"/>
      <c r="BA146" s="60"/>
      <c r="BB146" s="60"/>
      <c r="BC146" s="60"/>
      <c r="BD146" s="60"/>
      <c r="BE146" s="60"/>
      <c r="BF146" s="60"/>
      <c r="BG146" s="60"/>
      <c r="BH146" s="60"/>
      <c r="BI146" s="60"/>
      <c r="BJ146" s="60"/>
      <c r="BK146" s="60"/>
      <c r="BL146" s="60"/>
      <c r="BM146" s="60"/>
      <c r="BN146" s="60"/>
      <c r="BO146" s="60"/>
      <c r="BP146" s="60"/>
      <c r="BQ146" s="60"/>
      <c r="BR146" s="60"/>
      <c r="BS146" s="60"/>
      <c r="BT146" s="60"/>
      <c r="BU146" s="60"/>
    </row>
    <row r="147" spans="1:73" s="67" customFormat="1" x14ac:dyDescent="0.2">
      <c r="A147" s="58">
        <v>142</v>
      </c>
      <c r="B147" s="59" t="s">
        <v>865</v>
      </c>
      <c r="C147" s="59" t="s">
        <v>866</v>
      </c>
      <c r="D147" s="60"/>
      <c r="E147" s="61">
        <f>COUNTIF($Q147:$V147,10)</f>
        <v>0</v>
      </c>
      <c r="F147" s="62">
        <f>E147</f>
        <v>0</v>
      </c>
      <c r="G147" s="61">
        <f>COUNTIF($X147:$AC147,10)</f>
        <v>0</v>
      </c>
      <c r="H147" s="63">
        <f>G147</f>
        <v>0</v>
      </c>
      <c r="I147" s="60">
        <f>COUNTIF($AE147:$AJ147,10)</f>
        <v>0</v>
      </c>
      <c r="J147" s="63">
        <f>I147</f>
        <v>0</v>
      </c>
      <c r="K147" s="63"/>
      <c r="L147" s="61">
        <f>COUNTIF($X147:$AC147,10)+COUNTIFS($X147:$AC147,"&gt;=7",$X147:$AC147,"&lt;10")/2</f>
        <v>0.5</v>
      </c>
      <c r="M147" s="63" t="str">
        <f>_xlfn.CONCAT(COUNTIF($X147:$AC147,10)+COUNTIFS($X147:$AC147,"&gt;=7",$X147:$AC147,"&lt;10")/2,REPT("*",COUNTBLANK($X147:$AC147)))</f>
        <v>0.5</v>
      </c>
      <c r="N147" s="60">
        <v>0.5</v>
      </c>
      <c r="O147" s="60">
        <v>0.5</v>
      </c>
      <c r="P147" s="60"/>
      <c r="Q147" s="64">
        <v>6.86</v>
      </c>
      <c r="R147" s="64">
        <v>5.2870813397129197</v>
      </c>
      <c r="S147" s="64">
        <v>0</v>
      </c>
      <c r="T147" s="64">
        <v>5.1428571428571397</v>
      </c>
      <c r="U147" s="64">
        <v>7.13080817613689</v>
      </c>
      <c r="V147" s="64">
        <v>7.2444444444444498</v>
      </c>
      <c r="W147" s="61"/>
      <c r="X147" s="64">
        <f>[1]Health!F144</f>
        <v>6.86</v>
      </c>
      <c r="Y147" s="64">
        <f>'[1]Food Security'!F144</f>
        <v>5.2870813397129197</v>
      </c>
      <c r="Z147" s="64">
        <f>'[1]Macro Fiscal'!F144</f>
        <v>5.7024793388429798</v>
      </c>
      <c r="AA147" s="64">
        <f>'[1]Socioeconomic Vulnerability'!F144</f>
        <v>7</v>
      </c>
      <c r="AB147" s="64">
        <f>'[1]Natural Hazard'!F144</f>
        <v>2.6666666666666701</v>
      </c>
      <c r="AC147" s="64">
        <f>'[1]Fragility and Conflict'!F144</f>
        <v>144</v>
      </c>
      <c r="AD147" s="61"/>
      <c r="AE147" s="64">
        <f>[1]Health!G144</f>
        <v>6.14968</v>
      </c>
      <c r="AF147" s="64">
        <f>'[1]Food Security'!G144</f>
        <v>1</v>
      </c>
      <c r="AG147" s="64">
        <f>'[1]Macro Fiscal'!G144</f>
        <v>6.5909090909090802</v>
      </c>
      <c r="AH147" s="64">
        <f>'[1]Socioeconomic Vulnerability'!G144</f>
        <v>0</v>
      </c>
      <c r="AI147" s="64">
        <f>'[1]Natural Hazard'!G144</f>
        <v>0</v>
      </c>
      <c r="AJ147" s="64">
        <f>'[1]Fragility and Conflict'!G144</f>
        <v>0</v>
      </c>
      <c r="AK147" s="60"/>
      <c r="AL147" s="66">
        <v>0</v>
      </c>
      <c r="AM147" s="66">
        <v>0.3</v>
      </c>
      <c r="AN147" s="60"/>
      <c r="AO147" s="60"/>
      <c r="AP147" s="60"/>
      <c r="AQ147" s="60"/>
      <c r="AR147" s="60"/>
      <c r="AS147" s="60"/>
      <c r="AT147" s="60"/>
      <c r="AU147" s="60"/>
      <c r="AV147" s="60"/>
      <c r="AW147" s="60"/>
      <c r="AX147" s="60"/>
      <c r="AY147" s="60"/>
      <c r="AZ147" s="60"/>
      <c r="BA147" s="60"/>
      <c r="BB147" s="60"/>
      <c r="BC147" s="60"/>
      <c r="BD147" s="60"/>
      <c r="BE147" s="60"/>
      <c r="BF147" s="60"/>
      <c r="BG147" s="60"/>
      <c r="BH147" s="60"/>
      <c r="BI147" s="60"/>
      <c r="BJ147" s="60"/>
      <c r="BK147" s="60"/>
      <c r="BL147" s="60"/>
      <c r="BM147" s="60"/>
      <c r="BN147" s="60"/>
      <c r="BO147" s="60"/>
      <c r="BP147" s="60"/>
      <c r="BQ147" s="60"/>
      <c r="BR147" s="60"/>
      <c r="BS147" s="60"/>
      <c r="BT147" s="60"/>
      <c r="BU147" s="60"/>
    </row>
    <row r="148" spans="1:73" s="67" customFormat="1" x14ac:dyDescent="0.2">
      <c r="A148" s="58">
        <v>143</v>
      </c>
      <c r="B148" s="59" t="s">
        <v>870</v>
      </c>
      <c r="C148" s="59" t="s">
        <v>871</v>
      </c>
      <c r="D148" s="60"/>
      <c r="E148" s="61">
        <f>COUNTIF($Q148:$V148,10)</f>
        <v>0</v>
      </c>
      <c r="F148" s="62">
        <f>E148</f>
        <v>0</v>
      </c>
      <c r="G148" s="61">
        <f>COUNTIF($X148:$AC148,10)</f>
        <v>0</v>
      </c>
      <c r="H148" s="63">
        <f>G148</f>
        <v>0</v>
      </c>
      <c r="I148" s="60">
        <f>COUNTIF($AE148:$AJ148,10)</f>
        <v>1</v>
      </c>
      <c r="J148" s="63">
        <f>I148</f>
        <v>1</v>
      </c>
      <c r="K148" s="63"/>
      <c r="L148" s="61">
        <f>COUNTIF($X148:$AC148,10)+COUNTIFS($X148:$AC148,"&gt;=7",$X148:$AC148,"&lt;10")/2</f>
        <v>0</v>
      </c>
      <c r="M148" s="63" t="str">
        <f>_xlfn.CONCAT(COUNTIF($X148:$AC148,10)+COUNTIFS($X148:$AC148,"&gt;=7",$X148:$AC148,"&lt;10")/2,REPT("*",COUNTBLANK($X148:$AC148)))</f>
        <v>0</v>
      </c>
      <c r="N148" s="60">
        <v>1.5</v>
      </c>
      <c r="O148" s="60">
        <v>1.5</v>
      </c>
      <c r="P148" s="60"/>
      <c r="Q148" s="64">
        <v>5.76</v>
      </c>
      <c r="R148" s="64">
        <v>0</v>
      </c>
      <c r="S148" s="64">
        <v>0</v>
      </c>
      <c r="T148" s="64">
        <v>1.71428571428572</v>
      </c>
      <c r="U148" s="64">
        <v>4.6651649576840404</v>
      </c>
      <c r="V148" s="64">
        <v>4.8555555555555596</v>
      </c>
      <c r="W148" s="61"/>
      <c r="X148" s="64">
        <f>[1]Health!F145</f>
        <v>5.76</v>
      </c>
      <c r="Y148" s="64">
        <f>'[1]Food Security'!F145</f>
        <v>0</v>
      </c>
      <c r="Z148" s="64">
        <f>'[1]Macro Fiscal'!F145</f>
        <v>3.5041322314049599</v>
      </c>
      <c r="AA148" s="64">
        <f>'[1]Socioeconomic Vulnerability'!F145</f>
        <v>0</v>
      </c>
      <c r="AB148" s="64">
        <f>'[1]Natural Hazard'!F145</f>
        <v>0.83333333333333404</v>
      </c>
      <c r="AC148" s="64">
        <f>'[1]Fragility and Conflict'!F145</f>
        <v>145</v>
      </c>
      <c r="AD148" s="61"/>
      <c r="AE148" s="64">
        <f>[1]Health!G145</f>
        <v>10</v>
      </c>
      <c r="AF148" s="64">
        <f>'[1]Food Security'!G145</f>
        <v>1</v>
      </c>
      <c r="AG148" s="64">
        <f>'[1]Macro Fiscal'!G145</f>
        <v>0</v>
      </c>
      <c r="AH148" s="64">
        <f>'[1]Socioeconomic Vulnerability'!G145</f>
        <v>0</v>
      </c>
      <c r="AI148" s="64">
        <f>'[1]Natural Hazard'!G145</f>
        <v>0</v>
      </c>
      <c r="AJ148" s="64">
        <f>'[1]Fragility and Conflict'!G145</f>
        <v>0</v>
      </c>
      <c r="AK148" s="60"/>
      <c r="AL148" s="66">
        <v>0</v>
      </c>
      <c r="AM148" s="66">
        <v>0.3</v>
      </c>
      <c r="AN148" s="60"/>
      <c r="AO148" s="60"/>
      <c r="AP148" s="60"/>
      <c r="AQ148" s="60"/>
      <c r="AR148" s="60"/>
      <c r="AS148" s="60"/>
      <c r="AT148" s="60"/>
      <c r="AU148" s="60"/>
      <c r="AV148" s="60"/>
      <c r="AW148" s="60"/>
      <c r="AX148" s="60"/>
      <c r="AY148" s="60"/>
      <c r="AZ148" s="60"/>
      <c r="BA148" s="60"/>
      <c r="BB148" s="60"/>
      <c r="BC148" s="60"/>
      <c r="BD148" s="60"/>
      <c r="BE148" s="60"/>
      <c r="BF148" s="60"/>
      <c r="BG148" s="60"/>
      <c r="BH148" s="60"/>
      <c r="BI148" s="60"/>
      <c r="BJ148" s="60"/>
      <c r="BK148" s="60"/>
      <c r="BL148" s="60"/>
      <c r="BM148" s="60"/>
      <c r="BN148" s="60"/>
      <c r="BO148" s="60"/>
      <c r="BP148" s="60"/>
      <c r="BQ148" s="60"/>
      <c r="BR148" s="60"/>
      <c r="BS148" s="60"/>
      <c r="BT148" s="60"/>
      <c r="BU148" s="60"/>
    </row>
    <row r="149" spans="1:73" s="67" customFormat="1" x14ac:dyDescent="0.2">
      <c r="A149" s="58">
        <v>144</v>
      </c>
      <c r="B149" s="59" t="s">
        <v>873</v>
      </c>
      <c r="C149" s="59" t="s">
        <v>874</v>
      </c>
      <c r="D149" s="60"/>
      <c r="E149" s="61">
        <f>COUNTIF($Q149:$V149,10)</f>
        <v>0</v>
      </c>
      <c r="F149" s="62">
        <f>E149</f>
        <v>0</v>
      </c>
      <c r="G149" s="61">
        <f>COUNTIF($X149:$AC149,10)</f>
        <v>0</v>
      </c>
      <c r="H149" s="63">
        <f>G149</f>
        <v>0</v>
      </c>
      <c r="I149" s="60">
        <f>COUNTIF($AE149:$AJ149,10)</f>
        <v>0</v>
      </c>
      <c r="J149" s="63">
        <f>I149</f>
        <v>0</v>
      </c>
      <c r="K149" s="63"/>
      <c r="L149" s="61">
        <f>COUNTIF($X149:$AC149,10)+COUNTIFS($X149:$AC149,"&gt;=7",$X149:$AC149,"&lt;10")/2</f>
        <v>0.5</v>
      </c>
      <c r="M149" s="63" t="str">
        <f>_xlfn.CONCAT(COUNTIF($X149:$AC149,10)+COUNTIFS($X149:$AC149,"&gt;=7",$X149:$AC149,"&lt;10")/2,REPT("*",COUNTBLANK($X149:$AC149)))</f>
        <v>0.5</v>
      </c>
      <c r="N149" s="60">
        <v>2.5</v>
      </c>
      <c r="O149" s="60">
        <v>2.5</v>
      </c>
      <c r="P149" s="60"/>
      <c r="Q149" s="64">
        <v>4.84</v>
      </c>
      <c r="R149" s="64">
        <v>2.4641148325358802</v>
      </c>
      <c r="S149" s="64">
        <v>1.9512195121951199</v>
      </c>
      <c r="T149" s="64">
        <v>2.71428571428571</v>
      </c>
      <c r="U149" s="64">
        <v>8.8400521524361295</v>
      </c>
      <c r="V149" s="64">
        <v>5.18888888888889</v>
      </c>
      <c r="W149" s="61"/>
      <c r="X149" s="64">
        <f>[1]Health!F146</f>
        <v>4.84</v>
      </c>
      <c r="Y149" s="64">
        <f>'[1]Food Security'!F146</f>
        <v>2.4641148325358899</v>
      </c>
      <c r="Z149" s="64">
        <f>'[1]Macro Fiscal'!F146</f>
        <v>4.69421487603306</v>
      </c>
      <c r="AA149" s="64">
        <f>'[1]Socioeconomic Vulnerability'!F146</f>
        <v>7.4582060859316899</v>
      </c>
      <c r="AB149" s="64">
        <f>'[1]Natural Hazard'!F146</f>
        <v>5.1666666666666696</v>
      </c>
      <c r="AC149" s="64">
        <f>'[1]Fragility and Conflict'!F146</f>
        <v>146</v>
      </c>
      <c r="AD149" s="61"/>
      <c r="AE149" s="64">
        <f>[1]Health!G146</f>
        <v>7.1440000000000001</v>
      </c>
      <c r="AF149" s="64">
        <f>'[1]Food Security'!G146</f>
        <v>3</v>
      </c>
      <c r="AG149" s="64">
        <f>'[1]Macro Fiscal'!G146</f>
        <v>2.9545454545454501</v>
      </c>
      <c r="AH149" s="64">
        <f>'[1]Socioeconomic Vulnerability'!G146</f>
        <v>0</v>
      </c>
      <c r="AI149" s="64">
        <f>'[1]Natural Hazard'!G146</f>
        <v>0</v>
      </c>
      <c r="AJ149" s="64">
        <f>'[1]Fragility and Conflict'!G146</f>
        <v>0</v>
      </c>
      <c r="AK149" s="60"/>
      <c r="AL149" s="66">
        <v>0</v>
      </c>
      <c r="AM149" s="66">
        <v>0.3</v>
      </c>
      <c r="AN149" s="60"/>
      <c r="AO149" s="60"/>
      <c r="AP149" s="60"/>
      <c r="AQ149" s="60"/>
      <c r="AR149" s="60"/>
      <c r="AS149" s="60"/>
      <c r="AT149" s="60"/>
      <c r="AU149" s="60"/>
      <c r="AV149" s="60"/>
      <c r="AW149" s="60"/>
      <c r="AX149" s="60"/>
      <c r="AY149" s="60"/>
      <c r="AZ149" s="60"/>
      <c r="BA149" s="60"/>
      <c r="BB149" s="60"/>
      <c r="BC149" s="60"/>
      <c r="BD149" s="60"/>
      <c r="BE149" s="60"/>
      <c r="BF149" s="60"/>
      <c r="BG149" s="60"/>
      <c r="BH149" s="60"/>
      <c r="BI149" s="60"/>
      <c r="BJ149" s="60"/>
      <c r="BK149" s="60"/>
      <c r="BL149" s="60"/>
      <c r="BM149" s="60"/>
      <c r="BN149" s="60"/>
      <c r="BO149" s="60"/>
      <c r="BP149" s="60"/>
      <c r="BQ149" s="60"/>
      <c r="BR149" s="60"/>
      <c r="BS149" s="60"/>
      <c r="BT149" s="60"/>
      <c r="BU149" s="60"/>
    </row>
    <row r="150" spans="1:73" s="67" customFormat="1" x14ac:dyDescent="0.2">
      <c r="A150" s="58">
        <v>145</v>
      </c>
      <c r="B150" s="59" t="s">
        <v>877</v>
      </c>
      <c r="C150" s="59" t="s">
        <v>878</v>
      </c>
      <c r="D150" s="60"/>
      <c r="E150" s="61">
        <f>COUNTIF($Q150:$V150,10)</f>
        <v>0</v>
      </c>
      <c r="F150" s="62">
        <f>E150</f>
        <v>0</v>
      </c>
      <c r="G150" s="61">
        <f>COUNTIF($X150:$AC150,10)</f>
        <v>0</v>
      </c>
      <c r="H150" s="63">
        <f>G150</f>
        <v>0</v>
      </c>
      <c r="I150" s="60">
        <f>COUNTIF($AE150:$AJ150,10)</f>
        <v>0</v>
      </c>
      <c r="J150" s="63">
        <f>I150</f>
        <v>0</v>
      </c>
      <c r="K150" s="63"/>
      <c r="L150" s="61">
        <f>COUNTIF($X150:$AC150,10)+COUNTIFS($X150:$AC150,"&gt;=7",$X150:$AC150,"&lt;10")/2</f>
        <v>1.5</v>
      </c>
      <c r="M150" s="63" t="str">
        <f>_xlfn.CONCAT(COUNTIF($X150:$AC150,10)+COUNTIFS($X150:$AC150,"&gt;=7",$X150:$AC150,"&lt;10")/2,REPT("*",COUNTBLANK($X150:$AC150)))</f>
        <v>1.5</v>
      </c>
      <c r="N150" s="60">
        <v>1</v>
      </c>
      <c r="O150" s="60">
        <v>1</v>
      </c>
      <c r="P150" s="60"/>
      <c r="Q150" s="64">
        <v>5.14</v>
      </c>
      <c r="R150" s="64">
        <v>2.5837320574162699</v>
      </c>
      <c r="S150" s="64">
        <v>0.97560975609755995</v>
      </c>
      <c r="T150" s="64">
        <v>2.28571428571429</v>
      </c>
      <c r="U150" s="64">
        <v>9.7418610988943097</v>
      </c>
      <c r="V150" s="64">
        <v>8.06666666666667</v>
      </c>
      <c r="W150" s="61"/>
      <c r="X150" s="64">
        <f>[1]Health!F147</f>
        <v>5.14</v>
      </c>
      <c r="Y150" s="64">
        <f>'[1]Food Security'!F147</f>
        <v>2.5837320574162699</v>
      </c>
      <c r="Z150" s="64">
        <f>'[1]Macro Fiscal'!F147</f>
        <v>7.1239669421487601</v>
      </c>
      <c r="AA150" s="64">
        <f>'[1]Socioeconomic Vulnerability'!F147</f>
        <v>7</v>
      </c>
      <c r="AB150" s="64">
        <f>'[1]Natural Hazard'!F147</f>
        <v>7.8333333333333304</v>
      </c>
      <c r="AC150" s="64">
        <f>'[1]Fragility and Conflict'!F147</f>
        <v>147</v>
      </c>
      <c r="AD150" s="61"/>
      <c r="AE150" s="64">
        <f>[1]Health!G147</f>
        <v>6.0720000000000001</v>
      </c>
      <c r="AF150" s="64">
        <f>'[1]Food Security'!G147</f>
        <v>3</v>
      </c>
      <c r="AG150" s="64">
        <f>'[1]Macro Fiscal'!G147</f>
        <v>2.0454545454545499</v>
      </c>
      <c r="AH150" s="64">
        <f>'[1]Socioeconomic Vulnerability'!G147</f>
        <v>0</v>
      </c>
      <c r="AI150" s="64">
        <f>'[1]Natural Hazard'!G147</f>
        <v>0</v>
      </c>
      <c r="AJ150" s="64">
        <f>'[1]Fragility and Conflict'!G147</f>
        <v>0</v>
      </c>
      <c r="AK150" s="60"/>
      <c r="AL150" s="66">
        <v>0</v>
      </c>
      <c r="AM150" s="66">
        <v>0.2</v>
      </c>
      <c r="AN150" s="60"/>
      <c r="AO150" s="60"/>
      <c r="AP150" s="60"/>
      <c r="AQ150" s="60"/>
      <c r="AR150" s="60"/>
      <c r="AS150" s="60"/>
      <c r="AT150" s="60"/>
      <c r="AU150" s="60"/>
      <c r="AV150" s="60"/>
      <c r="AW150" s="60"/>
      <c r="AX150" s="60"/>
      <c r="AY150" s="60"/>
      <c r="AZ150" s="60"/>
      <c r="BA150" s="60"/>
      <c r="BB150" s="60"/>
      <c r="BC150" s="60"/>
      <c r="BD150" s="60"/>
      <c r="BE150" s="60"/>
      <c r="BF150" s="60"/>
      <c r="BG150" s="60"/>
      <c r="BH150" s="60"/>
      <c r="BI150" s="60"/>
      <c r="BJ150" s="60"/>
      <c r="BK150" s="60"/>
      <c r="BL150" s="60"/>
      <c r="BM150" s="60"/>
      <c r="BN150" s="60"/>
      <c r="BO150" s="60"/>
      <c r="BP150" s="60"/>
      <c r="BQ150" s="60"/>
      <c r="BR150" s="60"/>
      <c r="BS150" s="60"/>
      <c r="BT150" s="60"/>
      <c r="BU150" s="60"/>
    </row>
    <row r="151" spans="1:73" s="67" customFormat="1" x14ac:dyDescent="0.2">
      <c r="A151" s="58">
        <v>146</v>
      </c>
      <c r="B151" s="59" t="s">
        <v>881</v>
      </c>
      <c r="C151" s="59" t="s">
        <v>882</v>
      </c>
      <c r="D151" s="60"/>
      <c r="E151" s="61">
        <f>COUNTIF($Q151:$V151,10)</f>
        <v>0</v>
      </c>
      <c r="F151" s="62">
        <f>E151</f>
        <v>0</v>
      </c>
      <c r="G151" s="61">
        <f>COUNTIF($X151:$AC151,10)</f>
        <v>0</v>
      </c>
      <c r="H151" s="63">
        <f>G151</f>
        <v>0</v>
      </c>
      <c r="I151" s="60">
        <f>COUNTIF($AE151:$AJ151,10)</f>
        <v>0</v>
      </c>
      <c r="J151" s="63">
        <f>I151</f>
        <v>0</v>
      </c>
      <c r="K151" s="63"/>
      <c r="L151" s="61">
        <f>COUNTIF($X151:$AC151,10)+COUNTIFS($X151:$AC151,"&gt;=7",$X151:$AC151,"&lt;10")/2</f>
        <v>1</v>
      </c>
      <c r="M151" s="63" t="str">
        <f>_xlfn.CONCAT(COUNTIF($X151:$AC151,10)+COUNTIFS($X151:$AC151,"&gt;=7",$X151:$AC151,"&lt;10")/2,REPT("*",COUNTBLANK($X151:$AC151)))</f>
        <v>1</v>
      </c>
      <c r="N151" s="60">
        <v>2</v>
      </c>
      <c r="O151" s="60">
        <v>2</v>
      </c>
      <c r="P151" s="60"/>
      <c r="Q151" s="64">
        <v>7.5</v>
      </c>
      <c r="R151" s="64">
        <v>9.0669856459330092</v>
      </c>
      <c r="S151" s="64">
        <v>8.3114446529080706</v>
      </c>
      <c r="T151" s="64">
        <v>9</v>
      </c>
      <c r="U151" s="64">
        <v>7.2112478515370402</v>
      </c>
      <c r="V151" s="64">
        <v>9.5555555555555607</v>
      </c>
      <c r="W151" s="61"/>
      <c r="X151" s="64">
        <f>[1]Health!F148</f>
        <v>7.5</v>
      </c>
      <c r="Y151" s="64">
        <f>'[1]Food Security'!F148</f>
        <v>9.0669856459330198</v>
      </c>
      <c r="Z151" s="64">
        <f>'[1]Macro Fiscal'!F148</f>
        <v>6.6611570247933898</v>
      </c>
      <c r="AA151" s="64">
        <f>'[1]Socioeconomic Vulnerability'!F148</f>
        <v>0</v>
      </c>
      <c r="AB151" s="64">
        <f>'[1]Natural Hazard'!F148</f>
        <v>4.1666666666666696</v>
      </c>
      <c r="AC151" s="64">
        <f>'[1]Fragility and Conflict'!F148</f>
        <v>148</v>
      </c>
      <c r="AD151" s="61"/>
      <c r="AE151" s="64">
        <f>[1]Health!G148</f>
        <v>9.5238095238094793</v>
      </c>
      <c r="AF151" s="64">
        <f>'[1]Food Security'!G148</f>
        <v>5</v>
      </c>
      <c r="AG151" s="64">
        <f>'[1]Macro Fiscal'!G148</f>
        <v>8.4090909090909207</v>
      </c>
      <c r="AH151" s="64">
        <f>'[1]Socioeconomic Vulnerability'!G148</f>
        <v>0</v>
      </c>
      <c r="AI151" s="64">
        <f>'[1]Natural Hazard'!G148</f>
        <v>0</v>
      </c>
      <c r="AJ151" s="64">
        <f>'[1]Fragility and Conflict'!G148</f>
        <v>0</v>
      </c>
      <c r="AK151" s="60"/>
      <c r="AL151" s="66">
        <v>0</v>
      </c>
      <c r="AM151" s="66">
        <v>0.3</v>
      </c>
      <c r="AN151" s="60"/>
      <c r="AO151" s="60"/>
      <c r="AP151" s="60"/>
      <c r="AQ151" s="60"/>
      <c r="AR151" s="60"/>
      <c r="AS151" s="60"/>
      <c r="AT151" s="60"/>
      <c r="AU151" s="60"/>
      <c r="AV151" s="60"/>
      <c r="AW151" s="60"/>
      <c r="AX151" s="60"/>
      <c r="AY151" s="60"/>
      <c r="AZ151" s="60"/>
      <c r="BA151" s="60"/>
      <c r="BB151" s="60"/>
      <c r="BC151" s="60"/>
      <c r="BD151" s="60"/>
      <c r="BE151" s="60"/>
      <c r="BF151" s="60"/>
      <c r="BG151" s="60"/>
      <c r="BH151" s="60"/>
      <c r="BI151" s="60"/>
      <c r="BJ151" s="60"/>
      <c r="BK151" s="60"/>
      <c r="BL151" s="60"/>
      <c r="BM151" s="60"/>
      <c r="BN151" s="60"/>
      <c r="BO151" s="60"/>
      <c r="BP151" s="60"/>
      <c r="BQ151" s="60"/>
      <c r="BR151" s="60"/>
      <c r="BS151" s="60"/>
      <c r="BT151" s="60"/>
      <c r="BU151" s="60"/>
    </row>
    <row r="152" spans="1:73" s="67" customFormat="1" x14ac:dyDescent="0.2">
      <c r="A152" s="58">
        <v>147</v>
      </c>
      <c r="B152" s="59" t="s">
        <v>884</v>
      </c>
      <c r="C152" s="59" t="s">
        <v>885</v>
      </c>
      <c r="D152" s="60"/>
      <c r="E152" s="61">
        <f>COUNTIF($Q152:$V152,10)</f>
        <v>0</v>
      </c>
      <c r="F152" s="62">
        <f>E152</f>
        <v>0</v>
      </c>
      <c r="G152" s="61">
        <f>COUNTIF($X152:$AC152,10)</f>
        <v>0</v>
      </c>
      <c r="H152" s="63">
        <f>G152</f>
        <v>0</v>
      </c>
      <c r="I152" s="60">
        <f>COUNTIF($AE152:$AJ152,10)</f>
        <v>2</v>
      </c>
      <c r="J152" s="63">
        <f>I152</f>
        <v>2</v>
      </c>
      <c r="K152" s="63"/>
      <c r="L152" s="61">
        <f>COUNTIF($X152:$AC152,10)+COUNTIFS($X152:$AC152,"&gt;=7",$X152:$AC152,"&lt;10")/2</f>
        <v>0</v>
      </c>
      <c r="M152" s="63" t="str">
        <f>_xlfn.CONCAT(COUNTIF($X152:$AC152,10)+COUNTIFS($X152:$AC152,"&gt;=7",$X152:$AC152,"&lt;10")/2,REPT("*",COUNTBLANK($X152:$AC152)))</f>
        <v>0</v>
      </c>
      <c r="N152" s="60">
        <v>3</v>
      </c>
      <c r="O152" s="60">
        <v>3</v>
      </c>
      <c r="P152" s="60"/>
      <c r="Q152" s="64">
        <v>4.1399999999999997</v>
      </c>
      <c r="R152" s="64">
        <v>2.3923444976076498</v>
      </c>
      <c r="S152" s="64">
        <v>2.77673545966229</v>
      </c>
      <c r="T152" s="64">
        <v>1.71428571428572</v>
      </c>
      <c r="U152" s="64">
        <v>7.65291182249846</v>
      </c>
      <c r="V152" s="64">
        <v>7.6444444444444404</v>
      </c>
      <c r="W152" s="61"/>
      <c r="X152" s="64">
        <f>[1]Health!F149</f>
        <v>4.1399999999999997</v>
      </c>
      <c r="Y152" s="64">
        <f>'[1]Food Security'!F149</f>
        <v>2.39234449760766</v>
      </c>
      <c r="Z152" s="64">
        <f>'[1]Macro Fiscal'!F149</f>
        <v>4.9917355371900802</v>
      </c>
      <c r="AA152" s="64">
        <f>'[1]Socioeconomic Vulnerability'!F149</f>
        <v>0</v>
      </c>
      <c r="AB152" s="64">
        <f>'[1]Natural Hazard'!F149</f>
        <v>3.5</v>
      </c>
      <c r="AC152" s="64">
        <f>'[1]Fragility and Conflict'!F149</f>
        <v>149</v>
      </c>
      <c r="AD152" s="61"/>
      <c r="AE152" s="64">
        <f>[1]Health!G149</f>
        <v>10</v>
      </c>
      <c r="AF152" s="64">
        <f>'[1]Food Security'!G149</f>
        <v>5</v>
      </c>
      <c r="AG152" s="64">
        <f>'[1]Macro Fiscal'!G149</f>
        <v>3.86363636363637</v>
      </c>
      <c r="AH152" s="64">
        <f>'[1]Socioeconomic Vulnerability'!G149</f>
        <v>0</v>
      </c>
      <c r="AI152" s="64">
        <f>'[1]Natural Hazard'!G149</f>
        <v>10</v>
      </c>
      <c r="AJ152" s="64">
        <f>'[1]Fragility and Conflict'!G149</f>
        <v>0</v>
      </c>
      <c r="AK152" s="60"/>
      <c r="AL152" s="66">
        <v>0</v>
      </c>
      <c r="AM152" s="66">
        <v>0.3</v>
      </c>
      <c r="AN152" s="60"/>
      <c r="AO152" s="60"/>
      <c r="AP152" s="60"/>
      <c r="AQ152" s="60"/>
      <c r="AR152" s="60"/>
      <c r="AS152" s="60"/>
      <c r="AT152" s="60"/>
      <c r="AU152" s="60"/>
      <c r="AV152" s="60"/>
      <c r="AW152" s="60"/>
      <c r="AX152" s="60"/>
      <c r="AY152" s="60"/>
      <c r="AZ152" s="60"/>
      <c r="BA152" s="60"/>
      <c r="BB152" s="60"/>
      <c r="BC152" s="60"/>
      <c r="BD152" s="60"/>
      <c r="BE152" s="60"/>
      <c r="BF152" s="60"/>
      <c r="BG152" s="60"/>
      <c r="BH152" s="60"/>
      <c r="BI152" s="60"/>
      <c r="BJ152" s="60"/>
      <c r="BK152" s="60"/>
      <c r="BL152" s="60"/>
      <c r="BM152" s="60"/>
      <c r="BN152" s="60"/>
      <c r="BO152" s="60"/>
      <c r="BP152" s="60"/>
      <c r="BQ152" s="60"/>
      <c r="BR152" s="60"/>
      <c r="BS152" s="60"/>
      <c r="BT152" s="60"/>
      <c r="BU152" s="60"/>
    </row>
    <row r="153" spans="1:73" s="67" customFormat="1" x14ac:dyDescent="0.2">
      <c r="A153" s="58">
        <v>148</v>
      </c>
      <c r="B153" s="59" t="s">
        <v>887</v>
      </c>
      <c r="C153" s="59" t="s">
        <v>888</v>
      </c>
      <c r="D153" s="60"/>
      <c r="E153" s="61">
        <f>COUNTIF($Q153:$V153,10)</f>
        <v>2</v>
      </c>
      <c r="F153" s="62">
        <f>E153</f>
        <v>2</v>
      </c>
      <c r="G153" s="61">
        <f>COUNTIF($X153:$AC153,10)</f>
        <v>3</v>
      </c>
      <c r="H153" s="63">
        <f>G153</f>
        <v>3</v>
      </c>
      <c r="I153" s="60">
        <f>COUNTIF($AE153:$AJ153,10)</f>
        <v>2</v>
      </c>
      <c r="J153" s="63">
        <f>I153</f>
        <v>2</v>
      </c>
      <c r="K153" s="63"/>
      <c r="L153" s="61">
        <f>COUNTIF($X153:$AC153,10)+COUNTIFS($X153:$AC153,"&gt;=7",$X153:$AC153,"&lt;10")/2</f>
        <v>3.5</v>
      </c>
      <c r="M153" s="63" t="str">
        <f>_xlfn.CONCAT(COUNTIF($X153:$AC153,10)+COUNTIFS($X153:$AC153,"&gt;=7",$X153:$AC153,"&lt;10")/2,REPT("*",COUNTBLANK($X153:$AC153)))</f>
        <v>3.5</v>
      </c>
      <c r="N153" s="60">
        <v>4</v>
      </c>
      <c r="O153" s="60">
        <v>4</v>
      </c>
      <c r="P153" s="60"/>
      <c r="Q153" s="64">
        <f>IFERROR(GEOMEAN(X153,AE153), MAX(X153,AE153))</f>
        <v>9.7467943448089631</v>
      </c>
      <c r="R153" s="64">
        <f>IFERROR(GEOMEAN(Y153,AF153), MAX(Y153,AF153))</f>
        <v>10</v>
      </c>
      <c r="S153" s="64">
        <f>IFERROR(GEOMEAN(Z153,AG153), MAX(Z153,AG153))</f>
        <v>8.6602540378443873</v>
      </c>
      <c r="T153" s="64">
        <f>IFERROR(GEOMEAN(AA153,AH153), MAX(AA153,AH153))</f>
        <v>10</v>
      </c>
      <c r="U153" s="64">
        <f>IFERROR(GEOMEAN(AB153,AI153), MAX(AB153,AI153))</f>
        <v>5.3333333333333304</v>
      </c>
      <c r="V153" s="64">
        <f>IFERROR(GEOMEAN(AC153,AJ153), MAX(AC153,AJ153))</f>
        <v>150</v>
      </c>
      <c r="W153" s="61"/>
      <c r="X153" s="64">
        <f>[1]Health!F150</f>
        <v>9.5</v>
      </c>
      <c r="Y153" s="64">
        <f>'[1]Food Security'!F150</f>
        <v>10</v>
      </c>
      <c r="Z153" s="64">
        <f>'[1]Macro Fiscal'!F150</f>
        <v>10</v>
      </c>
      <c r="AA153" s="64">
        <f>'[1]Socioeconomic Vulnerability'!F150</f>
        <v>10</v>
      </c>
      <c r="AB153" s="64">
        <f>'[1]Natural Hazard'!F150</f>
        <v>5.3333333333333304</v>
      </c>
      <c r="AC153" s="64">
        <f>'[1]Fragility and Conflict'!F150</f>
        <v>150</v>
      </c>
      <c r="AD153" s="61"/>
      <c r="AE153" s="64">
        <f>[1]Health!G150</f>
        <v>10</v>
      </c>
      <c r="AF153" s="64">
        <f>'[1]Food Security'!G150</f>
        <v>10</v>
      </c>
      <c r="AG153" s="64">
        <f>'[1]Macro Fiscal'!G150</f>
        <v>7.5</v>
      </c>
      <c r="AH153" s="64">
        <f>'[1]Socioeconomic Vulnerability'!G150</f>
        <v>0</v>
      </c>
      <c r="AI153" s="64">
        <f>'[1]Natural Hazard'!G150</f>
        <v>0</v>
      </c>
      <c r="AJ153" s="64">
        <f>'[1]Fragility and Conflict'!G150</f>
        <v>0</v>
      </c>
      <c r="AK153" s="60"/>
      <c r="AL153" s="66">
        <v>0</v>
      </c>
      <c r="AM153" s="66">
        <v>0.2</v>
      </c>
      <c r="AN153" s="60"/>
      <c r="AO153" s="60"/>
      <c r="AP153" s="60"/>
      <c r="AQ153" s="60"/>
      <c r="AR153" s="60"/>
      <c r="AS153" s="60"/>
      <c r="AT153" s="60"/>
      <c r="AU153" s="60"/>
      <c r="AV153" s="60"/>
      <c r="AW153" s="60"/>
      <c r="AX153" s="60"/>
      <c r="AY153" s="60"/>
      <c r="AZ153" s="60"/>
      <c r="BA153" s="60"/>
      <c r="BB153" s="60"/>
      <c r="BC153" s="60"/>
      <c r="BD153" s="60"/>
      <c r="BE153" s="60"/>
      <c r="BF153" s="60"/>
      <c r="BG153" s="60"/>
      <c r="BH153" s="60"/>
      <c r="BI153" s="60"/>
      <c r="BJ153" s="60"/>
      <c r="BK153" s="60"/>
      <c r="BL153" s="60"/>
      <c r="BM153" s="60"/>
      <c r="BN153" s="60"/>
      <c r="BO153" s="60"/>
      <c r="BP153" s="60"/>
      <c r="BQ153" s="60"/>
      <c r="BR153" s="60"/>
      <c r="BS153" s="60"/>
      <c r="BT153" s="60"/>
      <c r="BU153" s="60"/>
    </row>
    <row r="154" spans="1:73" s="67" customFormat="1" x14ac:dyDescent="0.2">
      <c r="A154" s="58">
        <v>149</v>
      </c>
      <c r="B154" s="59" t="s">
        <v>894</v>
      </c>
      <c r="C154" s="59" t="s">
        <v>895</v>
      </c>
      <c r="D154" s="60"/>
      <c r="E154" s="61">
        <f>COUNTIF($Q154:$V154,10)</f>
        <v>1</v>
      </c>
      <c r="F154" s="62">
        <f>E154</f>
        <v>1</v>
      </c>
      <c r="G154" s="61">
        <f>COUNTIF($X154:$AC154,10)</f>
        <v>1</v>
      </c>
      <c r="H154" s="63">
        <f>G154</f>
        <v>1</v>
      </c>
      <c r="I154" s="60">
        <f>COUNTIF($AE154:$AJ154,10)</f>
        <v>1</v>
      </c>
      <c r="J154" s="63">
        <f>I154</f>
        <v>1</v>
      </c>
      <c r="K154" s="63"/>
      <c r="L154" s="61">
        <f>COUNTIF($X154:$AC154,10)+COUNTIFS($X154:$AC154,"&gt;=7",$X154:$AC154,"&lt;10")/2</f>
        <v>2</v>
      </c>
      <c r="M154" s="63" t="str">
        <f>_xlfn.CONCAT(COUNTIF($X154:$AC154,10)+COUNTIFS($X154:$AC154,"&gt;=7",$X154:$AC154,"&lt;10")/2,REPT("*",COUNTBLANK($X154:$AC154)))</f>
        <v>2</v>
      </c>
      <c r="N154" s="60">
        <v>2</v>
      </c>
      <c r="O154" s="60">
        <v>2</v>
      </c>
      <c r="P154" s="60"/>
      <c r="Q154" s="64">
        <v>7.75</v>
      </c>
      <c r="R154" s="64">
        <v>7.3923444976076498</v>
      </c>
      <c r="S154" s="64">
        <v>10</v>
      </c>
      <c r="T154" s="64">
        <v>9</v>
      </c>
      <c r="U154" s="64">
        <v>7.6873133878788504</v>
      </c>
      <c r="V154" s="64">
        <v>8.2888888888888896</v>
      </c>
      <c r="W154" s="61"/>
      <c r="X154" s="64">
        <f>[1]Health!F151</f>
        <v>7.75</v>
      </c>
      <c r="Y154" s="64">
        <f>'[1]Food Security'!F151</f>
        <v>7.3923444976076604</v>
      </c>
      <c r="Z154" s="64">
        <f>'[1]Macro Fiscal'!F151</f>
        <v>6.2975206611570202</v>
      </c>
      <c r="AA154" s="64">
        <f>'[1]Socioeconomic Vulnerability'!F151</f>
        <v>10</v>
      </c>
      <c r="AB154" s="64">
        <f>'[1]Natural Hazard'!F151</f>
        <v>5.8333333333333304</v>
      </c>
      <c r="AC154" s="64">
        <f>'[1]Fragility and Conflict'!F151</f>
        <v>151</v>
      </c>
      <c r="AD154" s="61"/>
      <c r="AE154" s="64">
        <f>[1]Health!G151</f>
        <v>10</v>
      </c>
      <c r="AF154" s="64">
        <f>'[1]Food Security'!G151</f>
        <v>1</v>
      </c>
      <c r="AG154" s="64">
        <f>'[1]Macro Fiscal'!G151</f>
        <v>3.4090909090909198</v>
      </c>
      <c r="AH154" s="64">
        <f>'[1]Socioeconomic Vulnerability'!G151</f>
        <v>0</v>
      </c>
      <c r="AI154" s="64">
        <f>'[1]Natural Hazard'!G151</f>
        <v>0</v>
      </c>
      <c r="AJ154" s="64">
        <f>'[1]Fragility and Conflict'!G151</f>
        <v>0</v>
      </c>
      <c r="AK154" s="60"/>
      <c r="AL154" s="66">
        <v>0</v>
      </c>
      <c r="AM154" s="66">
        <v>0.3</v>
      </c>
      <c r="AN154" s="60"/>
      <c r="AO154" s="60"/>
      <c r="AP154" s="60"/>
      <c r="AQ154" s="60"/>
      <c r="AR154" s="60"/>
      <c r="AS154" s="60"/>
      <c r="AT154" s="60"/>
      <c r="AU154" s="60"/>
      <c r="AV154" s="60"/>
      <c r="AW154" s="60"/>
      <c r="AX154" s="60"/>
      <c r="AY154" s="60"/>
      <c r="AZ154" s="60"/>
      <c r="BA154" s="60"/>
      <c r="BB154" s="60"/>
      <c r="BC154" s="60"/>
      <c r="BD154" s="60"/>
      <c r="BE154" s="60"/>
      <c r="BF154" s="60"/>
      <c r="BG154" s="60"/>
      <c r="BH154" s="60"/>
      <c r="BI154" s="60"/>
      <c r="BJ154" s="60"/>
      <c r="BK154" s="60"/>
      <c r="BL154" s="60"/>
      <c r="BM154" s="60"/>
      <c r="BN154" s="60"/>
      <c r="BO154" s="60"/>
      <c r="BP154" s="60"/>
      <c r="BQ154" s="60"/>
      <c r="BR154" s="60"/>
      <c r="BS154" s="60"/>
      <c r="BT154" s="60"/>
      <c r="BU154" s="60"/>
    </row>
    <row r="155" spans="1:73" s="67" customFormat="1" x14ac:dyDescent="0.2">
      <c r="A155" s="58">
        <v>150</v>
      </c>
      <c r="B155" s="59" t="s">
        <v>899</v>
      </c>
      <c r="C155" s="59" t="s">
        <v>900</v>
      </c>
      <c r="D155" s="60"/>
      <c r="E155" s="61">
        <f>COUNTIF($Q155:$V155,10)</f>
        <v>0</v>
      </c>
      <c r="F155" s="62">
        <f>E155</f>
        <v>0</v>
      </c>
      <c r="G155" s="61">
        <f>COUNTIF($X155:$AC155,10)</f>
        <v>0</v>
      </c>
      <c r="H155" s="63">
        <f>G155</f>
        <v>0</v>
      </c>
      <c r="I155" s="60">
        <f>COUNTIF($AE155:$AJ155,10)</f>
        <v>0</v>
      </c>
      <c r="J155" s="63">
        <f>I155</f>
        <v>0</v>
      </c>
      <c r="K155" s="63"/>
      <c r="L155" s="61">
        <f>COUNTIF($X155:$AC155,10)+COUNTIFS($X155:$AC155,"&gt;=7",$X155:$AC155,"&lt;10")/2</f>
        <v>0</v>
      </c>
      <c r="M155" s="63" t="str">
        <f>_xlfn.CONCAT(COUNTIF($X155:$AC155,10)+COUNTIFS($X155:$AC155,"&gt;=7",$X155:$AC155,"&lt;10")/2,REPT("*",COUNTBLANK($X155:$AC155)))</f>
        <v>0</v>
      </c>
      <c r="N155" s="60">
        <v>0</v>
      </c>
      <c r="O155" s="60">
        <v>0</v>
      </c>
      <c r="P155" s="60"/>
      <c r="Q155" s="64">
        <v>2.2599999999999998</v>
      </c>
      <c r="R155" s="64">
        <v>0</v>
      </c>
      <c r="S155" s="64">
        <v>0.93808630393996095</v>
      </c>
      <c r="T155" s="64">
        <v>0.28571428571428598</v>
      </c>
      <c r="U155" s="64">
        <v>6.5803700647624597</v>
      </c>
      <c r="V155" s="64">
        <v>2.9222222222222198</v>
      </c>
      <c r="W155" s="61"/>
      <c r="X155" s="64">
        <f>[1]Health!F152</f>
        <v>2.2599999999999998</v>
      </c>
      <c r="Y155" s="64">
        <f>'[1]Food Security'!F152</f>
        <v>0</v>
      </c>
      <c r="Z155" s="64">
        <f>'[1]Macro Fiscal'!F152</f>
        <v>0</v>
      </c>
      <c r="AA155" s="64">
        <f>'[1]Socioeconomic Vulnerability'!F152</f>
        <v>0</v>
      </c>
      <c r="AB155" s="64">
        <f>'[1]Natural Hazard'!F152</f>
        <v>0</v>
      </c>
      <c r="AC155" s="64">
        <f>'[1]Fragility and Conflict'!F152</f>
        <v>152</v>
      </c>
      <c r="AD155" s="61"/>
      <c r="AE155" s="64">
        <f>[1]Health!G152</f>
        <v>2.3809523809523698</v>
      </c>
      <c r="AF155" s="64">
        <f>'[1]Food Security'!G152</f>
        <v>1</v>
      </c>
      <c r="AG155" s="64">
        <f>'[1]Macro Fiscal'!G152</f>
        <v>1.36363636363636</v>
      </c>
      <c r="AH155" s="64">
        <f>'[1]Socioeconomic Vulnerability'!G152</f>
        <v>0</v>
      </c>
      <c r="AI155" s="64">
        <f>'[1]Natural Hazard'!G152</f>
        <v>0</v>
      </c>
      <c r="AJ155" s="64">
        <f>'[1]Fragility and Conflict'!G152</f>
        <v>0</v>
      </c>
      <c r="AK155" s="60"/>
      <c r="AL155" s="66">
        <v>0</v>
      </c>
      <c r="AM155" s="66">
        <v>0.5</v>
      </c>
      <c r="AN155" s="60"/>
      <c r="AO155" s="60"/>
      <c r="AP155" s="60"/>
      <c r="AQ155" s="60"/>
      <c r="AR155" s="60"/>
      <c r="AS155" s="60"/>
      <c r="AT155" s="60"/>
      <c r="AU155" s="60"/>
      <c r="AV155" s="60"/>
      <c r="AW155" s="60"/>
      <c r="AX155" s="60"/>
      <c r="AY155" s="60"/>
      <c r="AZ155" s="60"/>
      <c r="BA155" s="60"/>
      <c r="BB155" s="60"/>
      <c r="BC155" s="60"/>
      <c r="BD155" s="60"/>
      <c r="BE155" s="60"/>
      <c r="BF155" s="60"/>
      <c r="BG155" s="60"/>
      <c r="BH155" s="60"/>
      <c r="BI155" s="60"/>
      <c r="BJ155" s="60"/>
      <c r="BK155" s="60"/>
      <c r="BL155" s="60"/>
      <c r="BM155" s="60"/>
      <c r="BN155" s="60"/>
      <c r="BO155" s="60"/>
      <c r="BP155" s="60"/>
      <c r="BQ155" s="60"/>
      <c r="BR155" s="60"/>
      <c r="BS155" s="60"/>
      <c r="BT155" s="60"/>
      <c r="BU155" s="60"/>
    </row>
    <row r="156" spans="1:73" s="67" customFormat="1" x14ac:dyDescent="0.2">
      <c r="A156" s="58">
        <v>151</v>
      </c>
      <c r="B156" s="59" t="s">
        <v>902</v>
      </c>
      <c r="C156" s="59" t="s">
        <v>903</v>
      </c>
      <c r="D156" s="60"/>
      <c r="E156" s="61">
        <f>COUNTIF($Q156:$V156,10)</f>
        <v>1</v>
      </c>
      <c r="F156" s="62">
        <f>E156</f>
        <v>1</v>
      </c>
      <c r="G156" s="61">
        <f>COUNTIF($X156:$AC156,10)</f>
        <v>0</v>
      </c>
      <c r="H156" s="63">
        <f>G156</f>
        <v>0</v>
      </c>
      <c r="I156" s="60">
        <f>COUNTIF($AE156:$AJ156,10)</f>
        <v>1</v>
      </c>
      <c r="J156" s="63">
        <f>I156</f>
        <v>1</v>
      </c>
      <c r="K156" s="63"/>
      <c r="L156" s="61">
        <f>COUNTIF($X156:$AC156,10)+COUNTIFS($X156:$AC156,"&gt;=7",$X156:$AC156,"&lt;10")/2</f>
        <v>2</v>
      </c>
      <c r="M156" s="63" t="str">
        <f>_xlfn.CONCAT(COUNTIF($X156:$AC156,10)+COUNTIFS($X156:$AC156,"&gt;=7",$X156:$AC156,"&lt;10")/2,REPT("*",COUNTBLANK($X156:$AC156)))</f>
        <v>2</v>
      </c>
      <c r="N156" s="60">
        <v>1.5</v>
      </c>
      <c r="O156" s="60">
        <v>1.5</v>
      </c>
      <c r="P156" s="60"/>
      <c r="Q156" s="64">
        <v>9.86</v>
      </c>
      <c r="R156" s="64">
        <v>9.1387559808612409</v>
      </c>
      <c r="S156" s="64">
        <v>7.7298311444652903</v>
      </c>
      <c r="T156" s="64">
        <v>8.4285714285714306</v>
      </c>
      <c r="U156" s="64">
        <v>8</v>
      </c>
      <c r="V156" s="64">
        <v>10</v>
      </c>
      <c r="W156" s="61"/>
      <c r="X156" s="64">
        <f>[1]Health!F153</f>
        <v>9.86</v>
      </c>
      <c r="Y156" s="64">
        <f>'[1]Food Security'!F153</f>
        <v>9.1387559808612497</v>
      </c>
      <c r="Z156" s="64">
        <f>'[1]Macro Fiscal'!F153</f>
        <v>0</v>
      </c>
      <c r="AA156" s="64">
        <f>'[1]Socioeconomic Vulnerability'!F153</f>
        <v>7.2393699827648303</v>
      </c>
      <c r="AB156" s="64">
        <f>'[1]Natural Hazard'!F153</f>
        <v>8</v>
      </c>
      <c r="AC156" s="64">
        <f>'[1]Fragility and Conflict'!F153</f>
        <v>153</v>
      </c>
      <c r="AD156" s="61"/>
      <c r="AE156" s="64">
        <f>[1]Health!G153</f>
        <v>7.8630769230769202</v>
      </c>
      <c r="AF156" s="64">
        <f>'[1]Food Security'!G153</f>
        <v>0</v>
      </c>
      <c r="AG156" s="64">
        <f>'[1]Macro Fiscal'!G153</f>
        <v>0</v>
      </c>
      <c r="AH156" s="64">
        <f>'[1]Socioeconomic Vulnerability'!G153</f>
        <v>0</v>
      </c>
      <c r="AI156" s="64">
        <f>'[1]Natural Hazard'!G153</f>
        <v>10</v>
      </c>
      <c r="AJ156" s="64">
        <f>'[1]Fragility and Conflict'!G153</f>
        <v>0</v>
      </c>
      <c r="AK156" s="60"/>
      <c r="AL156" s="66">
        <v>0</v>
      </c>
      <c r="AM156" s="66">
        <v>0.6</v>
      </c>
      <c r="AN156" s="60"/>
      <c r="AO156" s="60"/>
      <c r="AP156" s="60"/>
      <c r="AQ156" s="60"/>
      <c r="AR156" s="60"/>
      <c r="AS156" s="60"/>
      <c r="AT156" s="60"/>
      <c r="AU156" s="60"/>
      <c r="AV156" s="60"/>
      <c r="AW156" s="60"/>
      <c r="AX156" s="60"/>
      <c r="AY156" s="60"/>
      <c r="AZ156" s="60"/>
      <c r="BA156" s="60"/>
      <c r="BB156" s="60"/>
      <c r="BC156" s="60"/>
      <c r="BD156" s="60"/>
      <c r="BE156" s="60"/>
      <c r="BF156" s="60"/>
      <c r="BG156" s="60"/>
      <c r="BH156" s="60"/>
      <c r="BI156" s="60"/>
      <c r="BJ156" s="60"/>
      <c r="BK156" s="60"/>
      <c r="BL156" s="60"/>
      <c r="BM156" s="60"/>
      <c r="BN156" s="60"/>
      <c r="BO156" s="60"/>
      <c r="BP156" s="60"/>
      <c r="BQ156" s="60"/>
      <c r="BR156" s="60"/>
      <c r="BS156" s="60"/>
      <c r="BT156" s="60"/>
      <c r="BU156" s="60"/>
    </row>
    <row r="157" spans="1:73" s="67" customFormat="1" x14ac:dyDescent="0.2">
      <c r="A157" s="58">
        <v>152</v>
      </c>
      <c r="B157" s="59" t="s">
        <v>905</v>
      </c>
      <c r="C157" s="59" t="s">
        <v>906</v>
      </c>
      <c r="D157" s="60"/>
      <c r="E157" s="61">
        <f>COUNTIF($Q157:$V157,10)</f>
        <v>2</v>
      </c>
      <c r="F157" s="62">
        <f>E157</f>
        <v>2</v>
      </c>
      <c r="G157" s="61">
        <f>COUNTIF($X157:$AC157,10)</f>
        <v>1</v>
      </c>
      <c r="H157" s="63">
        <f>G157</f>
        <v>1</v>
      </c>
      <c r="I157" s="60">
        <f>COUNTIF($AE157:$AJ157,10)</f>
        <v>2</v>
      </c>
      <c r="J157" s="63">
        <f>I157</f>
        <v>2</v>
      </c>
      <c r="K157" s="63"/>
      <c r="L157" s="61">
        <f>COUNTIF($X157:$AC157,10)+COUNTIFS($X157:$AC157,"&gt;=7",$X157:$AC157,"&lt;10")/2</f>
        <v>2</v>
      </c>
      <c r="M157" s="63" t="str">
        <f>_xlfn.CONCAT(COUNTIF($X157:$AC157,10)+COUNTIFS($X157:$AC157,"&gt;=7",$X157:$AC157,"&lt;10")/2,REPT("*",COUNTBLANK($X157:$AC157)))</f>
        <v>2</v>
      </c>
      <c r="N157" s="60">
        <v>2.5</v>
      </c>
      <c r="O157" s="60">
        <v>2.5</v>
      </c>
      <c r="P157" s="60"/>
      <c r="Q157" s="64">
        <v>10</v>
      </c>
      <c r="R157" s="64">
        <v>9.6411483253588504</v>
      </c>
      <c r="S157" s="64">
        <v>10</v>
      </c>
      <c r="T157" s="64">
        <v>9.8571428571428594</v>
      </c>
      <c r="U157" s="64">
        <v>7.3486724613779897</v>
      </c>
      <c r="V157" s="64">
        <v>9.37777777777778</v>
      </c>
      <c r="W157" s="61"/>
      <c r="X157" s="64">
        <f>[1]Health!F154</f>
        <v>10</v>
      </c>
      <c r="Y157" s="64">
        <f>'[1]Food Security'!F154</f>
        <v>9.6411483253588504</v>
      </c>
      <c r="Z157" s="64">
        <f>'[1]Macro Fiscal'!F154</f>
        <v>8.2479338842975203</v>
      </c>
      <c r="AA157" s="64">
        <f>'[1]Socioeconomic Vulnerability'!F154</f>
        <v>0</v>
      </c>
      <c r="AB157" s="64">
        <f>'[1]Natural Hazard'!F154</f>
        <v>4.8333333333333304</v>
      </c>
      <c r="AC157" s="64">
        <f>'[1]Fragility and Conflict'!F154</f>
        <v>154</v>
      </c>
      <c r="AD157" s="61"/>
      <c r="AE157" s="64">
        <f>[1]Health!G154</f>
        <v>10</v>
      </c>
      <c r="AF157" s="64">
        <f>'[1]Food Security'!G154</f>
        <v>10</v>
      </c>
      <c r="AG157" s="64">
        <f>'[1]Macro Fiscal'!G154</f>
        <v>1.5909090909090799</v>
      </c>
      <c r="AH157" s="64">
        <f>'[1]Socioeconomic Vulnerability'!G154</f>
        <v>0</v>
      </c>
      <c r="AI157" s="64">
        <f>'[1]Natural Hazard'!G154</f>
        <v>0</v>
      </c>
      <c r="AJ157" s="64">
        <f>'[1]Fragility and Conflict'!G154</f>
        <v>0</v>
      </c>
      <c r="AK157" s="60"/>
      <c r="AL157" s="66">
        <v>0</v>
      </c>
      <c r="AM157" s="66">
        <v>0.4</v>
      </c>
      <c r="AN157" s="60"/>
      <c r="AO157" s="60"/>
      <c r="AP157" s="60"/>
      <c r="AQ157" s="60"/>
      <c r="AR157" s="60"/>
      <c r="AS157" s="60"/>
      <c r="AT157" s="60"/>
      <c r="AU157" s="60"/>
      <c r="AV157" s="60"/>
      <c r="AW157" s="60"/>
      <c r="AX157" s="60"/>
      <c r="AY157" s="60"/>
      <c r="AZ157" s="60"/>
      <c r="BA157" s="60"/>
      <c r="BB157" s="60"/>
      <c r="BC157" s="60"/>
      <c r="BD157" s="60"/>
      <c r="BE157" s="60"/>
      <c r="BF157" s="60"/>
      <c r="BG157" s="60"/>
      <c r="BH157" s="60"/>
      <c r="BI157" s="60"/>
      <c r="BJ157" s="60"/>
      <c r="BK157" s="60"/>
      <c r="BL157" s="60"/>
      <c r="BM157" s="60"/>
      <c r="BN157" s="60"/>
      <c r="BO157" s="60"/>
      <c r="BP157" s="60"/>
      <c r="BQ157" s="60"/>
      <c r="BR157" s="60"/>
      <c r="BS157" s="60"/>
      <c r="BT157" s="60"/>
      <c r="BU157" s="60"/>
    </row>
    <row r="158" spans="1:73" s="67" customFormat="1" x14ac:dyDescent="0.2">
      <c r="A158" s="58">
        <v>153</v>
      </c>
      <c r="B158" s="59" t="s">
        <v>910</v>
      </c>
      <c r="C158" s="59" t="s">
        <v>911</v>
      </c>
      <c r="D158" s="60"/>
      <c r="E158" s="61">
        <f>COUNTIF($Q158:$V158,10)</f>
        <v>0</v>
      </c>
      <c r="F158" s="62">
        <f>E158</f>
        <v>0</v>
      </c>
      <c r="G158" s="61">
        <f>COUNTIF($X158:$AC158,10)</f>
        <v>0</v>
      </c>
      <c r="H158" s="63">
        <f>G158</f>
        <v>0</v>
      </c>
      <c r="I158" s="60">
        <f>COUNTIF($AE158:$AJ158,10)</f>
        <v>0</v>
      </c>
      <c r="J158" s="63">
        <f>I158</f>
        <v>0</v>
      </c>
      <c r="K158" s="63"/>
      <c r="L158" s="61">
        <f>COUNTIF($X158:$AC158,10)+COUNTIFS($X158:$AC158,"&gt;=7",$X158:$AC158,"&lt;10")/2</f>
        <v>1</v>
      </c>
      <c r="M158" s="63" t="str">
        <f>_xlfn.CONCAT(COUNTIF($X158:$AC158,10)+COUNTIFS($X158:$AC158,"&gt;=7",$X158:$AC158,"&lt;10")/2,REPT("*",COUNTBLANK($X158:$AC158)))</f>
        <v>1</v>
      </c>
      <c r="N158" s="60">
        <v>3</v>
      </c>
      <c r="O158" s="60">
        <v>3</v>
      </c>
      <c r="P158" s="60"/>
      <c r="Q158" s="64">
        <v>5.5</v>
      </c>
      <c r="R158" s="64">
        <v>4.9760765550239201</v>
      </c>
      <c r="S158" s="64">
        <v>6.45403377110694</v>
      </c>
      <c r="T158" s="64">
        <v>6.28571428571429</v>
      </c>
      <c r="U158" s="64">
        <v>9.7418610988943097</v>
      </c>
      <c r="V158" s="64">
        <v>7.6555555555555603</v>
      </c>
      <c r="W158" s="61"/>
      <c r="X158" s="64">
        <f>[1]Health!F155</f>
        <v>5.5</v>
      </c>
      <c r="Y158" s="64">
        <f>'[1]Food Security'!F155</f>
        <v>4.9760765550239201</v>
      </c>
      <c r="Z158" s="64">
        <f>'[1]Macro Fiscal'!F155</f>
        <v>5.4049586776859497</v>
      </c>
      <c r="AA158" s="64">
        <f>'[1]Socioeconomic Vulnerability'!F155</f>
        <v>7</v>
      </c>
      <c r="AB158" s="64">
        <f>'[1]Natural Hazard'!F155</f>
        <v>9.1666666666666696</v>
      </c>
      <c r="AC158" s="64">
        <f>'[1]Fragility and Conflict'!F155</f>
        <v>155</v>
      </c>
      <c r="AD158" s="61"/>
      <c r="AE158" s="64">
        <f>[1]Health!G155</f>
        <v>7.1428571428571104</v>
      </c>
      <c r="AF158" s="64">
        <f>'[1]Food Security'!G155</f>
        <v>3</v>
      </c>
      <c r="AG158" s="64">
        <f>'[1]Macro Fiscal'!G155</f>
        <v>0.68181818181818299</v>
      </c>
      <c r="AH158" s="64">
        <f>'[1]Socioeconomic Vulnerability'!G155</f>
        <v>0</v>
      </c>
      <c r="AI158" s="64">
        <f>'[1]Natural Hazard'!G155</f>
        <v>0</v>
      </c>
      <c r="AJ158" s="64">
        <f>'[1]Fragility and Conflict'!G155</f>
        <v>9.1286241755822193</v>
      </c>
      <c r="AK158" s="60"/>
      <c r="AL158" s="66">
        <v>0</v>
      </c>
      <c r="AM158" s="66">
        <v>0.3</v>
      </c>
      <c r="AN158" s="60"/>
      <c r="AO158" s="60"/>
      <c r="AP158" s="60"/>
      <c r="AQ158" s="60"/>
      <c r="AR158" s="60"/>
      <c r="AS158" s="60"/>
      <c r="AT158" s="60"/>
      <c r="AU158" s="60"/>
      <c r="AV158" s="60"/>
      <c r="AW158" s="60"/>
      <c r="AX158" s="60"/>
      <c r="AY158" s="60"/>
      <c r="AZ158" s="60"/>
      <c r="BA158" s="60"/>
      <c r="BB158" s="60"/>
      <c r="BC158" s="60"/>
      <c r="BD158" s="60"/>
      <c r="BE158" s="60"/>
      <c r="BF158" s="60"/>
      <c r="BG158" s="60"/>
      <c r="BH158" s="60"/>
      <c r="BI158" s="60"/>
      <c r="BJ158" s="60"/>
      <c r="BK158" s="60"/>
      <c r="BL158" s="60"/>
      <c r="BM158" s="60"/>
      <c r="BN158" s="60"/>
      <c r="BO158" s="60"/>
      <c r="BP158" s="60"/>
      <c r="BQ158" s="60"/>
      <c r="BR158" s="60"/>
      <c r="BS158" s="60"/>
      <c r="BT158" s="60"/>
      <c r="BU158" s="60"/>
    </row>
    <row r="159" spans="1:73" s="67" customFormat="1" x14ac:dyDescent="0.2">
      <c r="A159" s="58">
        <v>154</v>
      </c>
      <c r="B159" s="59" t="s">
        <v>915</v>
      </c>
      <c r="C159" s="59" t="s">
        <v>916</v>
      </c>
      <c r="D159" s="60"/>
      <c r="E159" s="61">
        <f>COUNTIF($Q159:$V159,10)</f>
        <v>2</v>
      </c>
      <c r="F159" s="62">
        <f>E159</f>
        <v>2</v>
      </c>
      <c r="G159" s="61">
        <f>COUNTIF($X159:$AC159,10)</f>
        <v>3</v>
      </c>
      <c r="H159" s="63">
        <f>G159</f>
        <v>3</v>
      </c>
      <c r="I159" s="60">
        <f>COUNTIF($AE159:$AJ159,10)</f>
        <v>4</v>
      </c>
      <c r="J159" s="63">
        <f>I159</f>
        <v>4</v>
      </c>
      <c r="K159" s="63"/>
      <c r="L159" s="61">
        <f>COUNTIF($X159:$AC159,10)+COUNTIFS($X159:$AC159,"&gt;=7",$X159:$AC159,"&lt;10")/2</f>
        <v>3.5</v>
      </c>
      <c r="M159" s="63" t="str">
        <f>_xlfn.CONCAT(COUNTIF($X159:$AC159,10)+COUNTIFS($X159:$AC159,"&gt;=7",$X159:$AC159,"&lt;10")/2,REPT("*",COUNTBLANK($X159:$AC159)))</f>
        <v>3.5</v>
      </c>
      <c r="N159" s="60">
        <v>4</v>
      </c>
      <c r="O159" s="60">
        <v>4</v>
      </c>
      <c r="P159" s="60"/>
      <c r="Q159" s="64">
        <f>IFERROR(GEOMEAN(X159,AE159), MAX(X159,AE159))</f>
        <v>10</v>
      </c>
      <c r="R159" s="64">
        <f>IFERROR(GEOMEAN(Y159,AF159), MAX(Y159,AF159))</f>
        <v>10</v>
      </c>
      <c r="S159" s="64">
        <f>IFERROR(GEOMEAN(Z159,AG159), MAX(Z159,AG159))</f>
        <v>8.3937205966451671</v>
      </c>
      <c r="T159" s="64">
        <f>IFERROR(GEOMEAN(AA159,AH159), MAX(AA159,AH159))</f>
        <v>0</v>
      </c>
      <c r="U159" s="64">
        <f>IFERROR(GEOMEAN(AB159,AI159), MAX(AB159,AI159))</f>
        <v>9.9163165204290102</v>
      </c>
      <c r="V159" s="64">
        <f>IFERROR(GEOMEAN(AC159,AJ159), MAX(AC159,AJ159))</f>
        <v>39.496835316262995</v>
      </c>
      <c r="W159" s="61"/>
      <c r="X159" s="64">
        <f>[1]Health!F156</f>
        <v>10</v>
      </c>
      <c r="Y159" s="64">
        <f>'[1]Food Security'!F156</f>
        <v>10</v>
      </c>
      <c r="Z159" s="64">
        <f>'[1]Macro Fiscal'!F156</f>
        <v>10</v>
      </c>
      <c r="AA159" s="64">
        <f>'[1]Socioeconomic Vulnerability'!F156</f>
        <v>0</v>
      </c>
      <c r="AB159" s="64">
        <f>'[1]Natural Hazard'!F156</f>
        <v>9.8333333333333304</v>
      </c>
      <c r="AC159" s="64">
        <f>'[1]Fragility and Conflict'!F156</f>
        <v>156</v>
      </c>
      <c r="AD159" s="61"/>
      <c r="AE159" s="64">
        <f>[1]Health!G156</f>
        <v>10</v>
      </c>
      <c r="AF159" s="64">
        <f>'[1]Food Security'!G156</f>
        <v>10</v>
      </c>
      <c r="AG159" s="64">
        <f>'[1]Macro Fiscal'!G156</f>
        <v>7.0454545454545299</v>
      </c>
      <c r="AH159" s="64">
        <f>'[1]Socioeconomic Vulnerability'!G156</f>
        <v>0</v>
      </c>
      <c r="AI159" s="64">
        <f>'[1]Natural Hazard'!G156</f>
        <v>10</v>
      </c>
      <c r="AJ159" s="64">
        <f>'[1]Fragility and Conflict'!G156</f>
        <v>10</v>
      </c>
      <c r="AK159" s="60"/>
      <c r="AL159" s="66">
        <v>0</v>
      </c>
      <c r="AM159" s="66">
        <v>0.2</v>
      </c>
      <c r="AN159" s="60"/>
      <c r="AO159" s="60"/>
      <c r="AP159" s="60"/>
      <c r="AQ159" s="60"/>
      <c r="AR159" s="60"/>
      <c r="AS159" s="60"/>
      <c r="AT159" s="60"/>
      <c r="AU159" s="60"/>
      <c r="AV159" s="60"/>
      <c r="AW159" s="60"/>
      <c r="AX159" s="60"/>
      <c r="AY159" s="60"/>
      <c r="AZ159" s="60"/>
      <c r="BA159" s="60"/>
      <c r="BB159" s="60"/>
      <c r="BC159" s="60"/>
      <c r="BD159" s="60"/>
      <c r="BE159" s="60"/>
      <c r="BF159" s="60"/>
      <c r="BG159" s="60"/>
      <c r="BH159" s="60"/>
      <c r="BI159" s="60"/>
      <c r="BJ159" s="60"/>
      <c r="BK159" s="60"/>
      <c r="BL159" s="60"/>
      <c r="BM159" s="60"/>
      <c r="BN159" s="60"/>
      <c r="BO159" s="60"/>
      <c r="BP159" s="60"/>
      <c r="BQ159" s="60"/>
      <c r="BR159" s="60"/>
      <c r="BS159" s="60"/>
      <c r="BT159" s="60"/>
      <c r="BU159" s="60"/>
    </row>
    <row r="160" spans="1:73" s="67" customFormat="1" x14ac:dyDescent="0.2">
      <c r="A160" s="58">
        <v>155</v>
      </c>
      <c r="B160" s="59" t="s">
        <v>919</v>
      </c>
      <c r="C160" s="59" t="s">
        <v>920</v>
      </c>
      <c r="D160" s="60"/>
      <c r="E160" s="61">
        <f>COUNTIF($Q160:$V160,10)</f>
        <v>0</v>
      </c>
      <c r="F160" s="62">
        <f>E160</f>
        <v>0</v>
      </c>
      <c r="G160" s="61">
        <f>COUNTIF($X160:$AC160,10)</f>
        <v>0</v>
      </c>
      <c r="H160" s="63">
        <f>G160</f>
        <v>0</v>
      </c>
      <c r="I160" s="60">
        <f>COUNTIF($AE160:$AJ160,10)</f>
        <v>1</v>
      </c>
      <c r="J160" s="63">
        <f>I160</f>
        <v>1</v>
      </c>
      <c r="K160" s="63"/>
      <c r="L160" s="61">
        <f>COUNTIF($X160:$AC160,10)+COUNTIFS($X160:$AC160,"&gt;=7",$X160:$AC160,"&lt;10")/2</f>
        <v>0.5</v>
      </c>
      <c r="M160" s="63" t="str">
        <f>_xlfn.CONCAT(COUNTIF($X160:$AC160,10)+COUNTIFS($X160:$AC160,"&gt;=7",$X160:$AC160,"&lt;10")/2,REPT("*",COUNTBLANK($X160:$AC160)))</f>
        <v>0.5</v>
      </c>
      <c r="N160" s="60">
        <v>1</v>
      </c>
      <c r="O160" s="60">
        <v>1</v>
      </c>
      <c r="P160" s="60"/>
      <c r="Q160" s="64">
        <v>4.25</v>
      </c>
      <c r="R160" s="64">
        <v>3.8995215311004801</v>
      </c>
      <c r="S160" s="64">
        <v>4.5028142589118199</v>
      </c>
      <c r="T160" s="64">
        <v>2.4285714285714302</v>
      </c>
      <c r="U160" s="64">
        <v>8.4841128430822206</v>
      </c>
      <c r="V160" s="64">
        <v>7.3444444444444397</v>
      </c>
      <c r="W160" s="61"/>
      <c r="X160" s="64">
        <f>[1]Health!F157</f>
        <v>4.25</v>
      </c>
      <c r="Y160" s="64">
        <f>'[1]Food Security'!F157</f>
        <v>3.8995215311004801</v>
      </c>
      <c r="Z160" s="64">
        <f>'[1]Macro Fiscal'!F157</f>
        <v>5.8347107438016499</v>
      </c>
      <c r="AA160" s="64">
        <f>'[1]Socioeconomic Vulnerability'!F157</f>
        <v>7</v>
      </c>
      <c r="AB160" s="64">
        <f>'[1]Natural Hazard'!F157</f>
        <v>5.8333333333333304</v>
      </c>
      <c r="AC160" s="64">
        <f>'[1]Fragility and Conflict'!F157</f>
        <v>157</v>
      </c>
      <c r="AD160" s="61"/>
      <c r="AE160" s="64">
        <f>[1]Health!G157</f>
        <v>10</v>
      </c>
      <c r="AF160" s="64">
        <f>'[1]Food Security'!G157</f>
        <v>3</v>
      </c>
      <c r="AG160" s="64">
        <f>'[1]Macro Fiscal'!G157</f>
        <v>2.2727272727272698</v>
      </c>
      <c r="AH160" s="64">
        <f>'[1]Socioeconomic Vulnerability'!G157</f>
        <v>0</v>
      </c>
      <c r="AI160" s="64">
        <f>'[1]Natural Hazard'!G157</f>
        <v>0</v>
      </c>
      <c r="AJ160" s="64">
        <f>'[1]Fragility and Conflict'!G157</f>
        <v>0</v>
      </c>
      <c r="AK160" s="60"/>
      <c r="AL160" s="66">
        <v>0</v>
      </c>
      <c r="AM160" s="66">
        <v>0.3</v>
      </c>
      <c r="AN160" s="60"/>
      <c r="AO160" s="60"/>
      <c r="AP160" s="60"/>
      <c r="AQ160" s="60"/>
      <c r="AR160" s="60"/>
      <c r="AS160" s="60"/>
      <c r="AT160" s="60"/>
      <c r="AU160" s="60"/>
      <c r="AV160" s="60"/>
      <c r="AW160" s="60"/>
      <c r="AX160" s="60"/>
      <c r="AY160" s="60"/>
      <c r="AZ160" s="60"/>
      <c r="BA160" s="60"/>
      <c r="BB160" s="60"/>
      <c r="BC160" s="60"/>
      <c r="BD160" s="60"/>
      <c r="BE160" s="60"/>
      <c r="BF160" s="60"/>
      <c r="BG160" s="60"/>
      <c r="BH160" s="60"/>
      <c r="BI160" s="60"/>
      <c r="BJ160" s="60"/>
      <c r="BK160" s="60"/>
      <c r="BL160" s="60"/>
      <c r="BM160" s="60"/>
      <c r="BN160" s="60"/>
      <c r="BO160" s="60"/>
      <c r="BP160" s="60"/>
      <c r="BQ160" s="60"/>
      <c r="BR160" s="60"/>
      <c r="BS160" s="60"/>
      <c r="BT160" s="60"/>
      <c r="BU160" s="60"/>
    </row>
    <row r="161" spans="1:73" s="67" customFormat="1" x14ac:dyDescent="0.2">
      <c r="A161" s="58">
        <v>156</v>
      </c>
      <c r="B161" s="59" t="s">
        <v>923</v>
      </c>
      <c r="C161" s="59" t="s">
        <v>924</v>
      </c>
      <c r="D161" s="60"/>
      <c r="E161" s="61">
        <f>COUNTIF($Q161:$V161,10)</f>
        <v>3</v>
      </c>
      <c r="F161" s="62">
        <f>E161</f>
        <v>3</v>
      </c>
      <c r="G161" s="61">
        <f>COUNTIF($X161:$AC161,10)</f>
        <v>3</v>
      </c>
      <c r="H161" s="63">
        <f>G161</f>
        <v>3</v>
      </c>
      <c r="I161" s="60">
        <f>COUNTIF($AE161:$AJ161,10)</f>
        <v>3</v>
      </c>
      <c r="J161" s="63">
        <f>I161</f>
        <v>3</v>
      </c>
      <c r="K161" s="63"/>
      <c r="L161" s="61">
        <f>COUNTIF($X161:$AC161,10)+COUNTIFS($X161:$AC161,"&gt;=7",$X161:$AC161,"&lt;10")/2</f>
        <v>3</v>
      </c>
      <c r="M161" s="63" t="str">
        <f>_xlfn.CONCAT(COUNTIF($X161:$AC161,10)+COUNTIFS($X161:$AC161,"&gt;=7",$X161:$AC161,"&lt;10")/2,REPT("*",COUNTBLANK($X161:$AC161)))</f>
        <v>3</v>
      </c>
      <c r="N161" s="60">
        <v>4.5</v>
      </c>
      <c r="O161" s="60">
        <v>4.5</v>
      </c>
      <c r="P161" s="60"/>
      <c r="Q161" s="64">
        <f>IFERROR(GEOMEAN(X161,AE161), MAX(X161,AE161))</f>
        <v>10</v>
      </c>
      <c r="R161" s="64">
        <f>IFERROR(GEOMEAN(Y161,AF161), MAX(Y161,AF161))</f>
        <v>10</v>
      </c>
      <c r="S161" s="64">
        <f>IFERROR(GEOMEAN(Z161,AG161), MAX(Z161,AG161))</f>
        <v>0</v>
      </c>
      <c r="T161" s="64">
        <f>IFERROR(GEOMEAN(AA161,AH161), MAX(AA161,AH161))</f>
        <v>10</v>
      </c>
      <c r="U161" s="64">
        <f>IFERROR(GEOMEAN(AB161,AI161), MAX(AB161,AI161))</f>
        <v>5.9160797830996161</v>
      </c>
      <c r="V161" s="64">
        <f>IFERROR(GEOMEAN(AC161,AJ161), MAX(AC161,AJ161))</f>
        <v>39.749213828703581</v>
      </c>
      <c r="W161" s="61"/>
      <c r="X161" s="64">
        <f>[1]Health!F158</f>
        <v>10</v>
      </c>
      <c r="Y161" s="64">
        <f>'[1]Food Security'!F158</f>
        <v>10</v>
      </c>
      <c r="Z161" s="64">
        <f>'[1]Macro Fiscal'!F158</f>
        <v>0</v>
      </c>
      <c r="AA161" s="64">
        <f>'[1]Socioeconomic Vulnerability'!F158</f>
        <v>10</v>
      </c>
      <c r="AB161" s="64">
        <f>'[1]Natural Hazard'!F158</f>
        <v>5</v>
      </c>
      <c r="AC161" s="64">
        <f>'[1]Fragility and Conflict'!F158</f>
        <v>158</v>
      </c>
      <c r="AD161" s="61"/>
      <c r="AE161" s="64">
        <f>[1]Health!G158</f>
        <v>10</v>
      </c>
      <c r="AF161" s="64">
        <f>'[1]Food Security'!G158</f>
        <v>10</v>
      </c>
      <c r="AG161" s="64">
        <f>'[1]Macro Fiscal'!G158</f>
        <v>0</v>
      </c>
      <c r="AH161" s="64">
        <f>'[1]Socioeconomic Vulnerability'!G158</f>
        <v>0</v>
      </c>
      <c r="AI161" s="64">
        <f>'[1]Natural Hazard'!G158</f>
        <v>7</v>
      </c>
      <c r="AJ161" s="64">
        <f>'[1]Fragility and Conflict'!G158</f>
        <v>10</v>
      </c>
      <c r="AK161" s="60"/>
      <c r="AL161" s="66">
        <v>0</v>
      </c>
      <c r="AM161" s="66">
        <v>0.1</v>
      </c>
      <c r="AN161" s="60"/>
      <c r="AO161" s="60"/>
      <c r="AP161" s="60"/>
      <c r="AQ161" s="60"/>
      <c r="AR161" s="60"/>
      <c r="AS161" s="60"/>
      <c r="AT161" s="60"/>
      <c r="AU161" s="60"/>
      <c r="AV161" s="60"/>
      <c r="AW161" s="60"/>
      <c r="AX161" s="60"/>
      <c r="AY161" s="60"/>
      <c r="AZ161" s="60"/>
      <c r="BA161" s="60"/>
      <c r="BB161" s="60"/>
      <c r="BC161" s="60"/>
      <c r="BD161" s="60"/>
      <c r="BE161" s="60"/>
      <c r="BF161" s="60"/>
      <c r="BG161" s="60"/>
      <c r="BH161" s="60"/>
      <c r="BI161" s="60"/>
      <c r="BJ161" s="60"/>
      <c r="BK161" s="60"/>
      <c r="BL161" s="60"/>
      <c r="BM161" s="60"/>
      <c r="BN161" s="60"/>
      <c r="BO161" s="60"/>
      <c r="BP161" s="60"/>
      <c r="BQ161" s="60"/>
      <c r="BR161" s="60"/>
      <c r="BS161" s="60"/>
      <c r="BT161" s="60"/>
      <c r="BU161" s="60"/>
    </row>
    <row r="162" spans="1:73" s="67" customFormat="1" x14ac:dyDescent="0.2">
      <c r="A162" s="58">
        <v>157</v>
      </c>
      <c r="B162" s="59" t="s">
        <v>930</v>
      </c>
      <c r="C162" s="59" t="s">
        <v>931</v>
      </c>
      <c r="D162" s="60"/>
      <c r="E162" s="61">
        <f>COUNTIF($Q162:$V162,10)</f>
        <v>1</v>
      </c>
      <c r="F162" s="62">
        <f>E162</f>
        <v>1</v>
      </c>
      <c r="G162" s="61">
        <f>COUNTIF($X162:$AC162,10)</f>
        <v>1</v>
      </c>
      <c r="H162" s="63">
        <f>G162</f>
        <v>1</v>
      </c>
      <c r="I162" s="60">
        <f>COUNTIF($AE162:$AJ162,10)</f>
        <v>1</v>
      </c>
      <c r="J162" s="63">
        <f>I162</f>
        <v>1</v>
      </c>
      <c r="K162" s="63"/>
      <c r="L162" s="61">
        <f>COUNTIF($X162:$AC162,10)+COUNTIFS($X162:$AC162,"&gt;=7",$X162:$AC162,"&lt;10")/2</f>
        <v>2</v>
      </c>
      <c r="M162" s="63" t="str">
        <f>_xlfn.CONCAT(COUNTIF($X162:$AC162,10)+COUNTIFS($X162:$AC162,"&gt;=7",$X162:$AC162,"&lt;10")/2,REPT("*",COUNTBLANK($X162:$AC162)))</f>
        <v>2</v>
      </c>
      <c r="N162" s="60">
        <v>3</v>
      </c>
      <c r="O162" s="60">
        <v>3</v>
      </c>
      <c r="P162" s="60"/>
      <c r="Q162" s="64">
        <v>10</v>
      </c>
      <c r="R162" s="64">
        <v>8.2057416267942607</v>
      </c>
      <c r="S162" s="64">
        <v>3.75234521575985</v>
      </c>
      <c r="T162" s="64">
        <v>8.71428571428571</v>
      </c>
      <c r="U162" s="64">
        <v>4.0207797690019902</v>
      </c>
      <c r="V162" s="64">
        <v>7.81111111111111</v>
      </c>
      <c r="W162" s="61"/>
      <c r="X162" s="64">
        <f>[1]Health!F159</f>
        <v>10</v>
      </c>
      <c r="Y162" s="64">
        <f>'[1]Food Security'!F159</f>
        <v>8.2057416267942607</v>
      </c>
      <c r="Z162" s="64">
        <f>'[1]Macro Fiscal'!F159</f>
        <v>7.5206611570247901</v>
      </c>
      <c r="AA162" s="64">
        <f>'[1]Socioeconomic Vulnerability'!F159</f>
        <v>0</v>
      </c>
      <c r="AB162" s="64">
        <f>'[1]Natural Hazard'!F159</f>
        <v>0.5</v>
      </c>
      <c r="AC162" s="64">
        <f>'[1]Fragility and Conflict'!F159</f>
        <v>159</v>
      </c>
      <c r="AD162" s="61"/>
      <c r="AE162" s="64">
        <f>[1]Health!G159</f>
        <v>10</v>
      </c>
      <c r="AF162" s="64">
        <f>'[1]Food Security'!G159</f>
        <v>0</v>
      </c>
      <c r="AG162" s="64">
        <f>'[1]Macro Fiscal'!G159</f>
        <v>1.5909090909090799</v>
      </c>
      <c r="AH162" s="64">
        <f>'[1]Socioeconomic Vulnerability'!G159</f>
        <v>0</v>
      </c>
      <c r="AI162" s="64">
        <f>'[1]Natural Hazard'!G159</f>
        <v>0</v>
      </c>
      <c r="AJ162" s="64">
        <f>'[1]Fragility and Conflict'!G159</f>
        <v>0</v>
      </c>
      <c r="AK162" s="60"/>
      <c r="AL162" s="66">
        <v>0</v>
      </c>
      <c r="AM162" s="66">
        <v>0.5</v>
      </c>
      <c r="AN162" s="60"/>
      <c r="AO162" s="60"/>
      <c r="AP162" s="60"/>
      <c r="AQ162" s="60"/>
      <c r="AR162" s="60"/>
      <c r="AS162" s="60"/>
      <c r="AT162" s="60"/>
      <c r="AU162" s="60"/>
      <c r="AV162" s="60"/>
      <c r="AW162" s="60"/>
      <c r="AX162" s="60"/>
      <c r="AY162" s="60"/>
      <c r="AZ162" s="60"/>
      <c r="BA162" s="60"/>
      <c r="BB162" s="60"/>
      <c r="BC162" s="60"/>
      <c r="BD162" s="60"/>
      <c r="BE162" s="60"/>
      <c r="BF162" s="60"/>
      <c r="BG162" s="60"/>
      <c r="BH162" s="60"/>
      <c r="BI162" s="60"/>
      <c r="BJ162" s="60"/>
      <c r="BK162" s="60"/>
      <c r="BL162" s="60"/>
      <c r="BM162" s="60"/>
      <c r="BN162" s="60"/>
      <c r="BO162" s="60"/>
      <c r="BP162" s="60"/>
      <c r="BQ162" s="60"/>
      <c r="BR162" s="60"/>
      <c r="BS162" s="60"/>
      <c r="BT162" s="60"/>
      <c r="BU162" s="60"/>
    </row>
    <row r="163" spans="1:73" s="67" customFormat="1" x14ac:dyDescent="0.2">
      <c r="A163" s="58">
        <v>158</v>
      </c>
      <c r="B163" s="59" t="s">
        <v>933</v>
      </c>
      <c r="C163" s="59" t="s">
        <v>934</v>
      </c>
      <c r="D163" s="60"/>
      <c r="E163" s="61">
        <f>COUNTIF($Q163:$V163,10)</f>
        <v>0</v>
      </c>
      <c r="F163" s="62">
        <f>E163</f>
        <v>0</v>
      </c>
      <c r="G163" s="61">
        <f>COUNTIF($X163:$AC163,10)</f>
        <v>0</v>
      </c>
      <c r="H163" s="63">
        <f>G163</f>
        <v>0</v>
      </c>
      <c r="I163" s="60">
        <f>COUNTIF($AE163:$AJ163,10)</f>
        <v>1</v>
      </c>
      <c r="J163" s="63">
        <f>I163</f>
        <v>1</v>
      </c>
      <c r="K163" s="63"/>
      <c r="L163" s="61">
        <f>COUNTIF($X163:$AC163,10)+COUNTIFS($X163:$AC163,"&gt;=7",$X163:$AC163,"&lt;10")/2</f>
        <v>0.5</v>
      </c>
      <c r="M163" s="63" t="str">
        <f>_xlfn.CONCAT(COUNTIF($X163:$AC163,10)+COUNTIFS($X163:$AC163,"&gt;=7",$X163:$AC163,"&lt;10")/2,REPT("*",COUNTBLANK($X163:$AC163)))</f>
        <v>0.5</v>
      </c>
      <c r="N163" s="60">
        <v>3</v>
      </c>
      <c r="O163" s="60">
        <v>3</v>
      </c>
      <c r="P163" s="60"/>
      <c r="Q163" s="64">
        <v>6.7</v>
      </c>
      <c r="R163" s="64">
        <v>5.5263157894736796</v>
      </c>
      <c r="S163" s="64">
        <v>0</v>
      </c>
      <c r="T163" s="64">
        <v>5</v>
      </c>
      <c r="U163" s="64">
        <v>5.8115403261971199</v>
      </c>
      <c r="V163" s="64">
        <v>6.6777777777777798</v>
      </c>
      <c r="W163" s="61"/>
      <c r="X163" s="64">
        <f>[1]Health!F160</f>
        <v>6.7</v>
      </c>
      <c r="Y163" s="64">
        <f>'[1]Food Security'!F160</f>
        <v>5.5263157894736796</v>
      </c>
      <c r="Z163" s="64">
        <f>'[1]Macro Fiscal'!F160</f>
        <v>6.9421487603305803</v>
      </c>
      <c r="AA163" s="64">
        <f>'[1]Socioeconomic Vulnerability'!F160</f>
        <v>7</v>
      </c>
      <c r="AB163" s="64">
        <f>'[1]Natural Hazard'!F160</f>
        <v>4.8333333333333304</v>
      </c>
      <c r="AC163" s="64">
        <f>'[1]Fragility and Conflict'!F160</f>
        <v>160</v>
      </c>
      <c r="AD163" s="61"/>
      <c r="AE163" s="64">
        <f>[1]Health!G160</f>
        <v>2.5646153846153799</v>
      </c>
      <c r="AF163" s="64">
        <f>'[1]Food Security'!G160</f>
        <v>7</v>
      </c>
      <c r="AG163" s="64">
        <f>'[1]Macro Fiscal'!G160</f>
        <v>2.0454545454545499</v>
      </c>
      <c r="AH163" s="64">
        <f>'[1]Socioeconomic Vulnerability'!G160</f>
        <v>0</v>
      </c>
      <c r="AI163" s="64">
        <f>'[1]Natural Hazard'!G160</f>
        <v>10</v>
      </c>
      <c r="AJ163" s="64">
        <f>'[1]Fragility and Conflict'!G160</f>
        <v>0</v>
      </c>
      <c r="AK163" s="60"/>
      <c r="AL163" s="66">
        <v>0</v>
      </c>
      <c r="AM163" s="66">
        <v>0.4</v>
      </c>
      <c r="AN163" s="60"/>
      <c r="AO163" s="60"/>
      <c r="AP163" s="60"/>
      <c r="AQ163" s="60"/>
      <c r="AR163" s="60"/>
      <c r="AS163" s="60"/>
      <c r="AT163" s="60"/>
      <c r="AU163" s="60"/>
      <c r="AV163" s="60"/>
      <c r="AW163" s="60"/>
      <c r="AX163" s="60"/>
      <c r="AY163" s="60"/>
      <c r="AZ163" s="60"/>
      <c r="BA163" s="60"/>
      <c r="BB163" s="60"/>
      <c r="BC163" s="60"/>
      <c r="BD163" s="60"/>
      <c r="BE163" s="60"/>
      <c r="BF163" s="60"/>
      <c r="BG163" s="60"/>
      <c r="BH163" s="60"/>
      <c r="BI163" s="60"/>
      <c r="BJ163" s="60"/>
      <c r="BK163" s="60"/>
      <c r="BL163" s="60"/>
      <c r="BM163" s="60"/>
      <c r="BN163" s="60"/>
      <c r="BO163" s="60"/>
      <c r="BP163" s="60"/>
      <c r="BQ163" s="60"/>
      <c r="BR163" s="60"/>
      <c r="BS163" s="60"/>
      <c r="BT163" s="60"/>
      <c r="BU163" s="60"/>
    </row>
    <row r="164" spans="1:73" s="67" customFormat="1" x14ac:dyDescent="0.2">
      <c r="A164" s="58">
        <v>159</v>
      </c>
      <c r="B164" s="59" t="s">
        <v>939</v>
      </c>
      <c r="C164" s="59" t="s">
        <v>940</v>
      </c>
      <c r="D164" s="60"/>
      <c r="E164" s="61">
        <f>COUNTIF($Q164:$V164,10)</f>
        <v>0</v>
      </c>
      <c r="F164" s="62">
        <f>E164</f>
        <v>0</v>
      </c>
      <c r="G164" s="61">
        <f>COUNTIF($X164:$AC164,10)</f>
        <v>0</v>
      </c>
      <c r="H164" s="63">
        <f>G164</f>
        <v>0</v>
      </c>
      <c r="I164" s="60">
        <f>COUNTIF($AE164:$AJ164,10)</f>
        <v>1</v>
      </c>
      <c r="J164" s="63">
        <f>I164</f>
        <v>1</v>
      </c>
      <c r="K164" s="63"/>
      <c r="L164" s="61">
        <f>COUNTIF($X164:$AC164,10)+COUNTIFS($X164:$AC164,"&gt;=7",$X164:$AC164,"&lt;10")/2</f>
        <v>0.5</v>
      </c>
      <c r="M164" s="63" t="str">
        <f>_xlfn.CONCAT(COUNTIF($X164:$AC164,10)+COUNTIFS($X164:$AC164,"&gt;=7",$X164:$AC164,"&lt;10")/2,REPT("*",COUNTBLANK($X164:$AC164)))</f>
        <v>0.5</v>
      </c>
      <c r="N164" s="60">
        <v>1.5</v>
      </c>
      <c r="O164" s="60">
        <v>1.5</v>
      </c>
      <c r="P164" s="60"/>
      <c r="Q164" s="64">
        <v>4.42</v>
      </c>
      <c r="R164" s="64">
        <v>0.86124401913875404</v>
      </c>
      <c r="S164" s="64">
        <v>1.3508442776735401</v>
      </c>
      <c r="T164" s="64">
        <v>1.28571428571429</v>
      </c>
      <c r="U164" s="64">
        <v>8.3425522051341297</v>
      </c>
      <c r="V164" s="64">
        <v>4.2444444444444498</v>
      </c>
      <c r="W164" s="61"/>
      <c r="X164" s="64">
        <f>[1]Health!F161</f>
        <v>4.42</v>
      </c>
      <c r="Y164" s="64">
        <f>'[1]Food Security'!F161</f>
        <v>0.86124401913875603</v>
      </c>
      <c r="Z164" s="64">
        <f>'[1]Macro Fiscal'!F161</f>
        <v>3.0743801652892602</v>
      </c>
      <c r="AA164" s="64">
        <f>'[1]Socioeconomic Vulnerability'!F161</f>
        <v>7</v>
      </c>
      <c r="AB164" s="64">
        <f>'[1]Natural Hazard'!F161</f>
        <v>3</v>
      </c>
      <c r="AC164" s="64">
        <f>'[1]Fragility and Conflict'!F161</f>
        <v>161</v>
      </c>
      <c r="AD164" s="61"/>
      <c r="AE164" s="64">
        <f>[1]Health!G161</f>
        <v>10</v>
      </c>
      <c r="AF164" s="64">
        <f>'[1]Food Security'!G161</f>
        <v>3</v>
      </c>
      <c r="AG164" s="64">
        <f>'[1]Macro Fiscal'!G161</f>
        <v>7.7272727272727204</v>
      </c>
      <c r="AH164" s="64">
        <f>'[1]Socioeconomic Vulnerability'!G161</f>
        <v>0</v>
      </c>
      <c r="AI164" s="64">
        <f>'[1]Natural Hazard'!G161</f>
        <v>0</v>
      </c>
      <c r="AJ164" s="64">
        <f>'[1]Fragility and Conflict'!G161</f>
        <v>0</v>
      </c>
      <c r="AK164" s="60"/>
      <c r="AL164" s="66">
        <v>0</v>
      </c>
      <c r="AM164" s="66">
        <v>0.4</v>
      </c>
      <c r="AN164" s="60"/>
      <c r="AO164" s="60"/>
      <c r="AP164" s="60"/>
      <c r="AQ164" s="60"/>
      <c r="AR164" s="60"/>
      <c r="AS164" s="60"/>
      <c r="AT164" s="60"/>
      <c r="AU164" s="60"/>
      <c r="AV164" s="60"/>
      <c r="AW164" s="60"/>
      <c r="AX164" s="60"/>
      <c r="AY164" s="60"/>
      <c r="AZ164" s="60"/>
      <c r="BA164" s="60"/>
      <c r="BB164" s="60"/>
      <c r="BC164" s="60"/>
      <c r="BD164" s="60"/>
      <c r="BE164" s="60"/>
      <c r="BF164" s="60"/>
      <c r="BG164" s="60"/>
      <c r="BH164" s="60"/>
      <c r="BI164" s="60"/>
      <c r="BJ164" s="60"/>
      <c r="BK164" s="60"/>
      <c r="BL164" s="60"/>
      <c r="BM164" s="60"/>
      <c r="BN164" s="60"/>
      <c r="BO164" s="60"/>
      <c r="BP164" s="60"/>
      <c r="BQ164" s="60"/>
      <c r="BR164" s="60"/>
      <c r="BS164" s="60"/>
      <c r="BT164" s="60"/>
      <c r="BU164" s="60"/>
    </row>
    <row r="165" spans="1:73" s="67" customFormat="1" x14ac:dyDescent="0.2">
      <c r="A165" s="58">
        <v>160</v>
      </c>
      <c r="B165" s="59" t="s">
        <v>943</v>
      </c>
      <c r="C165" s="59" t="s">
        <v>944</v>
      </c>
      <c r="D165" s="60"/>
      <c r="E165" s="61">
        <f>COUNTIF($Q165:$V165,10)</f>
        <v>0</v>
      </c>
      <c r="F165" s="62">
        <f>E165</f>
        <v>0</v>
      </c>
      <c r="G165" s="61">
        <f>COUNTIF($X165:$AC165,10)</f>
        <v>0</v>
      </c>
      <c r="H165" s="63">
        <f>G165</f>
        <v>0</v>
      </c>
      <c r="I165" s="60">
        <f>COUNTIF($AE165:$AJ165,10)</f>
        <v>1</v>
      </c>
      <c r="J165" s="63">
        <f>I165</f>
        <v>1</v>
      </c>
      <c r="K165" s="63"/>
      <c r="L165" s="61">
        <f>COUNTIF($X165:$AC165,10)+COUNTIFS($X165:$AC165,"&gt;=7",$X165:$AC165,"&lt;10")/2</f>
        <v>0.5</v>
      </c>
      <c r="M165" s="63" t="str">
        <f>_xlfn.CONCAT(COUNTIF($X165:$AC165,10)+COUNTIFS($X165:$AC165,"&gt;=7",$X165:$AC165,"&lt;10")/2,REPT("*",COUNTBLANK($X165:$AC165)))</f>
        <v>0.5</v>
      </c>
      <c r="N165" s="60">
        <v>1.5</v>
      </c>
      <c r="O165" s="60">
        <v>1.5</v>
      </c>
      <c r="P165" s="60"/>
      <c r="Q165" s="64">
        <v>1.75</v>
      </c>
      <c r="R165" s="64">
        <v>0.21531100478468801</v>
      </c>
      <c r="S165" s="64">
        <v>1.9512195121951199</v>
      </c>
      <c r="T165" s="64">
        <v>0.28571428571428598</v>
      </c>
      <c r="U165" s="64">
        <v>8.0415595380039697</v>
      </c>
      <c r="V165" s="64">
        <v>2.8666666666666698</v>
      </c>
      <c r="W165" s="61"/>
      <c r="X165" s="64">
        <f>[1]Health!F162</f>
        <v>1.75</v>
      </c>
      <c r="Y165" s="64">
        <f>'[1]Food Security'!F162</f>
        <v>0.21531100478469001</v>
      </c>
      <c r="Z165" s="64">
        <f>'[1]Macro Fiscal'!F162</f>
        <v>2.2314049586776901</v>
      </c>
      <c r="AA165" s="64">
        <f>'[1]Socioeconomic Vulnerability'!F162</f>
        <v>7</v>
      </c>
      <c r="AB165" s="64">
        <f>'[1]Natural Hazard'!F162</f>
        <v>4</v>
      </c>
      <c r="AC165" s="64">
        <f>'[1]Fragility and Conflict'!F162</f>
        <v>162</v>
      </c>
      <c r="AD165" s="61"/>
      <c r="AE165" s="64">
        <f>[1]Health!G162</f>
        <v>10</v>
      </c>
      <c r="AF165" s="64">
        <f>'[1]Food Security'!G162</f>
        <v>3</v>
      </c>
      <c r="AG165" s="64">
        <f>'[1]Macro Fiscal'!G162</f>
        <v>0</v>
      </c>
      <c r="AH165" s="64">
        <f>'[1]Socioeconomic Vulnerability'!G162</f>
        <v>0</v>
      </c>
      <c r="AI165" s="64">
        <f>'[1]Natural Hazard'!G162</f>
        <v>0</v>
      </c>
      <c r="AJ165" s="64">
        <f>'[1]Fragility and Conflict'!G162</f>
        <v>0</v>
      </c>
      <c r="AK165" s="60"/>
      <c r="AL165" s="66">
        <v>0</v>
      </c>
      <c r="AM165" s="66">
        <v>0.4</v>
      </c>
      <c r="AN165" s="60"/>
      <c r="AO165" s="60"/>
      <c r="AP165" s="60"/>
      <c r="AQ165" s="60"/>
      <c r="AR165" s="60"/>
      <c r="AS165" s="60"/>
      <c r="AT165" s="60"/>
      <c r="AU165" s="60"/>
      <c r="AV165" s="60"/>
      <c r="AW165" s="60"/>
      <c r="AX165" s="60"/>
      <c r="AY165" s="60"/>
      <c r="AZ165" s="60"/>
      <c r="BA165" s="60"/>
      <c r="BB165" s="60"/>
      <c r="BC165" s="60"/>
      <c r="BD165" s="60"/>
      <c r="BE165" s="60"/>
      <c r="BF165" s="60"/>
      <c r="BG165" s="60"/>
      <c r="BH165" s="60"/>
      <c r="BI165" s="60"/>
      <c r="BJ165" s="60"/>
      <c r="BK165" s="60"/>
      <c r="BL165" s="60"/>
      <c r="BM165" s="60"/>
      <c r="BN165" s="60"/>
      <c r="BO165" s="60"/>
      <c r="BP165" s="60"/>
      <c r="BQ165" s="60"/>
      <c r="BR165" s="60"/>
      <c r="BS165" s="60"/>
      <c r="BT165" s="60"/>
      <c r="BU165" s="60"/>
    </row>
    <row r="166" spans="1:73" s="67" customFormat="1" x14ac:dyDescent="0.2">
      <c r="A166" s="58">
        <v>161</v>
      </c>
      <c r="B166" s="59" t="s">
        <v>946</v>
      </c>
      <c r="C166" s="59" t="s">
        <v>947</v>
      </c>
      <c r="D166" s="60"/>
      <c r="E166" s="61">
        <f>COUNTIF($Q166:$V166,10)</f>
        <v>0</v>
      </c>
      <c r="F166" s="62">
        <f>E166</f>
        <v>0</v>
      </c>
      <c r="G166" s="61">
        <f>COUNTIF($X166:$AC166,10)</f>
        <v>0</v>
      </c>
      <c r="H166" s="63">
        <f>G166</f>
        <v>0</v>
      </c>
      <c r="I166" s="60">
        <f>COUNTIF($AE166:$AJ166,10)</f>
        <v>1</v>
      </c>
      <c r="J166" s="63">
        <f>I166</f>
        <v>1</v>
      </c>
      <c r="K166" s="63"/>
      <c r="L166" s="61">
        <f>COUNTIF($X166:$AC166,10)+COUNTIFS($X166:$AC166,"&gt;=7",$X166:$AC166,"&lt;10")/2</f>
        <v>0.5</v>
      </c>
      <c r="M166" s="63" t="str">
        <f>_xlfn.CONCAT(COUNTIF($X166:$AC166,10)+COUNTIFS($X166:$AC166,"&gt;=7",$X166:$AC166,"&lt;10")/2,REPT("*",COUNTBLANK($X166:$AC166)))</f>
        <v>0.5</v>
      </c>
      <c r="N166" s="60">
        <v>1.5</v>
      </c>
      <c r="O166" s="60">
        <v>1.5</v>
      </c>
      <c r="P166" s="60"/>
      <c r="Q166" s="64">
        <v>0.5</v>
      </c>
      <c r="R166" s="64">
        <v>1.5550239234449701</v>
      </c>
      <c r="S166" s="64">
        <v>2.62664165103189</v>
      </c>
      <c r="T166" s="64">
        <v>0.28571428571428598</v>
      </c>
      <c r="U166" s="64">
        <v>5.0658650679570503</v>
      </c>
      <c r="V166" s="64">
        <v>2.0222222222222199</v>
      </c>
      <c r="W166" s="61"/>
      <c r="X166" s="64">
        <f>[1]Health!F163</f>
        <v>0.5</v>
      </c>
      <c r="Y166" s="64">
        <f>'[1]Food Security'!F163</f>
        <v>1.5550239234449701</v>
      </c>
      <c r="Z166" s="64">
        <f>'[1]Macro Fiscal'!F163</f>
        <v>0.413223140495868</v>
      </c>
      <c r="AA166" s="64">
        <f>'[1]Socioeconomic Vulnerability'!F163</f>
        <v>7</v>
      </c>
      <c r="AB166" s="64">
        <f>'[1]Natural Hazard'!F163</f>
        <v>0.16666666666666599</v>
      </c>
      <c r="AC166" s="64">
        <f>'[1]Fragility and Conflict'!F163</f>
        <v>163</v>
      </c>
      <c r="AD166" s="61"/>
      <c r="AE166" s="64">
        <f>[1]Health!G163</f>
        <v>10</v>
      </c>
      <c r="AF166" s="64">
        <f>'[1]Food Security'!G163</f>
        <v>3</v>
      </c>
      <c r="AG166" s="64">
        <f>'[1]Macro Fiscal'!G163</f>
        <v>1.8181818181818199</v>
      </c>
      <c r="AH166" s="64">
        <f>'[1]Socioeconomic Vulnerability'!G163</f>
        <v>0</v>
      </c>
      <c r="AI166" s="64">
        <f>'[1]Natural Hazard'!G163</f>
        <v>0</v>
      </c>
      <c r="AJ166" s="64">
        <f>'[1]Fragility and Conflict'!G163</f>
        <v>0</v>
      </c>
      <c r="AK166" s="60"/>
      <c r="AL166" s="66">
        <v>0</v>
      </c>
      <c r="AM166" s="66">
        <v>0.4</v>
      </c>
      <c r="AN166" s="60"/>
      <c r="AO166" s="60"/>
      <c r="AP166" s="60"/>
      <c r="AQ166" s="60"/>
      <c r="AR166" s="60"/>
      <c r="AS166" s="60"/>
      <c r="AT166" s="60"/>
      <c r="AU166" s="60"/>
      <c r="AV166" s="60"/>
      <c r="AW166" s="60"/>
      <c r="AX166" s="60"/>
      <c r="AY166" s="60"/>
      <c r="AZ166" s="60"/>
      <c r="BA166" s="60"/>
      <c r="BB166" s="60"/>
      <c r="BC166" s="60"/>
      <c r="BD166" s="60"/>
      <c r="BE166" s="60"/>
      <c r="BF166" s="60"/>
      <c r="BG166" s="60"/>
      <c r="BH166" s="60"/>
      <c r="BI166" s="60"/>
      <c r="BJ166" s="60"/>
      <c r="BK166" s="60"/>
      <c r="BL166" s="60"/>
      <c r="BM166" s="60"/>
      <c r="BN166" s="60"/>
      <c r="BO166" s="60"/>
      <c r="BP166" s="60"/>
      <c r="BQ166" s="60"/>
      <c r="BR166" s="60"/>
      <c r="BS166" s="60"/>
      <c r="BT166" s="60"/>
      <c r="BU166" s="60"/>
    </row>
    <row r="167" spans="1:73" s="67" customFormat="1" x14ac:dyDescent="0.2">
      <c r="A167" s="58">
        <v>162</v>
      </c>
      <c r="B167" s="59" t="s">
        <v>951</v>
      </c>
      <c r="C167" s="59" t="s">
        <v>952</v>
      </c>
      <c r="D167" s="60"/>
      <c r="E167" s="61">
        <f>COUNTIF($Q167:$V167,10)</f>
        <v>0</v>
      </c>
      <c r="F167" s="62">
        <f>E167</f>
        <v>0</v>
      </c>
      <c r="G167" s="61">
        <f>COUNTIF($X167:$AC167,10)</f>
        <v>0</v>
      </c>
      <c r="H167" s="63">
        <f>G167</f>
        <v>0</v>
      </c>
      <c r="I167" s="60">
        <f>COUNTIF($AE167:$AJ167,10)</f>
        <v>0</v>
      </c>
      <c r="J167" s="63">
        <f>I167</f>
        <v>0</v>
      </c>
      <c r="K167" s="63"/>
      <c r="L167" s="61">
        <f>COUNTIF($X167:$AC167,10)+COUNTIFS($X167:$AC167,"&gt;=7",$X167:$AC167,"&lt;10")/2</f>
        <v>1.5</v>
      </c>
      <c r="M167" s="63" t="str">
        <f>_xlfn.CONCAT(COUNTIF($X167:$AC167,10)+COUNTIFS($X167:$AC167,"&gt;=7",$X167:$AC167,"&lt;10")/2,REPT("*",COUNTBLANK($X167:$AC167)))</f>
        <v>1.5</v>
      </c>
      <c r="N167" s="60">
        <v>3</v>
      </c>
      <c r="O167" s="60">
        <v>3</v>
      </c>
      <c r="P167" s="60"/>
      <c r="Q167" s="64">
        <v>8.25</v>
      </c>
      <c r="R167" s="64">
        <v>7.9186602870813401</v>
      </c>
      <c r="S167" s="64">
        <v>1.5009380863039401</v>
      </c>
      <c r="T167" s="64">
        <v>8</v>
      </c>
      <c r="U167" s="64">
        <v>7.4386891308224499</v>
      </c>
      <c r="V167" s="64">
        <v>9.2222222222222197</v>
      </c>
      <c r="W167" s="61"/>
      <c r="X167" s="64">
        <f>[1]Health!F164</f>
        <v>8.25</v>
      </c>
      <c r="Y167" s="64">
        <f>'[1]Food Security'!F164</f>
        <v>7.9186602870813401</v>
      </c>
      <c r="Z167" s="64">
        <f>'[1]Macro Fiscal'!F164</f>
        <v>7.2396694214875996</v>
      </c>
      <c r="AA167" s="64">
        <f>'[1]Socioeconomic Vulnerability'!F164</f>
        <v>0</v>
      </c>
      <c r="AB167" s="64">
        <f>'[1]Natural Hazard'!F164</f>
        <v>2.5</v>
      </c>
      <c r="AC167" s="64">
        <f>'[1]Fragility and Conflict'!F164</f>
        <v>164</v>
      </c>
      <c r="AD167" s="61"/>
      <c r="AE167" s="64">
        <f>[1]Health!G164</f>
        <v>4.7619047619047397</v>
      </c>
      <c r="AF167" s="64">
        <f>'[1]Food Security'!G164</f>
        <v>0</v>
      </c>
      <c r="AG167" s="64">
        <f>'[1]Macro Fiscal'!G164</f>
        <v>0.45454545454544998</v>
      </c>
      <c r="AH167" s="64">
        <f>'[1]Socioeconomic Vulnerability'!G164</f>
        <v>0</v>
      </c>
      <c r="AI167" s="64">
        <f>'[1]Natural Hazard'!G164</f>
        <v>0</v>
      </c>
      <c r="AJ167" s="64">
        <f>'[1]Fragility and Conflict'!G164</f>
        <v>0</v>
      </c>
      <c r="AK167" s="60"/>
      <c r="AL167" s="66">
        <v>0</v>
      </c>
      <c r="AM167" s="66">
        <v>0.4</v>
      </c>
      <c r="AN167" s="60"/>
      <c r="AO167" s="60"/>
      <c r="AP167" s="60"/>
      <c r="AQ167" s="60"/>
      <c r="AR167" s="60"/>
      <c r="AS167" s="60"/>
      <c r="AT167" s="60"/>
      <c r="AU167" s="60"/>
      <c r="AV167" s="60"/>
      <c r="AW167" s="60"/>
      <c r="AX167" s="60"/>
      <c r="AY167" s="60"/>
      <c r="AZ167" s="60"/>
      <c r="BA167" s="60"/>
      <c r="BB167" s="60"/>
      <c r="BC167" s="60"/>
      <c r="BD167" s="60"/>
      <c r="BE167" s="60"/>
      <c r="BF167" s="60"/>
      <c r="BG167" s="60"/>
      <c r="BH167" s="60"/>
      <c r="BI167" s="60"/>
      <c r="BJ167" s="60"/>
      <c r="BK167" s="60"/>
      <c r="BL167" s="60"/>
      <c r="BM167" s="60"/>
      <c r="BN167" s="60"/>
      <c r="BO167" s="60"/>
      <c r="BP167" s="60"/>
      <c r="BQ167" s="60"/>
      <c r="BR167" s="60"/>
      <c r="BS167" s="60"/>
      <c r="BT167" s="60"/>
      <c r="BU167" s="60"/>
    </row>
    <row r="168" spans="1:73" s="67" customFormat="1" x14ac:dyDescent="0.2">
      <c r="A168" s="58">
        <v>163</v>
      </c>
      <c r="B168" s="59" t="s">
        <v>956</v>
      </c>
      <c r="C168" s="59" t="s">
        <v>957</v>
      </c>
      <c r="D168" s="60"/>
      <c r="E168" s="61">
        <f>COUNTIF($Q168:$V168,10)</f>
        <v>0</v>
      </c>
      <c r="F168" s="62">
        <f>E168</f>
        <v>0</v>
      </c>
      <c r="G168" s="61">
        <f>COUNTIF($X168:$AC168,10)</f>
        <v>0</v>
      </c>
      <c r="H168" s="63">
        <f>G168</f>
        <v>0</v>
      </c>
      <c r="I168" s="60">
        <f>COUNTIF($AE168:$AJ168,10)</f>
        <v>1</v>
      </c>
      <c r="J168" s="63">
        <f>I168</f>
        <v>1</v>
      </c>
      <c r="K168" s="63"/>
      <c r="L168" s="61">
        <f>COUNTIF($X168:$AC168,10)+COUNTIFS($X168:$AC168,"&gt;=7",$X168:$AC168,"&lt;10")/2</f>
        <v>0.5</v>
      </c>
      <c r="M168" s="63" t="str">
        <f>_xlfn.CONCAT(COUNTIF($X168:$AC168,10)+COUNTIFS($X168:$AC168,"&gt;=7",$X168:$AC168,"&lt;10")/2,REPT("*",COUNTBLANK($X168:$AC168)))</f>
        <v>0.5</v>
      </c>
      <c r="N168" s="60">
        <v>2</v>
      </c>
      <c r="O168" s="60">
        <v>2</v>
      </c>
      <c r="P168" s="60"/>
      <c r="Q168" s="64">
        <v>7.62</v>
      </c>
      <c r="R168" s="64">
        <v>2.2009569377990399</v>
      </c>
      <c r="S168" s="64">
        <v>9.0806754221388406</v>
      </c>
      <c r="T168" s="64">
        <v>3.71428571428571</v>
      </c>
      <c r="U168" s="64">
        <v>4.9064969825752804</v>
      </c>
      <c r="V168" s="64">
        <v>6.0777777777777802</v>
      </c>
      <c r="W168" s="61"/>
      <c r="X168" s="64">
        <f>[1]Health!F165</f>
        <v>7.62</v>
      </c>
      <c r="Y168" s="64">
        <f>'[1]Food Security'!F165</f>
        <v>2.2009569377990399</v>
      </c>
      <c r="Z168" s="64">
        <f>'[1]Macro Fiscal'!F165</f>
        <v>4.0661157024793404</v>
      </c>
      <c r="AA168" s="64">
        <f>'[1]Socioeconomic Vulnerability'!F165</f>
        <v>0</v>
      </c>
      <c r="AB168" s="64">
        <f>'[1]Natural Hazard'!F165</f>
        <v>3</v>
      </c>
      <c r="AC168" s="64">
        <f>'[1]Fragility and Conflict'!F165</f>
        <v>165</v>
      </c>
      <c r="AD168" s="61"/>
      <c r="AE168" s="64">
        <f>[1]Health!G165</f>
        <v>10</v>
      </c>
      <c r="AF168" s="64">
        <f>'[1]Food Security'!G165</f>
        <v>3</v>
      </c>
      <c r="AG168" s="64">
        <f>'[1]Macro Fiscal'!G165</f>
        <v>1.5909090909090799</v>
      </c>
      <c r="AH168" s="64">
        <f>'[1]Socioeconomic Vulnerability'!G165</f>
        <v>0</v>
      </c>
      <c r="AI168" s="64">
        <f>'[1]Natural Hazard'!G165</f>
        <v>7</v>
      </c>
      <c r="AJ168" s="64">
        <f>'[1]Fragility and Conflict'!G165</f>
        <v>0</v>
      </c>
      <c r="AK168" s="60"/>
      <c r="AL168" s="66">
        <v>0</v>
      </c>
      <c r="AM168" s="66">
        <v>0.4</v>
      </c>
      <c r="AN168" s="60"/>
      <c r="AO168" s="60"/>
      <c r="AP168" s="60"/>
      <c r="AQ168" s="60"/>
      <c r="AR168" s="60"/>
      <c r="AS168" s="60"/>
      <c r="AT168" s="60"/>
      <c r="AU168" s="60"/>
      <c r="AV168" s="60"/>
      <c r="AW168" s="60"/>
      <c r="AX168" s="60"/>
      <c r="AY168" s="60"/>
      <c r="AZ168" s="60"/>
      <c r="BA168" s="60"/>
      <c r="BB168" s="60"/>
      <c r="BC168" s="60"/>
      <c r="BD168" s="60"/>
      <c r="BE168" s="60"/>
      <c r="BF168" s="60"/>
      <c r="BG168" s="60"/>
      <c r="BH168" s="60"/>
      <c r="BI168" s="60"/>
      <c r="BJ168" s="60"/>
      <c r="BK168" s="60"/>
      <c r="BL168" s="60"/>
      <c r="BM168" s="60"/>
      <c r="BN168" s="60"/>
      <c r="BO168" s="60"/>
      <c r="BP168" s="60"/>
      <c r="BQ168" s="60"/>
      <c r="BR168" s="60"/>
      <c r="BS168" s="60"/>
      <c r="BT168" s="60"/>
      <c r="BU168" s="60"/>
    </row>
    <row r="169" spans="1:73" s="67" customFormat="1" x14ac:dyDescent="0.2">
      <c r="A169" s="58">
        <v>164</v>
      </c>
      <c r="B169" s="59" t="s">
        <v>960</v>
      </c>
      <c r="C169" s="59" t="s">
        <v>961</v>
      </c>
      <c r="D169" s="60"/>
      <c r="E169" s="61">
        <f>COUNTIF($Q169:$V169,10)</f>
        <v>3</v>
      </c>
      <c r="F169" s="62">
        <f>E169</f>
        <v>3</v>
      </c>
      <c r="G169" s="61">
        <f>COUNTIF($X169:$AC169,10)</f>
        <v>2</v>
      </c>
      <c r="H169" s="63">
        <f>G169</f>
        <v>2</v>
      </c>
      <c r="I169" s="60">
        <f>COUNTIF($AE169:$AJ169,10)</f>
        <v>2</v>
      </c>
      <c r="J169" s="63">
        <f>I169</f>
        <v>2</v>
      </c>
      <c r="K169" s="63"/>
      <c r="L169" s="61">
        <f>COUNTIF($X169:$AC169,10)+COUNTIFS($X169:$AC169,"&gt;=7",$X169:$AC169,"&lt;10")/2</f>
        <v>2.5</v>
      </c>
      <c r="M169" s="63" t="str">
        <f>_xlfn.CONCAT(COUNTIF($X169:$AC169,10)+COUNTIFS($X169:$AC169,"&gt;=7",$X169:$AC169,"&lt;10")/2,REPT("*",COUNTBLANK($X169:$AC169)))</f>
        <v>2.5</v>
      </c>
      <c r="N169" s="60">
        <v>1.5</v>
      </c>
      <c r="O169" s="60">
        <v>1.5</v>
      </c>
      <c r="P169" s="60"/>
      <c r="Q169" s="64">
        <v>10</v>
      </c>
      <c r="R169" s="64">
        <v>6.1722488038277499</v>
      </c>
      <c r="S169" s="64">
        <v>9.8311444652908104</v>
      </c>
      <c r="T169" s="64">
        <v>10</v>
      </c>
      <c r="U169" s="64">
        <v>7.9856887637378904</v>
      </c>
      <c r="V169" s="64">
        <v>10</v>
      </c>
      <c r="W169" s="61"/>
      <c r="X169" s="64">
        <f>[1]Health!F166</f>
        <v>10</v>
      </c>
      <c r="Y169" s="64">
        <f>'[1]Food Security'!F166</f>
        <v>6.1722488038277499</v>
      </c>
      <c r="Z169" s="64">
        <f>'[1]Macro Fiscal'!F166</f>
        <v>10</v>
      </c>
      <c r="AA169" s="64">
        <f>'[1]Socioeconomic Vulnerability'!F166</f>
        <v>0</v>
      </c>
      <c r="AB169" s="64">
        <f>'[1]Natural Hazard'!F166</f>
        <v>7.8333333333333304</v>
      </c>
      <c r="AC169" s="64">
        <f>'[1]Fragility and Conflict'!F166</f>
        <v>166</v>
      </c>
      <c r="AD169" s="61"/>
      <c r="AE169" s="64">
        <f>[1]Health!G166</f>
        <v>7.7353846153846204</v>
      </c>
      <c r="AF169" s="64">
        <f>'[1]Food Security'!G166</f>
        <v>10</v>
      </c>
      <c r="AG169" s="64">
        <f>'[1]Macro Fiscal'!G166</f>
        <v>4.5454545454545299</v>
      </c>
      <c r="AH169" s="64">
        <f>'[1]Socioeconomic Vulnerability'!G166</f>
        <v>0</v>
      </c>
      <c r="AI169" s="64">
        <f>'[1]Natural Hazard'!G166</f>
        <v>0</v>
      </c>
      <c r="AJ169" s="64">
        <f>'[1]Fragility and Conflict'!G166</f>
        <v>10</v>
      </c>
      <c r="AK169" s="60"/>
      <c r="AL169" s="66">
        <v>0</v>
      </c>
      <c r="AM169" s="66">
        <v>0.5</v>
      </c>
      <c r="AN169" s="60"/>
      <c r="AO169" s="60"/>
      <c r="AP169" s="60"/>
      <c r="AQ169" s="60"/>
      <c r="AR169" s="60"/>
      <c r="AS169" s="60"/>
      <c r="AT169" s="60"/>
      <c r="AU169" s="60"/>
      <c r="AV169" s="60"/>
      <c r="AW169" s="60"/>
      <c r="AX169" s="60"/>
      <c r="AY169" s="60"/>
      <c r="AZ169" s="60"/>
      <c r="BA169" s="60"/>
      <c r="BB169" s="60"/>
      <c r="BC169" s="60"/>
      <c r="BD169" s="60"/>
      <c r="BE169" s="60"/>
      <c r="BF169" s="60"/>
      <c r="BG169" s="60"/>
      <c r="BH169" s="60"/>
      <c r="BI169" s="60"/>
      <c r="BJ169" s="60"/>
      <c r="BK169" s="60"/>
      <c r="BL169" s="60"/>
      <c r="BM169" s="60"/>
      <c r="BN169" s="60"/>
      <c r="BO169" s="60"/>
      <c r="BP169" s="60"/>
      <c r="BQ169" s="60"/>
      <c r="BR169" s="60"/>
      <c r="BS169" s="60"/>
      <c r="BT169" s="60"/>
      <c r="BU169" s="60"/>
    </row>
    <row r="170" spans="1:73" s="67" customFormat="1" x14ac:dyDescent="0.2">
      <c r="A170" s="58">
        <v>165</v>
      </c>
      <c r="B170" s="59" t="s">
        <v>965</v>
      </c>
      <c r="C170" s="59" t="s">
        <v>966</v>
      </c>
      <c r="D170" s="60"/>
      <c r="E170" s="61">
        <f>COUNTIF($Q170:$V170,10)</f>
        <v>2</v>
      </c>
      <c r="F170" s="62">
        <f>E170</f>
        <v>2</v>
      </c>
      <c r="G170" s="61">
        <f>COUNTIF($X170:$AC170,10)</f>
        <v>3</v>
      </c>
      <c r="H170" s="63">
        <f>G170</f>
        <v>3</v>
      </c>
      <c r="I170" s="60">
        <f>COUNTIF($AE170:$AJ170,10)</f>
        <v>2</v>
      </c>
      <c r="J170" s="63">
        <f>I170</f>
        <v>2</v>
      </c>
      <c r="K170" s="63"/>
      <c r="L170" s="61">
        <f>COUNTIF($X170:$AC170,10)+COUNTIFS($X170:$AC170,"&gt;=7",$X170:$AC170,"&lt;10")/2</f>
        <v>3.5</v>
      </c>
      <c r="M170" s="63" t="str">
        <f>_xlfn.CONCAT(COUNTIF($X170:$AC170,10)+COUNTIFS($X170:$AC170,"&gt;=7",$X170:$AC170,"&lt;10")/2,REPT("*",COUNTBLANK($X170:$AC170)))</f>
        <v>3.5</v>
      </c>
      <c r="N170" s="60">
        <v>4</v>
      </c>
      <c r="O170" s="60">
        <v>4</v>
      </c>
      <c r="P170" s="60"/>
      <c r="Q170" s="64">
        <f>IFERROR(GEOMEAN(X170,AE170), MAX(X170,AE170))</f>
        <v>10</v>
      </c>
      <c r="R170" s="64">
        <f>IFERROR(GEOMEAN(Y170,AF170), MAX(Y170,AF170))</f>
        <v>7.0710678118654755</v>
      </c>
      <c r="S170" s="64">
        <f>IFERROR(GEOMEAN(Z170,AG170), MAX(Z170,AG170))</f>
        <v>6.527696296024585</v>
      </c>
      <c r="T170" s="64">
        <f>IFERROR(GEOMEAN(AA170,AH170), MAX(AA170,AH170))</f>
        <v>10</v>
      </c>
      <c r="U170" s="64">
        <f>IFERROR(GEOMEAN(AB170,AI170), MAX(AB170,AI170))</f>
        <v>5.3333333333333304</v>
      </c>
      <c r="V170" s="64">
        <f>IFERROR(GEOMEAN(AC170,AJ170), MAX(AC170,AJ170))</f>
        <v>40.865633483405098</v>
      </c>
      <c r="W170" s="61"/>
      <c r="X170" s="64">
        <f>[1]Health!F167</f>
        <v>10</v>
      </c>
      <c r="Y170" s="64">
        <f>'[1]Food Security'!F167</f>
        <v>10</v>
      </c>
      <c r="Z170" s="64">
        <f>'[1]Macro Fiscal'!F167</f>
        <v>9.8677685950413192</v>
      </c>
      <c r="AA170" s="64">
        <f>'[1]Socioeconomic Vulnerability'!F167</f>
        <v>10</v>
      </c>
      <c r="AB170" s="64">
        <f>'[1]Natural Hazard'!F167</f>
        <v>5.3333333333333304</v>
      </c>
      <c r="AC170" s="64">
        <f>'[1]Fragility and Conflict'!F167</f>
        <v>167</v>
      </c>
      <c r="AD170" s="61"/>
      <c r="AE170" s="64">
        <f>[1]Health!G167</f>
        <v>10</v>
      </c>
      <c r="AF170" s="64">
        <f>'[1]Food Security'!G167</f>
        <v>5</v>
      </c>
      <c r="AG170" s="64">
        <f>'[1]Macro Fiscal'!G167</f>
        <v>4.3181818181818299</v>
      </c>
      <c r="AH170" s="64">
        <f>'[1]Socioeconomic Vulnerability'!G167</f>
        <v>0</v>
      </c>
      <c r="AI170" s="64">
        <f>'[1]Natural Hazard'!G167</f>
        <v>0</v>
      </c>
      <c r="AJ170" s="64">
        <f>'[1]Fragility and Conflict'!G167</f>
        <v>10</v>
      </c>
      <c r="AK170" s="60"/>
      <c r="AL170" s="66">
        <v>0</v>
      </c>
      <c r="AM170" s="66">
        <v>0.2</v>
      </c>
      <c r="AN170" s="60"/>
      <c r="AO170" s="60"/>
      <c r="AP170" s="60"/>
      <c r="AQ170" s="60"/>
      <c r="AR170" s="60"/>
      <c r="AS170" s="60"/>
      <c r="AT170" s="60"/>
      <c r="AU170" s="60"/>
      <c r="AV170" s="60"/>
      <c r="AW170" s="60"/>
      <c r="AX170" s="60"/>
      <c r="AY170" s="60"/>
      <c r="AZ170" s="60"/>
      <c r="BA170" s="60"/>
      <c r="BB170" s="60"/>
      <c r="BC170" s="60"/>
      <c r="BD170" s="60"/>
      <c r="BE170" s="60"/>
      <c r="BF170" s="60"/>
      <c r="BG170" s="60"/>
      <c r="BH170" s="60"/>
      <c r="BI170" s="60"/>
      <c r="BJ170" s="60"/>
      <c r="BK170" s="60"/>
      <c r="BL170" s="60"/>
      <c r="BM170" s="60"/>
      <c r="BN170" s="60"/>
      <c r="BO170" s="60"/>
      <c r="BP170" s="60"/>
      <c r="BQ170" s="60"/>
      <c r="BR170" s="60"/>
      <c r="BS170" s="60"/>
      <c r="BT170" s="60"/>
      <c r="BU170" s="60"/>
    </row>
    <row r="171" spans="1:73" s="67" customFormat="1" x14ac:dyDescent="0.2">
      <c r="A171" s="58">
        <v>166</v>
      </c>
      <c r="B171" s="59" t="s">
        <v>969</v>
      </c>
      <c r="C171" s="59" t="s">
        <v>970</v>
      </c>
      <c r="D171" s="60"/>
      <c r="E171" s="61">
        <f>COUNTIF($Q171:$V171,10)</f>
        <v>0</v>
      </c>
      <c r="F171" s="62">
        <f>E171</f>
        <v>0</v>
      </c>
      <c r="G171" s="61">
        <f>COUNTIF($X171:$AC171,10)</f>
        <v>0</v>
      </c>
      <c r="H171" s="63">
        <f>G171</f>
        <v>0</v>
      </c>
      <c r="I171" s="60">
        <f>COUNTIF($AE171:$AJ171,10)</f>
        <v>1</v>
      </c>
      <c r="J171" s="63">
        <f>I171</f>
        <v>1</v>
      </c>
      <c r="K171" s="63"/>
      <c r="L171" s="61">
        <f>COUNTIF($X171:$AC171,10)+COUNTIFS($X171:$AC171,"&gt;=7",$X171:$AC171,"&lt;10")/2</f>
        <v>1.5</v>
      </c>
      <c r="M171" s="63" t="str">
        <f>_xlfn.CONCAT(COUNTIF($X171:$AC171,10)+COUNTIFS($X171:$AC171,"&gt;=7",$X171:$AC171,"&lt;10")/2,REPT("*",COUNTBLANK($X171:$AC171)))</f>
        <v>1.5</v>
      </c>
      <c r="N171" s="60">
        <v>2</v>
      </c>
      <c r="O171" s="60">
        <v>2</v>
      </c>
      <c r="P171" s="60"/>
      <c r="Q171" s="64">
        <v>9.75</v>
      </c>
      <c r="R171" s="64">
        <v>8.6842105263157894</v>
      </c>
      <c r="S171" s="64">
        <v>8.7804878048780495</v>
      </c>
      <c r="T171" s="64">
        <v>8.71428571428571</v>
      </c>
      <c r="U171" s="64">
        <v>8.1474911110942294</v>
      </c>
      <c r="V171" s="64">
        <v>9.5333333333333297</v>
      </c>
      <c r="W171" s="61"/>
      <c r="X171" s="64">
        <f>[1]Health!F168</f>
        <v>9.75</v>
      </c>
      <c r="Y171" s="64">
        <f>'[1]Food Security'!F168</f>
        <v>8.6842105263157894</v>
      </c>
      <c r="Z171" s="64">
        <f>'[1]Macro Fiscal'!F168</f>
        <v>7.8016528925619797</v>
      </c>
      <c r="AA171" s="64">
        <f>'[1]Socioeconomic Vulnerability'!F168</f>
        <v>0</v>
      </c>
      <c r="AB171" s="64">
        <f>'[1]Natural Hazard'!F168</f>
        <v>3.3333333333333299</v>
      </c>
      <c r="AC171" s="64">
        <f>'[1]Fragility and Conflict'!F168</f>
        <v>168</v>
      </c>
      <c r="AD171" s="61"/>
      <c r="AE171" s="64">
        <f>[1]Health!G168</f>
        <v>10</v>
      </c>
      <c r="AF171" s="64">
        <f>'[1]Food Security'!G168</f>
        <v>1</v>
      </c>
      <c r="AG171" s="64">
        <f>'[1]Macro Fiscal'!G168</f>
        <v>5.2272727272727302</v>
      </c>
      <c r="AH171" s="64">
        <f>'[1]Socioeconomic Vulnerability'!G168</f>
        <v>0</v>
      </c>
      <c r="AI171" s="64">
        <f>'[1]Natural Hazard'!G168</f>
        <v>0</v>
      </c>
      <c r="AJ171" s="64">
        <f>'[1]Fragility and Conflict'!G168</f>
        <v>0</v>
      </c>
      <c r="AK171" s="60"/>
      <c r="AL171" s="66">
        <v>0</v>
      </c>
      <c r="AM171" s="66">
        <v>0.4</v>
      </c>
      <c r="AN171" s="60"/>
      <c r="AO171" s="60"/>
      <c r="AP171" s="60"/>
      <c r="AQ171" s="60"/>
      <c r="AR171" s="60"/>
      <c r="AS171" s="60"/>
      <c r="AT171" s="60"/>
      <c r="AU171" s="60"/>
      <c r="AV171" s="60"/>
      <c r="AW171" s="60"/>
      <c r="AX171" s="60"/>
      <c r="AY171" s="60"/>
      <c r="AZ171" s="60"/>
      <c r="BA171" s="60"/>
      <c r="BB171" s="60"/>
      <c r="BC171" s="60"/>
      <c r="BD171" s="60"/>
      <c r="BE171" s="60"/>
      <c r="BF171" s="60"/>
      <c r="BG171" s="60"/>
      <c r="BH171" s="60"/>
      <c r="BI171" s="60"/>
      <c r="BJ171" s="60"/>
      <c r="BK171" s="60"/>
      <c r="BL171" s="60"/>
      <c r="BM171" s="60"/>
      <c r="BN171" s="60"/>
      <c r="BO171" s="60"/>
      <c r="BP171" s="60"/>
      <c r="BQ171" s="60"/>
      <c r="BR171" s="60"/>
      <c r="BS171" s="60"/>
      <c r="BT171" s="60"/>
      <c r="BU171" s="60"/>
    </row>
    <row r="172" spans="1:73" s="67" customFormat="1" x14ac:dyDescent="0.2">
      <c r="A172" s="58">
        <v>167</v>
      </c>
      <c r="B172" s="59" t="s">
        <v>973</v>
      </c>
      <c r="C172" s="59" t="s">
        <v>974</v>
      </c>
      <c r="D172" s="60"/>
      <c r="E172" s="61">
        <f>COUNTIF($Q172:$V172,10)</f>
        <v>0</v>
      </c>
      <c r="F172" s="62">
        <f>E172</f>
        <v>0</v>
      </c>
      <c r="G172" s="61">
        <f>COUNTIF($X172:$AC172,10)</f>
        <v>0</v>
      </c>
      <c r="H172" s="63">
        <f>G172</f>
        <v>0</v>
      </c>
      <c r="I172" s="60">
        <f>COUNTIF($AE172:$AJ172,10)</f>
        <v>2</v>
      </c>
      <c r="J172" s="63">
        <f>I172</f>
        <v>2</v>
      </c>
      <c r="K172" s="63"/>
      <c r="L172" s="61">
        <f>COUNTIF($X172:$AC172,10)+COUNTIFS($X172:$AC172,"&gt;=7",$X172:$AC172,"&lt;10")/2</f>
        <v>0.5</v>
      </c>
      <c r="M172" s="63" t="str">
        <f>_xlfn.CONCAT(COUNTIF($X172:$AC172,10)+COUNTIFS($X172:$AC172,"&gt;=7",$X172:$AC172,"&lt;10")/2,REPT("*",COUNTBLANK($X172:$AC172)))</f>
        <v>0.5</v>
      </c>
      <c r="N172" s="60">
        <v>2</v>
      </c>
      <c r="O172" s="60">
        <v>2</v>
      </c>
      <c r="P172" s="60"/>
      <c r="Q172" s="64">
        <v>4.5</v>
      </c>
      <c r="R172" s="64">
        <v>3.5645933014354099</v>
      </c>
      <c r="S172" s="64">
        <v>3.0769230769230802</v>
      </c>
      <c r="T172" s="64">
        <v>3.1428571428571401</v>
      </c>
      <c r="U172" s="64">
        <v>9.1731475464240209</v>
      </c>
      <c r="V172" s="64">
        <v>7.8666666666666698</v>
      </c>
      <c r="W172" s="61"/>
      <c r="X172" s="64">
        <f>[1]Health!F169</f>
        <v>4.5</v>
      </c>
      <c r="Y172" s="64">
        <f>'[1]Food Security'!F169</f>
        <v>3.5645933014354099</v>
      </c>
      <c r="Z172" s="64">
        <f>'[1]Macro Fiscal'!F169</f>
        <v>4.8925619834710696</v>
      </c>
      <c r="AA172" s="64">
        <f>'[1]Socioeconomic Vulnerability'!F169</f>
        <v>0</v>
      </c>
      <c r="AB172" s="64">
        <f>'[1]Natural Hazard'!F169</f>
        <v>8.6666666666666696</v>
      </c>
      <c r="AC172" s="64">
        <f>'[1]Fragility and Conflict'!F169</f>
        <v>169</v>
      </c>
      <c r="AD172" s="61"/>
      <c r="AE172" s="64">
        <f>[1]Health!G169</f>
        <v>10</v>
      </c>
      <c r="AF172" s="64">
        <f>'[1]Food Security'!G169</f>
        <v>1</v>
      </c>
      <c r="AG172" s="64">
        <f>'[1]Macro Fiscal'!G169</f>
        <v>2.7272727272727302</v>
      </c>
      <c r="AH172" s="64">
        <f>'[1]Socioeconomic Vulnerability'!G169</f>
        <v>0</v>
      </c>
      <c r="AI172" s="64">
        <f>'[1]Natural Hazard'!G169</f>
        <v>10</v>
      </c>
      <c r="AJ172" s="64">
        <f>'[1]Fragility and Conflict'!G169</f>
        <v>0</v>
      </c>
      <c r="AK172" s="60"/>
      <c r="AL172" s="66">
        <v>0</v>
      </c>
      <c r="AM172" s="66">
        <v>0.2</v>
      </c>
      <c r="AN172" s="60"/>
      <c r="AO172" s="60"/>
      <c r="AP172" s="60"/>
      <c r="AQ172" s="60"/>
      <c r="AR172" s="60"/>
      <c r="AS172" s="60"/>
      <c r="AT172" s="60"/>
      <c r="AU172" s="60"/>
      <c r="AV172" s="60"/>
      <c r="AW172" s="60"/>
      <c r="AX172" s="60"/>
      <c r="AY172" s="60"/>
      <c r="AZ172" s="60"/>
      <c r="BA172" s="60"/>
      <c r="BB172" s="60"/>
      <c r="BC172" s="60"/>
      <c r="BD172" s="60"/>
      <c r="BE172" s="60"/>
      <c r="BF172" s="60"/>
      <c r="BG172" s="60"/>
      <c r="BH172" s="60"/>
      <c r="BI172" s="60"/>
      <c r="BJ172" s="60"/>
      <c r="BK172" s="60"/>
      <c r="BL172" s="60"/>
      <c r="BM172" s="60"/>
      <c r="BN172" s="60"/>
      <c r="BO172" s="60"/>
      <c r="BP172" s="60"/>
      <c r="BQ172" s="60"/>
      <c r="BR172" s="60"/>
      <c r="BS172" s="60"/>
      <c r="BT172" s="60"/>
      <c r="BU172" s="60"/>
    </row>
    <row r="173" spans="1:73" s="67" customFormat="1" x14ac:dyDescent="0.2">
      <c r="A173" s="58">
        <v>168</v>
      </c>
      <c r="B173" s="59" t="s">
        <v>978</v>
      </c>
      <c r="C173" s="59" t="s">
        <v>979</v>
      </c>
      <c r="D173" s="60"/>
      <c r="E173" s="61">
        <f>COUNTIF($Q173:$V173,10)</f>
        <v>1</v>
      </c>
      <c r="F173" s="62">
        <f>E173</f>
        <v>1</v>
      </c>
      <c r="G173" s="61">
        <f>COUNTIF($X173:$AC173,10)</f>
        <v>1</v>
      </c>
      <c r="H173" s="63">
        <f>G173</f>
        <v>1</v>
      </c>
      <c r="I173" s="60">
        <f>COUNTIF($AE173:$AJ173,10)</f>
        <v>0</v>
      </c>
      <c r="J173" s="63">
        <f>I173</f>
        <v>0</v>
      </c>
      <c r="K173" s="63"/>
      <c r="L173" s="61">
        <f>COUNTIF($X173:$AC173,10)+COUNTIFS($X173:$AC173,"&gt;=7",$X173:$AC173,"&lt;10")/2</f>
        <v>2.5</v>
      </c>
      <c r="M173" s="63" t="str">
        <f>_xlfn.CONCAT(COUNTIF($X173:$AC173,10)+COUNTIFS($X173:$AC173,"&gt;=7",$X173:$AC173,"&lt;10")/2,REPT("*",COUNTBLANK($X173:$AC173)))</f>
        <v>2.5</v>
      </c>
      <c r="N173" s="60">
        <v>2.5</v>
      </c>
      <c r="O173" s="60">
        <v>2.5</v>
      </c>
      <c r="P173" s="60"/>
      <c r="Q173" s="64">
        <v>7.54</v>
      </c>
      <c r="R173" s="64">
        <v>5.9090909090909101</v>
      </c>
      <c r="S173" s="64">
        <v>10</v>
      </c>
      <c r="T173" s="64">
        <v>6.5714285714285703</v>
      </c>
      <c r="U173" s="64">
        <v>8</v>
      </c>
      <c r="V173" s="64">
        <v>8.3888888888888893</v>
      </c>
      <c r="W173" s="61"/>
      <c r="X173" s="64">
        <f>[1]Health!F170</f>
        <v>7.54</v>
      </c>
      <c r="Y173" s="64">
        <f>'[1]Food Security'!F170</f>
        <v>5.9090909090909101</v>
      </c>
      <c r="Z173" s="64">
        <f>'[1]Macro Fiscal'!F170</f>
        <v>10</v>
      </c>
      <c r="AA173" s="64">
        <f>'[1]Socioeconomic Vulnerability'!F170</f>
        <v>7.5524877820696101</v>
      </c>
      <c r="AB173" s="64">
        <f>'[1]Natural Hazard'!F170</f>
        <v>8</v>
      </c>
      <c r="AC173" s="64">
        <f>'[1]Fragility and Conflict'!F170</f>
        <v>170</v>
      </c>
      <c r="AD173" s="61"/>
      <c r="AE173" s="64">
        <f>[1]Health!G170</f>
        <v>9.4876923076923099</v>
      </c>
      <c r="AF173" s="64">
        <f>'[1]Food Security'!G170</f>
        <v>5</v>
      </c>
      <c r="AG173" s="64">
        <f>'[1]Macro Fiscal'!G170</f>
        <v>2.2727272727272698</v>
      </c>
      <c r="AH173" s="64">
        <f>'[1]Socioeconomic Vulnerability'!G170</f>
        <v>0</v>
      </c>
      <c r="AI173" s="64">
        <f>'[1]Natural Hazard'!G170</f>
        <v>7</v>
      </c>
      <c r="AJ173" s="64">
        <f>'[1]Fragility and Conflict'!G170</f>
        <v>0</v>
      </c>
      <c r="AK173" s="60"/>
      <c r="AL173" s="66">
        <v>0</v>
      </c>
      <c r="AM173" s="66">
        <v>0.4</v>
      </c>
      <c r="AN173" s="60"/>
      <c r="AO173" s="60"/>
      <c r="AP173" s="60"/>
      <c r="AQ173" s="60"/>
      <c r="AR173" s="60"/>
      <c r="AS173" s="60"/>
      <c r="AT173" s="60"/>
      <c r="AU173" s="60"/>
      <c r="AV173" s="60"/>
      <c r="AW173" s="60"/>
      <c r="AX173" s="60"/>
      <c r="AY173" s="60"/>
      <c r="AZ173" s="60"/>
      <c r="BA173" s="60"/>
      <c r="BB173" s="60"/>
      <c r="BC173" s="60"/>
      <c r="BD173" s="60"/>
      <c r="BE173" s="60"/>
      <c r="BF173" s="60"/>
      <c r="BG173" s="60"/>
      <c r="BH173" s="60"/>
      <c r="BI173" s="60"/>
      <c r="BJ173" s="60"/>
      <c r="BK173" s="60"/>
      <c r="BL173" s="60"/>
      <c r="BM173" s="60"/>
      <c r="BN173" s="60"/>
      <c r="BO173" s="60"/>
      <c r="BP173" s="60"/>
      <c r="BQ173" s="60"/>
      <c r="BR173" s="60"/>
      <c r="BS173" s="60"/>
      <c r="BT173" s="60"/>
      <c r="BU173" s="60"/>
    </row>
    <row r="174" spans="1:73" s="67" customFormat="1" x14ac:dyDescent="0.2">
      <c r="A174" s="58">
        <v>169</v>
      </c>
      <c r="B174" s="59" t="s">
        <v>980</v>
      </c>
      <c r="C174" s="59" t="s">
        <v>981</v>
      </c>
      <c r="D174" s="60"/>
      <c r="E174" s="61">
        <f>COUNTIF($Q174:$V174,10)</f>
        <v>0</v>
      </c>
      <c r="F174" s="62">
        <f>E174</f>
        <v>0</v>
      </c>
      <c r="G174" s="61">
        <f>COUNTIF($X174:$AC174,10)</f>
        <v>1</v>
      </c>
      <c r="H174" s="63">
        <f>G174</f>
        <v>1</v>
      </c>
      <c r="I174" s="60">
        <f>COUNTIF($AE174:$AJ174,10)</f>
        <v>0</v>
      </c>
      <c r="J174" s="63">
        <f>I174</f>
        <v>0</v>
      </c>
      <c r="K174" s="63"/>
      <c r="L174" s="61">
        <f>COUNTIF($X174:$AC174,10)+COUNTIFS($X174:$AC174,"&gt;=7",$X174:$AC174,"&lt;10")/2</f>
        <v>1.5</v>
      </c>
      <c r="M174" s="63" t="str">
        <f>_xlfn.CONCAT(COUNTIF($X174:$AC174,10)+COUNTIFS($X174:$AC174,"&gt;=7",$X174:$AC174,"&lt;10")/2,REPT("*",COUNTBLANK($X174:$AC174)))</f>
        <v>1.5</v>
      </c>
      <c r="N174" s="60">
        <v>0.5</v>
      </c>
      <c r="O174" s="60">
        <v>0.5</v>
      </c>
      <c r="P174" s="60"/>
      <c r="Q174" s="64">
        <v>7.64</v>
      </c>
      <c r="R174" s="64">
        <v>3.2775119617224902</v>
      </c>
      <c r="S174" s="64">
        <v>0</v>
      </c>
      <c r="T174" s="64">
        <v>2.1428571428571401</v>
      </c>
      <c r="U174" s="64">
        <v>7.7110541270397004</v>
      </c>
      <c r="V174" s="64">
        <v>7.6777777777777798</v>
      </c>
      <c r="W174" s="61"/>
      <c r="X174" s="64">
        <f>[1]Health!F171</f>
        <v>7.64</v>
      </c>
      <c r="Y174" s="64">
        <f>'[1]Food Security'!F171</f>
        <v>3.2775119617224902</v>
      </c>
      <c r="Z174" s="64">
        <f>'[1]Macro Fiscal'!F171</f>
        <v>10</v>
      </c>
      <c r="AA174" s="64">
        <f>'[1]Socioeconomic Vulnerability'!F171</f>
        <v>0</v>
      </c>
      <c r="AB174" s="64">
        <f>'[1]Natural Hazard'!F171</f>
        <v>4.5</v>
      </c>
      <c r="AC174" s="64">
        <f>'[1]Fragility and Conflict'!F171</f>
        <v>171</v>
      </c>
      <c r="AD174" s="61"/>
      <c r="AE174" s="64">
        <f>[1]Health!G171</f>
        <v>6.4953846153846104</v>
      </c>
      <c r="AF174" s="64">
        <f>'[1]Food Security'!G171</f>
        <v>0</v>
      </c>
      <c r="AG174" s="64">
        <f>'[1]Macro Fiscal'!G171</f>
        <v>0</v>
      </c>
      <c r="AH174" s="64">
        <f>'[1]Socioeconomic Vulnerability'!G171</f>
        <v>0</v>
      </c>
      <c r="AI174" s="64">
        <f>'[1]Natural Hazard'!G171</f>
        <v>7</v>
      </c>
      <c r="AJ174" s="64">
        <f>'[1]Fragility and Conflict'!G171</f>
        <v>0</v>
      </c>
      <c r="AK174" s="60"/>
      <c r="AL174" s="66">
        <v>0</v>
      </c>
      <c r="AM174" s="66">
        <v>0.6</v>
      </c>
      <c r="AN174" s="60"/>
      <c r="AO174" s="60"/>
      <c r="AP174" s="60"/>
      <c r="AQ174" s="60"/>
      <c r="AR174" s="60"/>
      <c r="AS174" s="60"/>
      <c r="AT174" s="60"/>
      <c r="AU174" s="60"/>
      <c r="AV174" s="60"/>
      <c r="AW174" s="60"/>
      <c r="AX174" s="60"/>
      <c r="AY174" s="60"/>
      <c r="AZ174" s="60"/>
      <c r="BA174" s="60"/>
      <c r="BB174" s="60"/>
      <c r="BC174" s="60"/>
      <c r="BD174" s="60"/>
      <c r="BE174" s="60"/>
      <c r="BF174" s="60"/>
      <c r="BG174" s="60"/>
      <c r="BH174" s="60"/>
      <c r="BI174" s="60"/>
      <c r="BJ174" s="60"/>
      <c r="BK174" s="60"/>
      <c r="BL174" s="60"/>
      <c r="BM174" s="60"/>
      <c r="BN174" s="60"/>
      <c r="BO174" s="60"/>
      <c r="BP174" s="60"/>
      <c r="BQ174" s="60"/>
      <c r="BR174" s="60"/>
      <c r="BS174" s="60"/>
      <c r="BT174" s="60"/>
      <c r="BU174" s="60"/>
    </row>
    <row r="175" spans="1:73" s="67" customFormat="1" x14ac:dyDescent="0.2">
      <c r="A175" s="58">
        <v>170</v>
      </c>
      <c r="B175" s="59" t="s">
        <v>982</v>
      </c>
      <c r="C175" s="59" t="s">
        <v>983</v>
      </c>
      <c r="D175" s="60"/>
      <c r="E175" s="61">
        <f>COUNTIF($Q175:$V175,10)</f>
        <v>1</v>
      </c>
      <c r="F175" s="62">
        <f>E175</f>
        <v>1</v>
      </c>
      <c r="G175" s="61">
        <f>COUNTIF($X175:$AC175,10)</f>
        <v>0</v>
      </c>
      <c r="H175" s="63">
        <f>G175</f>
        <v>0</v>
      </c>
      <c r="I175" s="60">
        <f>COUNTIF($AE175:$AJ175,10)</f>
        <v>0</v>
      </c>
      <c r="J175" s="63">
        <f>I175</f>
        <v>0</v>
      </c>
      <c r="K175" s="63"/>
      <c r="L175" s="61">
        <f>COUNTIF($X175:$AC175,10)+COUNTIFS($X175:$AC175,"&gt;=7",$X175:$AC175,"&lt;10")/2</f>
        <v>1</v>
      </c>
      <c r="M175" s="63" t="str">
        <f>_xlfn.CONCAT(COUNTIF($X175:$AC175,10)+COUNTIFS($X175:$AC175,"&gt;=7",$X175:$AC175,"&lt;10")/2,REPT("*",COUNTBLANK($X175:$AC175)))</f>
        <v>1</v>
      </c>
      <c r="N175" s="60">
        <v>1</v>
      </c>
      <c r="O175" s="60">
        <v>1</v>
      </c>
      <c r="P175" s="60"/>
      <c r="Q175" s="64">
        <v>8.8000000000000007</v>
      </c>
      <c r="R175" s="64">
        <v>9.3062200956937797</v>
      </c>
      <c r="S175" s="64">
        <v>3</v>
      </c>
      <c r="T175" s="64">
        <v>7.1428571428571397</v>
      </c>
      <c r="U175" s="64">
        <v>8.1506655448217291</v>
      </c>
      <c r="V175" s="64">
        <v>10</v>
      </c>
      <c r="W175" s="61"/>
      <c r="X175" s="64">
        <f>[1]Health!F172</f>
        <v>8.8000000000000007</v>
      </c>
      <c r="Y175" s="64">
        <f>'[1]Food Security'!F172</f>
        <v>9.3062200956937797</v>
      </c>
      <c r="Z175" s="64">
        <f>'[1]Macro Fiscal'!F172</f>
        <v>6.5785123966942098</v>
      </c>
      <c r="AA175" s="64">
        <f>'[1]Socioeconomic Vulnerability'!F172</f>
        <v>0</v>
      </c>
      <c r="AB175" s="64">
        <f>'[1]Natural Hazard'!F172</f>
        <v>6</v>
      </c>
      <c r="AC175" s="64">
        <f>'[1]Fragility and Conflict'!F172</f>
        <v>172</v>
      </c>
      <c r="AD175" s="61"/>
      <c r="AE175" s="64">
        <f>[1]Health!G172</f>
        <v>9.5238095238094793</v>
      </c>
      <c r="AF175" s="64">
        <f>'[1]Food Security'!G172</f>
        <v>1</v>
      </c>
      <c r="AG175" s="64">
        <f>'[1]Macro Fiscal'!G172</f>
        <v>2.0454545454545499</v>
      </c>
      <c r="AH175" s="64">
        <f>'[1]Socioeconomic Vulnerability'!G172</f>
        <v>0</v>
      </c>
      <c r="AI175" s="64">
        <f>'[1]Natural Hazard'!G172</f>
        <v>0</v>
      </c>
      <c r="AJ175" s="64">
        <f>'[1]Fragility and Conflict'!G172</f>
        <v>0</v>
      </c>
      <c r="AK175" s="60"/>
      <c r="AL175" s="66">
        <v>0</v>
      </c>
      <c r="AM175" s="66">
        <v>0.5</v>
      </c>
      <c r="AN175" s="60"/>
      <c r="AO175" s="60"/>
      <c r="AP175" s="60"/>
      <c r="AQ175" s="60"/>
      <c r="AR175" s="60"/>
      <c r="AS175" s="60"/>
      <c r="AT175" s="60"/>
      <c r="AU175" s="60"/>
      <c r="AV175" s="60"/>
      <c r="AW175" s="60"/>
      <c r="AX175" s="60"/>
      <c r="AY175" s="60"/>
      <c r="AZ175" s="60"/>
      <c r="BA175" s="60"/>
      <c r="BB175" s="60"/>
      <c r="BC175" s="60"/>
      <c r="BD175" s="60"/>
      <c r="BE175" s="60"/>
      <c r="BF175" s="60"/>
      <c r="BG175" s="60"/>
      <c r="BH175" s="60"/>
      <c r="BI175" s="60"/>
      <c r="BJ175" s="60"/>
      <c r="BK175" s="60"/>
      <c r="BL175" s="60"/>
      <c r="BM175" s="60"/>
      <c r="BN175" s="60"/>
      <c r="BO175" s="60"/>
      <c r="BP175" s="60"/>
      <c r="BQ175" s="60"/>
      <c r="BR175" s="60"/>
      <c r="BS175" s="60"/>
      <c r="BT175" s="60"/>
      <c r="BU175" s="60"/>
    </row>
    <row r="176" spans="1:73" s="67" customFormat="1" x14ac:dyDescent="0.2">
      <c r="A176" s="58">
        <v>171</v>
      </c>
      <c r="B176" s="59" t="s">
        <v>984</v>
      </c>
      <c r="C176" s="59" t="s">
        <v>985</v>
      </c>
      <c r="D176" s="60"/>
      <c r="E176" s="61">
        <f>COUNTIF($Q176:$V176,10)</f>
        <v>1</v>
      </c>
      <c r="F176" s="62">
        <f>E176</f>
        <v>1</v>
      </c>
      <c r="G176" s="61">
        <f>COUNTIF($X176:$AC176,10)</f>
        <v>0</v>
      </c>
      <c r="H176" s="63">
        <f>G176</f>
        <v>0</v>
      </c>
      <c r="I176" s="60">
        <f>COUNTIF($AE176:$AJ176,10)</f>
        <v>1</v>
      </c>
      <c r="J176" s="63">
        <f>I176</f>
        <v>1</v>
      </c>
      <c r="K176" s="63"/>
      <c r="L176" s="61">
        <f>COUNTIF($X176:$AC176,10)+COUNTIFS($X176:$AC176,"&gt;=7",$X176:$AC176,"&lt;10")/2</f>
        <v>1</v>
      </c>
      <c r="M176" s="63" t="str">
        <f>_xlfn.CONCAT(COUNTIF($X176:$AC176,10)+COUNTIFS($X176:$AC176,"&gt;=7",$X176:$AC176,"&lt;10")/2,REPT("*",COUNTBLANK($X176:$AC176)))</f>
        <v>1</v>
      </c>
      <c r="N176" s="60">
        <v>1</v>
      </c>
      <c r="O176" s="60">
        <v>1</v>
      </c>
      <c r="P176" s="60"/>
      <c r="Q176" s="64">
        <v>8.98</v>
      </c>
      <c r="R176" s="64">
        <v>4.5215311004784704</v>
      </c>
      <c r="S176" s="64">
        <v>10</v>
      </c>
      <c r="T176" s="64">
        <v>7.8571428571428603</v>
      </c>
      <c r="U176" s="64">
        <v>7</v>
      </c>
      <c r="V176" s="68"/>
      <c r="W176" s="61"/>
      <c r="X176" s="64">
        <f>[1]Health!F173</f>
        <v>8.98</v>
      </c>
      <c r="Y176" s="64">
        <f>'[1]Food Security'!F173</f>
        <v>4.5215311004784704</v>
      </c>
      <c r="Z176" s="64">
        <f>'[1]Macro Fiscal'!F173</f>
        <v>0</v>
      </c>
      <c r="AA176" s="64">
        <f>'[1]Socioeconomic Vulnerability'!F173</f>
        <v>0</v>
      </c>
      <c r="AB176" s="64">
        <f>'[1]Natural Hazard'!F173</f>
        <v>7</v>
      </c>
      <c r="AC176" s="64">
        <f>'[1]Fragility and Conflict'!F173</f>
        <v>173</v>
      </c>
      <c r="AD176" s="61"/>
      <c r="AE176" s="64">
        <f>[1]Health!G173</f>
        <v>7.0938461538461501</v>
      </c>
      <c r="AF176" s="64">
        <f>'[1]Food Security'!G173</f>
        <v>0</v>
      </c>
      <c r="AG176" s="64">
        <f>'[1]Macro Fiscal'!G173</f>
        <v>0</v>
      </c>
      <c r="AH176" s="64">
        <f>'[1]Socioeconomic Vulnerability'!G173</f>
        <v>0</v>
      </c>
      <c r="AI176" s="64">
        <f>'[1]Natural Hazard'!G173</f>
        <v>10</v>
      </c>
      <c r="AJ176" s="64">
        <f>'[1]Fragility and Conflict'!G173</f>
        <v>0</v>
      </c>
      <c r="AK176" s="60"/>
      <c r="AL176" s="66">
        <v>0.2</v>
      </c>
      <c r="AM176" s="66">
        <v>0.7</v>
      </c>
      <c r="AN176" s="60"/>
      <c r="AO176" s="60"/>
      <c r="AP176" s="60"/>
      <c r="AQ176" s="60"/>
      <c r="AR176" s="60"/>
      <c r="AS176" s="60"/>
      <c r="AT176" s="60"/>
      <c r="AU176" s="60"/>
      <c r="AV176" s="60"/>
      <c r="AW176" s="60"/>
      <c r="AX176" s="60"/>
      <c r="AY176" s="60"/>
      <c r="AZ176" s="60"/>
      <c r="BA176" s="60"/>
      <c r="BB176" s="60"/>
      <c r="BC176" s="60"/>
      <c r="BD176" s="60"/>
      <c r="BE176" s="60"/>
      <c r="BF176" s="60"/>
      <c r="BG176" s="60"/>
      <c r="BH176" s="60"/>
      <c r="BI176" s="60"/>
      <c r="BJ176" s="60"/>
      <c r="BK176" s="60"/>
      <c r="BL176" s="60"/>
      <c r="BM176" s="60"/>
      <c r="BN176" s="60"/>
      <c r="BO176" s="60"/>
      <c r="BP176" s="60"/>
      <c r="BQ176" s="60"/>
      <c r="BR176" s="60"/>
      <c r="BS176" s="60"/>
      <c r="BT176" s="60"/>
      <c r="BU176" s="60"/>
    </row>
    <row r="177" spans="1:73" s="67" customFormat="1" x14ac:dyDescent="0.2">
      <c r="A177" s="58">
        <v>172</v>
      </c>
      <c r="B177" s="59" t="s">
        <v>986</v>
      </c>
      <c r="C177" s="59" t="s">
        <v>987</v>
      </c>
      <c r="D177" s="60"/>
      <c r="E177" s="61">
        <f>COUNTIF($Q177:$V177,10)</f>
        <v>0</v>
      </c>
      <c r="F177" s="62">
        <f>E177</f>
        <v>0</v>
      </c>
      <c r="G177" s="61">
        <f>COUNTIF($X177:$AC177,10)</f>
        <v>0</v>
      </c>
      <c r="H177" s="63">
        <f>G177</f>
        <v>0</v>
      </c>
      <c r="I177" s="60">
        <f>COUNTIF($AE177:$AJ177,10)</f>
        <v>2</v>
      </c>
      <c r="J177" s="63">
        <f>I177</f>
        <v>2</v>
      </c>
      <c r="K177" s="63"/>
      <c r="L177" s="61">
        <f>COUNTIF($X177:$AC177,10)+COUNTIFS($X177:$AC177,"&gt;=7",$X177:$AC177,"&lt;10")/2</f>
        <v>0.5</v>
      </c>
      <c r="M177" s="63" t="str">
        <f>_xlfn.CONCAT(COUNTIF($X177:$AC177,10)+COUNTIFS($X177:$AC177,"&gt;=7",$X177:$AC177,"&lt;10")/2,REPT("*",COUNTBLANK($X177:$AC177)))</f>
        <v>0.5</v>
      </c>
      <c r="N177" s="60">
        <v>2</v>
      </c>
      <c r="O177" s="60">
        <v>2</v>
      </c>
      <c r="P177" s="60"/>
      <c r="Q177" s="64">
        <v>6.68</v>
      </c>
      <c r="R177" s="64">
        <v>2.8947368421052602</v>
      </c>
      <c r="S177" s="64">
        <v>0.26266416510318902</v>
      </c>
      <c r="T177" s="64">
        <v>2.8571428571428599</v>
      </c>
      <c r="U177" s="64">
        <v>8.5588492970485301</v>
      </c>
      <c r="V177" s="64">
        <v>5.7666666666666702</v>
      </c>
      <c r="W177" s="61"/>
      <c r="X177" s="64">
        <f>[1]Health!F174</f>
        <v>6.68</v>
      </c>
      <c r="Y177" s="64">
        <f>'[1]Food Security'!F174</f>
        <v>2.8947368421052602</v>
      </c>
      <c r="Z177" s="64">
        <f>'[1]Macro Fiscal'!F174</f>
        <v>5.3553719008264498</v>
      </c>
      <c r="AA177" s="64">
        <f>'[1]Socioeconomic Vulnerability'!F174</f>
        <v>7</v>
      </c>
      <c r="AB177" s="64">
        <f>'[1]Natural Hazard'!F174</f>
        <v>3.6666666666666701</v>
      </c>
      <c r="AC177" s="64">
        <f>'[1]Fragility and Conflict'!F174</f>
        <v>174</v>
      </c>
      <c r="AD177" s="61"/>
      <c r="AE177" s="64">
        <f>[1]Health!G174</f>
        <v>10</v>
      </c>
      <c r="AF177" s="64">
        <f>'[1]Food Security'!G174</f>
        <v>0</v>
      </c>
      <c r="AG177" s="64">
        <f>'[1]Macro Fiscal'!G174</f>
        <v>1.36363636363637</v>
      </c>
      <c r="AH177" s="64">
        <f>'[1]Socioeconomic Vulnerability'!G174</f>
        <v>0</v>
      </c>
      <c r="AI177" s="64">
        <f>'[1]Natural Hazard'!G174</f>
        <v>10</v>
      </c>
      <c r="AJ177" s="64">
        <f>'[1]Fragility and Conflict'!G174</f>
        <v>0</v>
      </c>
      <c r="AK177" s="60"/>
      <c r="AL177" s="66">
        <v>0</v>
      </c>
      <c r="AM177" s="66">
        <v>0.4</v>
      </c>
      <c r="AN177" s="60"/>
      <c r="AO177" s="60"/>
      <c r="AP177" s="60"/>
      <c r="AQ177" s="60"/>
      <c r="AR177" s="60"/>
      <c r="AS177" s="60"/>
      <c r="AT177" s="60"/>
      <c r="AU177" s="60"/>
      <c r="AV177" s="60"/>
      <c r="AW177" s="60"/>
      <c r="AX177" s="60"/>
      <c r="AY177" s="60"/>
      <c r="AZ177" s="60"/>
      <c r="BA177" s="60"/>
      <c r="BB177" s="60"/>
      <c r="BC177" s="60"/>
      <c r="BD177" s="60"/>
      <c r="BE177" s="60"/>
      <c r="BF177" s="60"/>
      <c r="BG177" s="60"/>
      <c r="BH177" s="60"/>
      <c r="BI177" s="60"/>
      <c r="BJ177" s="60"/>
      <c r="BK177" s="60"/>
      <c r="BL177" s="60"/>
      <c r="BM177" s="60"/>
      <c r="BN177" s="60"/>
      <c r="BO177" s="60"/>
      <c r="BP177" s="60"/>
      <c r="BQ177" s="60"/>
      <c r="BR177" s="60"/>
      <c r="BS177" s="60"/>
      <c r="BT177" s="60"/>
      <c r="BU177" s="60"/>
    </row>
    <row r="178" spans="1:73" s="67" customFormat="1" x14ac:dyDescent="0.2">
      <c r="A178" s="58">
        <v>173</v>
      </c>
      <c r="B178" s="59" t="s">
        <v>991</v>
      </c>
      <c r="C178" s="59" t="s">
        <v>992</v>
      </c>
      <c r="D178" s="60"/>
      <c r="E178" s="61">
        <f>COUNTIF($Q178:$V178,10)</f>
        <v>0</v>
      </c>
      <c r="F178" s="62">
        <f>E178</f>
        <v>0</v>
      </c>
      <c r="G178" s="61">
        <f>COUNTIF($X178:$AC178,10)</f>
        <v>0</v>
      </c>
      <c r="H178" s="63">
        <f>G178</f>
        <v>0</v>
      </c>
      <c r="I178" s="60">
        <f>COUNTIF($AE178:$AJ178,10)</f>
        <v>0</v>
      </c>
      <c r="J178" s="63">
        <f>I178</f>
        <v>0</v>
      </c>
      <c r="K178" s="63"/>
      <c r="L178" s="61">
        <f>COUNTIF($X178:$AC178,10)+COUNTIFS($X178:$AC178,"&gt;=7",$X178:$AC178,"&lt;10")/2</f>
        <v>0.5</v>
      </c>
      <c r="M178" s="63" t="str">
        <f>_xlfn.CONCAT(COUNTIF($X178:$AC178,10)+COUNTIFS($X178:$AC178,"&gt;=7",$X178:$AC178,"&lt;10")/2,REPT("*",COUNTBLANK($X178:$AC178)))</f>
        <v>0.5</v>
      </c>
      <c r="N178" s="60">
        <v>3</v>
      </c>
      <c r="O178" s="60">
        <v>3</v>
      </c>
      <c r="P178" s="60"/>
      <c r="Q178" s="64">
        <v>7.26</v>
      </c>
      <c r="R178" s="64">
        <v>2.05741626794258</v>
      </c>
      <c r="S178" s="64">
        <v>4.9530956848030003</v>
      </c>
      <c r="T178" s="64">
        <v>3.4285714285714302</v>
      </c>
      <c r="U178" s="64">
        <v>8.3161345203844306</v>
      </c>
      <c r="V178" s="64">
        <v>7.56666666666667</v>
      </c>
      <c r="W178" s="61"/>
      <c r="X178" s="64">
        <f>[1]Health!F175</f>
        <v>7.26</v>
      </c>
      <c r="Y178" s="64">
        <f>'[1]Food Security'!F175</f>
        <v>2.05741626794258</v>
      </c>
      <c r="Z178" s="64">
        <f>'[1]Macro Fiscal'!F175</f>
        <v>6.74380165289256</v>
      </c>
      <c r="AA178" s="64">
        <f>'[1]Socioeconomic Vulnerability'!F175</f>
        <v>4.1735172271728498</v>
      </c>
      <c r="AB178" s="64">
        <f>'[1]Natural Hazard'!F175</f>
        <v>5.6666666666666696</v>
      </c>
      <c r="AC178" s="64">
        <f>'[1]Fragility and Conflict'!F175</f>
        <v>175</v>
      </c>
      <c r="AD178" s="61"/>
      <c r="AE178" s="64">
        <f>[1]Health!G175</f>
        <v>9.5238095238094793</v>
      </c>
      <c r="AF178" s="64">
        <f>'[1]Food Security'!G175</f>
        <v>3</v>
      </c>
      <c r="AG178" s="64">
        <f>'[1]Macro Fiscal'!G175</f>
        <v>4.7727272727272698</v>
      </c>
      <c r="AH178" s="64">
        <f>'[1]Socioeconomic Vulnerability'!G175</f>
        <v>0</v>
      </c>
      <c r="AI178" s="64">
        <f>'[1]Natural Hazard'!G175</f>
        <v>0</v>
      </c>
      <c r="AJ178" s="64">
        <f>'[1]Fragility and Conflict'!G175</f>
        <v>0</v>
      </c>
      <c r="AK178" s="60"/>
      <c r="AL178" s="66">
        <v>0</v>
      </c>
      <c r="AM178" s="66">
        <v>0.3</v>
      </c>
      <c r="AN178" s="60"/>
      <c r="AO178" s="60"/>
      <c r="AP178" s="60"/>
      <c r="AQ178" s="60"/>
      <c r="AR178" s="60"/>
      <c r="AS178" s="60"/>
      <c r="AT178" s="60"/>
      <c r="AU178" s="60"/>
      <c r="AV178" s="60"/>
      <c r="AW178" s="60"/>
      <c r="AX178" s="60"/>
      <c r="AY178" s="60"/>
      <c r="AZ178" s="60"/>
      <c r="BA178" s="60"/>
      <c r="BB178" s="60"/>
      <c r="BC178" s="60"/>
      <c r="BD178" s="60"/>
      <c r="BE178" s="60"/>
      <c r="BF178" s="60"/>
      <c r="BG178" s="60"/>
      <c r="BH178" s="60"/>
      <c r="BI178" s="60"/>
      <c r="BJ178" s="60"/>
      <c r="BK178" s="60"/>
      <c r="BL178" s="60"/>
      <c r="BM178" s="60"/>
      <c r="BN178" s="60"/>
      <c r="BO178" s="60"/>
      <c r="BP178" s="60"/>
      <c r="BQ178" s="60"/>
      <c r="BR178" s="60"/>
      <c r="BS178" s="60"/>
      <c r="BT178" s="60"/>
      <c r="BU178" s="60"/>
    </row>
    <row r="179" spans="1:73" s="67" customFormat="1" x14ac:dyDescent="0.2">
      <c r="A179" s="58">
        <v>174</v>
      </c>
      <c r="B179" s="59" t="s">
        <v>995</v>
      </c>
      <c r="C179" s="59" t="s">
        <v>996</v>
      </c>
      <c r="D179" s="60"/>
      <c r="E179" s="61">
        <f>COUNTIF($Q179:$V179,10)</f>
        <v>0</v>
      </c>
      <c r="F179" s="62">
        <f>E179</f>
        <v>0</v>
      </c>
      <c r="G179" s="61">
        <f>COUNTIF($X179:$AC179,10)</f>
        <v>0</v>
      </c>
      <c r="H179" s="63">
        <f>G179</f>
        <v>0</v>
      </c>
      <c r="I179" s="60">
        <f>COUNTIF($AE179:$AJ179,10)</f>
        <v>0</v>
      </c>
      <c r="J179" s="63">
        <f>I179</f>
        <v>0</v>
      </c>
      <c r="K179" s="63"/>
      <c r="L179" s="61">
        <f>COUNTIF($X179:$AC179,10)+COUNTIFS($X179:$AC179,"&gt;=7",$X179:$AC179,"&lt;10")/2</f>
        <v>1.5</v>
      </c>
      <c r="M179" s="63" t="str">
        <f>_xlfn.CONCAT(COUNTIF($X179:$AC179,10)+COUNTIFS($X179:$AC179,"&gt;=7",$X179:$AC179,"&lt;10")/2,REPT("*",COUNTBLANK($X179:$AC179)))</f>
        <v>1.5</v>
      </c>
      <c r="N179" s="60">
        <v>2</v>
      </c>
      <c r="O179" s="60">
        <v>2</v>
      </c>
      <c r="P179" s="60"/>
      <c r="Q179" s="64">
        <v>4.75</v>
      </c>
      <c r="R179" s="64">
        <v>0.45454545454545298</v>
      </c>
      <c r="S179" s="64">
        <v>1.6885553470919299</v>
      </c>
      <c r="T179" s="64">
        <v>3</v>
      </c>
      <c r="U179" s="64">
        <v>9.7164165786307404</v>
      </c>
      <c r="V179" s="64">
        <v>8.7888888888888896</v>
      </c>
      <c r="W179" s="61"/>
      <c r="X179" s="64">
        <f>[1]Health!F176</f>
        <v>4.75</v>
      </c>
      <c r="Y179" s="64">
        <f>'[1]Food Security'!F176</f>
        <v>0.45454545454545298</v>
      </c>
      <c r="Z179" s="64">
        <f>'[1]Macro Fiscal'!F176</f>
        <v>7.1735537190082601</v>
      </c>
      <c r="AA179" s="64">
        <f>'[1]Socioeconomic Vulnerability'!F176</f>
        <v>7</v>
      </c>
      <c r="AB179" s="64">
        <f>'[1]Natural Hazard'!F176</f>
        <v>8.6666666666666696</v>
      </c>
      <c r="AC179" s="64">
        <f>'[1]Fragility and Conflict'!F176</f>
        <v>176</v>
      </c>
      <c r="AD179" s="61"/>
      <c r="AE179" s="64">
        <f>[1]Health!G176</f>
        <v>3.5394000000000001</v>
      </c>
      <c r="AF179" s="64">
        <f>'[1]Food Security'!G176</f>
        <v>5</v>
      </c>
      <c r="AG179" s="64">
        <f>'[1]Macro Fiscal'!G176</f>
        <v>6.3636363636363704</v>
      </c>
      <c r="AH179" s="64">
        <f>'[1]Socioeconomic Vulnerability'!G176</f>
        <v>0</v>
      </c>
      <c r="AI179" s="64">
        <f>'[1]Natural Hazard'!G176</f>
        <v>0</v>
      </c>
      <c r="AJ179" s="64">
        <f>'[1]Fragility and Conflict'!G176</f>
        <v>0</v>
      </c>
      <c r="AK179" s="60"/>
      <c r="AL179" s="66">
        <v>0</v>
      </c>
      <c r="AM179" s="66">
        <v>0.2</v>
      </c>
      <c r="AN179" s="60"/>
      <c r="AO179" s="60"/>
      <c r="AP179" s="60"/>
      <c r="AQ179" s="60"/>
      <c r="AR179" s="60"/>
      <c r="AS179" s="60"/>
      <c r="AT179" s="60"/>
      <c r="AU179" s="60"/>
      <c r="AV179" s="60"/>
      <c r="AW179" s="60"/>
      <c r="AX179" s="60"/>
      <c r="AY179" s="60"/>
      <c r="AZ179" s="60"/>
      <c r="BA179" s="60"/>
      <c r="BB179" s="60"/>
      <c r="BC179" s="60"/>
      <c r="BD179" s="60"/>
      <c r="BE179" s="60"/>
      <c r="BF179" s="60"/>
      <c r="BG179" s="60"/>
      <c r="BH179" s="60"/>
      <c r="BI179" s="60"/>
      <c r="BJ179" s="60"/>
      <c r="BK179" s="60"/>
      <c r="BL179" s="60"/>
      <c r="BM179" s="60"/>
      <c r="BN179" s="60"/>
      <c r="BO179" s="60"/>
      <c r="BP179" s="60"/>
      <c r="BQ179" s="60"/>
      <c r="BR179" s="60"/>
      <c r="BS179" s="60"/>
      <c r="BT179" s="60"/>
      <c r="BU179" s="60"/>
    </row>
    <row r="180" spans="1:73" s="67" customFormat="1" x14ac:dyDescent="0.2">
      <c r="A180" s="58">
        <v>175</v>
      </c>
      <c r="B180" s="59" t="s">
        <v>1001</v>
      </c>
      <c r="C180" s="59" t="s">
        <v>1002</v>
      </c>
      <c r="D180" s="60"/>
      <c r="E180" s="61">
        <f>COUNTIF($Q180:$V180,10)</f>
        <v>1</v>
      </c>
      <c r="F180" s="62">
        <f>E180</f>
        <v>1</v>
      </c>
      <c r="G180" s="61">
        <f>COUNTIF($X180:$AC180,10)</f>
        <v>0</v>
      </c>
      <c r="H180" s="63">
        <f>G180</f>
        <v>0</v>
      </c>
      <c r="I180" s="60">
        <f>COUNTIF($AE180:$AJ180,10)</f>
        <v>1</v>
      </c>
      <c r="J180" s="63">
        <f>I180</f>
        <v>1</v>
      </c>
      <c r="K180" s="63"/>
      <c r="L180" s="61">
        <f>COUNTIF($X180:$AC180,10)+COUNTIFS($X180:$AC180,"&gt;=7",$X180:$AC180,"&lt;10")/2</f>
        <v>0.5</v>
      </c>
      <c r="M180" s="63" t="str">
        <f>_xlfn.CONCAT(COUNTIF($X180:$AC180,10)+COUNTIFS($X180:$AC180,"&gt;=7",$X180:$AC180,"&lt;10")/2,REPT("*",COUNTBLANK($X180:$AC180)))</f>
        <v>0.5</v>
      </c>
      <c r="N180" s="60">
        <v>1</v>
      </c>
      <c r="O180" s="60">
        <v>1</v>
      </c>
      <c r="P180" s="60"/>
      <c r="Q180" s="64">
        <v>9.68</v>
      </c>
      <c r="R180" s="68"/>
      <c r="S180" s="64">
        <v>10</v>
      </c>
      <c r="T180" s="64">
        <v>7.1428571428571397</v>
      </c>
      <c r="U180" s="64">
        <v>4.6530242955104999</v>
      </c>
      <c r="V180" s="68"/>
      <c r="W180" s="61"/>
      <c r="X180" s="64">
        <f>[1]Health!F177</f>
        <v>9.68</v>
      </c>
      <c r="Y180" s="64">
        <f>'[1]Food Security'!F177</f>
        <v>0</v>
      </c>
      <c r="Z180" s="64">
        <f>'[1]Macro Fiscal'!F177</f>
        <v>0</v>
      </c>
      <c r="AA180" s="64">
        <f>'[1]Socioeconomic Vulnerability'!F177</f>
        <v>0</v>
      </c>
      <c r="AB180" s="64">
        <f>'[1]Natural Hazard'!F177</f>
        <v>3.3333333333333299</v>
      </c>
      <c r="AC180" s="64">
        <f>'[1]Fragility and Conflict'!F177</f>
        <v>177</v>
      </c>
      <c r="AD180" s="61"/>
      <c r="AE180" s="64">
        <f>[1]Health!G177</f>
        <v>0</v>
      </c>
      <c r="AF180" s="64">
        <f>'[1]Food Security'!G177</f>
        <v>0</v>
      </c>
      <c r="AG180" s="64">
        <f>'[1]Macro Fiscal'!G177</f>
        <v>0</v>
      </c>
      <c r="AH180" s="64">
        <f>'[1]Socioeconomic Vulnerability'!G177</f>
        <v>0</v>
      </c>
      <c r="AI180" s="64">
        <f>'[1]Natural Hazard'!G177</f>
        <v>10</v>
      </c>
      <c r="AJ180" s="64">
        <f>'[1]Fragility and Conflict'!G177</f>
        <v>0</v>
      </c>
      <c r="AK180" s="60"/>
      <c r="AL180" s="66">
        <v>0.3</v>
      </c>
      <c r="AM180" s="66">
        <v>0.8</v>
      </c>
      <c r="AN180" s="60"/>
      <c r="AO180" s="60"/>
      <c r="AP180" s="60"/>
      <c r="AQ180" s="60"/>
      <c r="AR180" s="60"/>
      <c r="AS180" s="60"/>
      <c r="AT180" s="60"/>
      <c r="AU180" s="60"/>
      <c r="AV180" s="60"/>
      <c r="AW180" s="60"/>
      <c r="AX180" s="60"/>
      <c r="AY180" s="60"/>
      <c r="AZ180" s="60"/>
      <c r="BA180" s="60"/>
      <c r="BB180" s="60"/>
      <c r="BC180" s="60"/>
      <c r="BD180" s="60"/>
      <c r="BE180" s="60"/>
      <c r="BF180" s="60"/>
      <c r="BG180" s="60"/>
      <c r="BH180" s="60"/>
      <c r="BI180" s="60"/>
      <c r="BJ180" s="60"/>
      <c r="BK180" s="60"/>
      <c r="BL180" s="60"/>
      <c r="BM180" s="60"/>
      <c r="BN180" s="60"/>
      <c r="BO180" s="60"/>
      <c r="BP180" s="60"/>
      <c r="BQ180" s="60"/>
      <c r="BR180" s="60"/>
      <c r="BS180" s="60"/>
      <c r="BT180" s="60"/>
      <c r="BU180" s="60"/>
    </row>
    <row r="181" spans="1:73" s="67" customFormat="1" x14ac:dyDescent="0.2">
      <c r="A181" s="58">
        <v>176</v>
      </c>
      <c r="B181" s="59" t="s">
        <v>1003</v>
      </c>
      <c r="C181" s="59" t="s">
        <v>1004</v>
      </c>
      <c r="D181" s="60"/>
      <c r="E181" s="61">
        <f>COUNTIF($Q181:$V181,10)</f>
        <v>0</v>
      </c>
      <c r="F181" s="62">
        <f>E181</f>
        <v>0</v>
      </c>
      <c r="G181" s="61">
        <f>COUNTIF($X181:$AC181,10)</f>
        <v>0</v>
      </c>
      <c r="H181" s="63">
        <f>G181</f>
        <v>0</v>
      </c>
      <c r="I181" s="60">
        <f>COUNTIF($AE181:$AJ181,10)</f>
        <v>1</v>
      </c>
      <c r="J181" s="63">
        <f>I181</f>
        <v>1</v>
      </c>
      <c r="K181" s="63"/>
      <c r="L181" s="61">
        <f>COUNTIF($X181:$AC181,10)+COUNTIFS($X181:$AC181,"&gt;=7",$X181:$AC181,"&lt;10")/2</f>
        <v>1.5</v>
      </c>
      <c r="M181" s="63" t="str">
        <f>_xlfn.CONCAT(COUNTIF($X181:$AC181,10)+COUNTIFS($X181:$AC181,"&gt;=7",$X181:$AC181,"&lt;10")/2,REPT("*",COUNTBLANK($X181:$AC181)))</f>
        <v>1.5</v>
      </c>
      <c r="N181" s="60">
        <v>2</v>
      </c>
      <c r="O181" s="60">
        <v>2</v>
      </c>
      <c r="P181" s="60"/>
      <c r="Q181" s="64">
        <v>9</v>
      </c>
      <c r="R181" s="64">
        <v>9.7129186602870803</v>
      </c>
      <c r="S181" s="64">
        <v>6.2288930581613497</v>
      </c>
      <c r="T181" s="64">
        <v>8.4285714285714306</v>
      </c>
      <c r="U181" s="64">
        <v>7.9402651601197096</v>
      </c>
      <c r="V181" s="64">
        <v>8.6777777777777807</v>
      </c>
      <c r="W181" s="61"/>
      <c r="X181" s="64">
        <f>[1]Health!F178</f>
        <v>9</v>
      </c>
      <c r="Y181" s="64">
        <f>'[1]Food Security'!F178</f>
        <v>9.7129186602870803</v>
      </c>
      <c r="Z181" s="64">
        <f>'[1]Macro Fiscal'!F178</f>
        <v>8.0330578512396702</v>
      </c>
      <c r="AA181" s="64">
        <f>'[1]Socioeconomic Vulnerability'!F178</f>
        <v>0</v>
      </c>
      <c r="AB181" s="64">
        <f>'[1]Natural Hazard'!F178</f>
        <v>6.8333333333333304</v>
      </c>
      <c r="AC181" s="64">
        <f>'[1]Fragility and Conflict'!F178</f>
        <v>178</v>
      </c>
      <c r="AD181" s="61"/>
      <c r="AE181" s="64">
        <f>[1]Health!G178</f>
        <v>10</v>
      </c>
      <c r="AF181" s="64">
        <f>'[1]Food Security'!G178</f>
        <v>3</v>
      </c>
      <c r="AG181" s="64">
        <f>'[1]Macro Fiscal'!G178</f>
        <v>4.5454545454545503</v>
      </c>
      <c r="AH181" s="64">
        <f>'[1]Socioeconomic Vulnerability'!G178</f>
        <v>0</v>
      </c>
      <c r="AI181" s="64">
        <f>'[1]Natural Hazard'!G178</f>
        <v>7</v>
      </c>
      <c r="AJ181" s="64">
        <f>'[1]Fragility and Conflict'!G178</f>
        <v>0</v>
      </c>
      <c r="AK181" s="60"/>
      <c r="AL181" s="66">
        <v>0</v>
      </c>
      <c r="AM181" s="66">
        <v>0.2</v>
      </c>
      <c r="AN181" s="60"/>
      <c r="AO181" s="60"/>
      <c r="AP181" s="60"/>
      <c r="AQ181" s="60"/>
      <c r="AR181" s="60"/>
      <c r="AS181" s="60"/>
      <c r="AT181" s="60"/>
      <c r="AU181" s="60"/>
      <c r="AV181" s="60"/>
      <c r="AW181" s="60"/>
      <c r="AX181" s="60"/>
      <c r="AY181" s="60"/>
      <c r="AZ181" s="60"/>
      <c r="BA181" s="60"/>
      <c r="BB181" s="60"/>
      <c r="BC181" s="60"/>
      <c r="BD181" s="60"/>
      <c r="BE181" s="60"/>
      <c r="BF181" s="60"/>
      <c r="BG181" s="60"/>
      <c r="BH181" s="60"/>
      <c r="BI181" s="60"/>
      <c r="BJ181" s="60"/>
      <c r="BK181" s="60"/>
      <c r="BL181" s="60"/>
      <c r="BM181" s="60"/>
      <c r="BN181" s="60"/>
      <c r="BO181" s="60"/>
      <c r="BP181" s="60"/>
      <c r="BQ181" s="60"/>
      <c r="BR181" s="60"/>
      <c r="BS181" s="60"/>
      <c r="BT181" s="60"/>
      <c r="BU181" s="60"/>
    </row>
    <row r="182" spans="1:73" s="67" customFormat="1" x14ac:dyDescent="0.2">
      <c r="A182" s="58">
        <v>177</v>
      </c>
      <c r="B182" s="59" t="s">
        <v>1007</v>
      </c>
      <c r="C182" s="59" t="s">
        <v>1008</v>
      </c>
      <c r="D182" s="60"/>
      <c r="E182" s="61">
        <f>COUNTIF($Q182:$V182,10)</f>
        <v>2</v>
      </c>
      <c r="F182" s="62">
        <f>E182</f>
        <v>2</v>
      </c>
      <c r="G182" s="61">
        <f>COUNTIF($X182:$AC182,10)</f>
        <v>3</v>
      </c>
      <c r="H182" s="63">
        <f>G182</f>
        <v>3</v>
      </c>
      <c r="I182" s="60">
        <f>COUNTIF($AE182:$AJ182,10)</f>
        <v>1</v>
      </c>
      <c r="J182" s="63">
        <f>I182</f>
        <v>1</v>
      </c>
      <c r="K182" s="63"/>
      <c r="L182" s="61">
        <f>COUNTIF($X182:$AC182,10)+COUNTIFS($X182:$AC182,"&gt;=7",$X182:$AC182,"&lt;10")/2</f>
        <v>3.5</v>
      </c>
      <c r="M182" s="63" t="str">
        <f>_xlfn.CONCAT(COUNTIF($X182:$AC182,10)+COUNTIFS($X182:$AC182,"&gt;=7",$X182:$AC182,"&lt;10")/2,REPT("*",COUNTBLANK($X182:$AC182)))</f>
        <v>3.5</v>
      </c>
      <c r="N182" s="60">
        <v>4</v>
      </c>
      <c r="O182" s="60">
        <v>4</v>
      </c>
      <c r="P182" s="60"/>
      <c r="Q182" s="64">
        <f>IFERROR(GEOMEAN(X182,AE182), MAX(X182,AE182))</f>
        <v>10</v>
      </c>
      <c r="R182" s="64">
        <f>IFERROR(GEOMEAN(Y182,AF182), MAX(Y182,AF182))</f>
        <v>3.1622776601683795</v>
      </c>
      <c r="S182" s="64">
        <f>IFERROR(GEOMEAN(Z182,AG182), MAX(Z182,AG182))</f>
        <v>7.4374425857534332</v>
      </c>
      <c r="T182" s="64">
        <f>IFERROR(GEOMEAN(AA182,AH182), MAX(AA182,AH182))</f>
        <v>10</v>
      </c>
      <c r="U182" s="64">
        <f>IFERROR(GEOMEAN(AB182,AI182), MAX(AB182,AI182))</f>
        <v>6.2981478758970626</v>
      </c>
      <c r="V182" s="64">
        <f>IFERROR(GEOMEAN(AC182,AJ182), MAX(AC182,AJ182))</f>
        <v>179</v>
      </c>
      <c r="W182" s="61"/>
      <c r="X182" s="64">
        <f>[1]Health!F179</f>
        <v>10</v>
      </c>
      <c r="Y182" s="64">
        <f>'[1]Food Security'!F179</f>
        <v>10</v>
      </c>
      <c r="Z182" s="64">
        <f>'[1]Macro Fiscal'!F179</f>
        <v>7.8512396694214903</v>
      </c>
      <c r="AA182" s="64">
        <f>'[1]Socioeconomic Vulnerability'!F179</f>
        <v>10</v>
      </c>
      <c r="AB182" s="64">
        <f>'[1]Natural Hazard'!F179</f>
        <v>5.6666666666666696</v>
      </c>
      <c r="AC182" s="64">
        <f>'[1]Fragility and Conflict'!F179</f>
        <v>179</v>
      </c>
      <c r="AD182" s="61"/>
      <c r="AE182" s="64">
        <f>[1]Health!G179</f>
        <v>10</v>
      </c>
      <c r="AF182" s="64">
        <f>'[1]Food Security'!G179</f>
        <v>1</v>
      </c>
      <c r="AG182" s="64">
        <f>'[1]Macro Fiscal'!G179</f>
        <v>7.0454545454545503</v>
      </c>
      <c r="AH182" s="64">
        <f>'[1]Socioeconomic Vulnerability'!G179</f>
        <v>0</v>
      </c>
      <c r="AI182" s="64">
        <f>'[1]Natural Hazard'!G179</f>
        <v>7</v>
      </c>
      <c r="AJ182" s="64">
        <f>'[1]Fragility and Conflict'!G179</f>
        <v>0</v>
      </c>
      <c r="AK182" s="60"/>
      <c r="AL182" s="66">
        <v>0</v>
      </c>
      <c r="AM182" s="66">
        <v>0.1</v>
      </c>
      <c r="AN182" s="60"/>
      <c r="AO182" s="60"/>
      <c r="AP182" s="60"/>
      <c r="AQ182" s="60"/>
      <c r="AR182" s="60"/>
      <c r="AS182" s="60"/>
      <c r="AT182" s="60"/>
      <c r="AU182" s="60"/>
      <c r="AV182" s="60"/>
      <c r="AW182" s="60"/>
      <c r="AX182" s="60"/>
      <c r="AY182" s="60"/>
      <c r="AZ182" s="60"/>
      <c r="BA182" s="60"/>
      <c r="BB182" s="60"/>
      <c r="BC182" s="60"/>
      <c r="BD182" s="60"/>
      <c r="BE182" s="60"/>
      <c r="BF182" s="60"/>
      <c r="BG182" s="60"/>
      <c r="BH182" s="60"/>
      <c r="BI182" s="60"/>
      <c r="BJ182" s="60"/>
      <c r="BK182" s="60"/>
      <c r="BL182" s="60"/>
      <c r="BM182" s="60"/>
      <c r="BN182" s="60"/>
      <c r="BO182" s="60"/>
      <c r="BP182" s="60"/>
      <c r="BQ182" s="60"/>
      <c r="BR182" s="60"/>
      <c r="BS182" s="60"/>
      <c r="BT182" s="60"/>
      <c r="BU182" s="60"/>
    </row>
    <row r="183" spans="1:73" s="67" customFormat="1" x14ac:dyDescent="0.2">
      <c r="A183" s="58">
        <v>178</v>
      </c>
      <c r="B183" s="59" t="s">
        <v>1011</v>
      </c>
      <c r="C183" s="59" t="s">
        <v>1012</v>
      </c>
      <c r="D183" s="60"/>
      <c r="E183" s="61">
        <f>COUNTIF($Q183:$V183,10)</f>
        <v>0</v>
      </c>
      <c r="F183" s="62">
        <f>E183</f>
        <v>0</v>
      </c>
      <c r="G183" s="61">
        <f>COUNTIF($X183:$AC183,10)</f>
        <v>0</v>
      </c>
      <c r="H183" s="63">
        <f>G183</f>
        <v>0</v>
      </c>
      <c r="I183" s="60">
        <f>COUNTIF($AE183:$AJ183,10)</f>
        <v>0</v>
      </c>
      <c r="J183" s="63">
        <f>I183</f>
        <v>0</v>
      </c>
      <c r="K183" s="63"/>
      <c r="L183" s="61">
        <f>COUNTIF($X183:$AC183,10)+COUNTIFS($X183:$AC183,"&gt;=7",$X183:$AC183,"&lt;10")/2</f>
        <v>1</v>
      </c>
      <c r="M183" s="63" t="str">
        <f>_xlfn.CONCAT(COUNTIF($X183:$AC183,10)+COUNTIFS($X183:$AC183,"&gt;=7",$X183:$AC183,"&lt;10")/2,REPT("*",COUNTBLANK($X183:$AC183)))</f>
        <v>1</v>
      </c>
      <c r="N183" s="60">
        <v>1</v>
      </c>
      <c r="O183" s="60">
        <v>1</v>
      </c>
      <c r="P183" s="60"/>
      <c r="Q183" s="64">
        <v>6.4</v>
      </c>
      <c r="R183" s="64">
        <v>2.2966507177033502</v>
      </c>
      <c r="S183" s="64">
        <v>4.9155722326453999</v>
      </c>
      <c r="T183" s="64">
        <v>2.5714285714285698</v>
      </c>
      <c r="U183" s="64">
        <v>8.0066444277884905</v>
      </c>
      <c r="V183" s="64">
        <v>7.6666666666666696</v>
      </c>
      <c r="W183" s="61"/>
      <c r="X183" s="64">
        <f>[1]Health!F180</f>
        <v>6.4</v>
      </c>
      <c r="Y183" s="64">
        <f>'[1]Food Security'!F180</f>
        <v>2.2966507177033502</v>
      </c>
      <c r="Z183" s="64">
        <f>'[1]Macro Fiscal'!F180</f>
        <v>8.4297520661157002</v>
      </c>
      <c r="AA183" s="64">
        <f>'[1]Socioeconomic Vulnerability'!F180</f>
        <v>7</v>
      </c>
      <c r="AB183" s="64">
        <f>'[1]Natural Hazard'!F180</f>
        <v>3.6666666666666701</v>
      </c>
      <c r="AC183" s="64">
        <f>'[1]Fragility and Conflict'!F180</f>
        <v>180</v>
      </c>
      <c r="AD183" s="61"/>
      <c r="AE183" s="64">
        <f>[1]Health!G180</f>
        <v>5.4820000000000002</v>
      </c>
      <c r="AF183" s="64">
        <f>'[1]Food Security'!G180</f>
        <v>3</v>
      </c>
      <c r="AG183" s="64">
        <f>'[1]Macro Fiscal'!G180</f>
        <v>4.0909090909090802</v>
      </c>
      <c r="AH183" s="64">
        <f>'[1]Socioeconomic Vulnerability'!G180</f>
        <v>0</v>
      </c>
      <c r="AI183" s="64">
        <f>'[1]Natural Hazard'!G180</f>
        <v>0</v>
      </c>
      <c r="AJ183" s="64">
        <f>'[1]Fragility and Conflict'!G180</f>
        <v>0</v>
      </c>
      <c r="AK183" s="60"/>
      <c r="AL183" s="66">
        <v>0</v>
      </c>
      <c r="AM183" s="66">
        <v>0.3</v>
      </c>
      <c r="AN183" s="60"/>
      <c r="AO183" s="60"/>
      <c r="AP183" s="60"/>
      <c r="AQ183" s="60"/>
      <c r="AR183" s="60"/>
      <c r="AS183" s="60"/>
      <c r="AT183" s="60"/>
      <c r="AU183" s="60"/>
      <c r="AV183" s="60"/>
      <c r="AW183" s="60"/>
      <c r="AX183" s="60"/>
      <c r="AY183" s="60"/>
      <c r="AZ183" s="60"/>
      <c r="BA183" s="60"/>
      <c r="BB183" s="60"/>
      <c r="BC183" s="60"/>
      <c r="BD183" s="60"/>
      <c r="BE183" s="60"/>
      <c r="BF183" s="60"/>
      <c r="BG183" s="60"/>
      <c r="BH183" s="60"/>
      <c r="BI183" s="60"/>
      <c r="BJ183" s="60"/>
      <c r="BK183" s="60"/>
      <c r="BL183" s="60"/>
      <c r="BM183" s="60"/>
      <c r="BN183" s="60"/>
      <c r="BO183" s="60"/>
      <c r="BP183" s="60"/>
      <c r="BQ183" s="60"/>
      <c r="BR183" s="60"/>
      <c r="BS183" s="60"/>
      <c r="BT183" s="60"/>
      <c r="BU183" s="60"/>
    </row>
    <row r="184" spans="1:73" s="67" customFormat="1" x14ac:dyDescent="0.2">
      <c r="A184" s="58">
        <v>179</v>
      </c>
      <c r="B184" s="59" t="s">
        <v>1015</v>
      </c>
      <c r="C184" s="59" t="s">
        <v>1016</v>
      </c>
      <c r="D184" s="60"/>
      <c r="E184" s="61">
        <f>COUNTIF($Q184:$V184,10)</f>
        <v>0</v>
      </c>
      <c r="F184" s="62">
        <f>E184</f>
        <v>0</v>
      </c>
      <c r="G184" s="61">
        <f>COUNTIF($X184:$AC184,10)</f>
        <v>0</v>
      </c>
      <c r="H184" s="63">
        <f>G184</f>
        <v>0</v>
      </c>
      <c r="I184" s="60">
        <f>COUNTIF($AE184:$AJ184,10)</f>
        <v>0</v>
      </c>
      <c r="J184" s="63">
        <f>I184</f>
        <v>0</v>
      </c>
      <c r="K184" s="63"/>
      <c r="L184" s="61">
        <f>COUNTIF($X184:$AC184,10)+COUNTIFS($X184:$AC184,"&gt;=7",$X184:$AC184,"&lt;10")/2</f>
        <v>0.5</v>
      </c>
      <c r="M184" s="63" t="str">
        <f>_xlfn.CONCAT(COUNTIF($X184:$AC184,10)+COUNTIFS($X184:$AC184,"&gt;=7",$X184:$AC184,"&lt;10")/2,REPT("*",COUNTBLANK($X184:$AC184)))</f>
        <v>0.5</v>
      </c>
      <c r="N184" s="60">
        <v>2</v>
      </c>
      <c r="O184" s="60">
        <v>2</v>
      </c>
      <c r="P184" s="60"/>
      <c r="Q184" s="64">
        <v>5.74</v>
      </c>
      <c r="R184" s="64">
        <v>3.1339712918660299</v>
      </c>
      <c r="S184" s="64">
        <v>4.1463414634146298</v>
      </c>
      <c r="T184" s="64">
        <v>2.71428571428571</v>
      </c>
      <c r="U184" s="64">
        <v>6.6767120297742002</v>
      </c>
      <c r="V184" s="64">
        <v>3.7111111111111099</v>
      </c>
      <c r="W184" s="61"/>
      <c r="X184" s="64">
        <f>[1]Health!F181</f>
        <v>5.74</v>
      </c>
      <c r="Y184" s="64">
        <f>'[1]Food Security'!F181</f>
        <v>3.1339712918660299</v>
      </c>
      <c r="Z184" s="64">
        <f>'[1]Macro Fiscal'!F181</f>
        <v>4.6115702479338898</v>
      </c>
      <c r="AA184" s="64">
        <f>'[1]Socioeconomic Vulnerability'!F181</f>
        <v>7</v>
      </c>
      <c r="AB184" s="64">
        <f>'[1]Natural Hazard'!F181</f>
        <v>1.1666666666666701</v>
      </c>
      <c r="AC184" s="64">
        <f>'[1]Fragility and Conflict'!F181</f>
        <v>181</v>
      </c>
      <c r="AD184" s="61"/>
      <c r="AE184" s="64">
        <f>[1]Health!G181</f>
        <v>7.1428571428571104</v>
      </c>
      <c r="AF184" s="64">
        <f>'[1]Food Security'!G181</f>
        <v>5</v>
      </c>
      <c r="AG184" s="64">
        <f>'[1]Macro Fiscal'!G181</f>
        <v>1.5909090909090799</v>
      </c>
      <c r="AH184" s="64">
        <f>'[1]Socioeconomic Vulnerability'!G181</f>
        <v>0</v>
      </c>
      <c r="AI184" s="64">
        <f>'[1]Natural Hazard'!G181</f>
        <v>0</v>
      </c>
      <c r="AJ184" s="64">
        <f>'[1]Fragility and Conflict'!G181</f>
        <v>0</v>
      </c>
      <c r="AK184" s="60"/>
      <c r="AL184" s="66">
        <v>0</v>
      </c>
      <c r="AM184" s="66">
        <v>0.3</v>
      </c>
      <c r="AN184" s="60"/>
      <c r="AO184" s="60"/>
      <c r="AP184" s="60"/>
      <c r="AQ184" s="60"/>
      <c r="AR184" s="60"/>
      <c r="AS184" s="60"/>
      <c r="AT184" s="60"/>
      <c r="AU184" s="60"/>
      <c r="AV184" s="60"/>
      <c r="AW184" s="60"/>
      <c r="AX184" s="60"/>
      <c r="AY184" s="60"/>
      <c r="AZ184" s="60"/>
      <c r="BA184" s="60"/>
      <c r="BB184" s="60"/>
      <c r="BC184" s="60"/>
      <c r="BD184" s="60"/>
      <c r="BE184" s="60"/>
      <c r="BF184" s="60"/>
      <c r="BG184" s="60"/>
      <c r="BH184" s="60"/>
      <c r="BI184" s="60"/>
      <c r="BJ184" s="60"/>
      <c r="BK184" s="60"/>
      <c r="BL184" s="60"/>
      <c r="BM184" s="60"/>
      <c r="BN184" s="60"/>
      <c r="BO184" s="60"/>
      <c r="BP184" s="60"/>
      <c r="BQ184" s="60"/>
      <c r="BR184" s="60"/>
      <c r="BS184" s="60"/>
      <c r="BT184" s="60"/>
      <c r="BU184" s="60"/>
    </row>
    <row r="185" spans="1:73" s="67" customFormat="1" x14ac:dyDescent="0.2">
      <c r="A185" s="58">
        <v>180</v>
      </c>
      <c r="B185" s="59" t="s">
        <v>1019</v>
      </c>
      <c r="C185" s="59" t="s">
        <v>1020</v>
      </c>
      <c r="D185" s="60"/>
      <c r="E185" s="61">
        <f>COUNTIF($Q185:$V185,10)</f>
        <v>1</v>
      </c>
      <c r="F185" s="62">
        <f>E185</f>
        <v>1</v>
      </c>
      <c r="G185" s="61">
        <f>COUNTIF($X185:$AC185,10)</f>
        <v>0</v>
      </c>
      <c r="H185" s="63">
        <f>G185</f>
        <v>0</v>
      </c>
      <c r="I185" s="60">
        <f>COUNTIF($AE185:$AJ185,10)</f>
        <v>1</v>
      </c>
      <c r="J185" s="63">
        <f>I185</f>
        <v>1</v>
      </c>
      <c r="K185" s="63"/>
      <c r="L185" s="61">
        <f>COUNTIF($X185:$AC185,10)+COUNTIFS($X185:$AC185,"&gt;=7",$X185:$AC185,"&lt;10")/2</f>
        <v>1</v>
      </c>
      <c r="M185" s="63" t="str">
        <f>_xlfn.CONCAT(COUNTIF($X185:$AC185,10)+COUNTIFS($X185:$AC185,"&gt;=7",$X185:$AC185,"&lt;10")/2,REPT("*",COUNTBLANK($X185:$AC185)))</f>
        <v>1</v>
      </c>
      <c r="N185" s="60">
        <v>2</v>
      </c>
      <c r="O185" s="60">
        <v>2</v>
      </c>
      <c r="P185" s="60"/>
      <c r="Q185" s="64">
        <v>1.25</v>
      </c>
      <c r="R185" s="64">
        <v>0.19138755980861299</v>
      </c>
      <c r="S185" s="64">
        <v>1.7260787992495299</v>
      </c>
      <c r="T185" s="64">
        <v>1.1428571428571399</v>
      </c>
      <c r="U185" s="64">
        <v>10</v>
      </c>
      <c r="V185" s="64">
        <v>4.25555555555556</v>
      </c>
      <c r="W185" s="61"/>
      <c r="X185" s="64">
        <f>[1]Health!F182</f>
        <v>1.25</v>
      </c>
      <c r="Y185" s="64">
        <f>'[1]Food Security'!F182</f>
        <v>0.19138755980861299</v>
      </c>
      <c r="Z185" s="64">
        <f>'[1]Macro Fiscal'!F182</f>
        <v>2.06611570247934</v>
      </c>
      <c r="AA185" s="64">
        <f>'[1]Socioeconomic Vulnerability'!F182</f>
        <v>7</v>
      </c>
      <c r="AB185" s="64">
        <f>'[1]Natural Hazard'!F182</f>
        <v>9.3333333333333304</v>
      </c>
      <c r="AC185" s="64">
        <f>'[1]Fragility and Conflict'!F182</f>
        <v>182</v>
      </c>
      <c r="AD185" s="61"/>
      <c r="AE185" s="64">
        <f>[1]Health!G182</f>
        <v>10</v>
      </c>
      <c r="AF185" s="64">
        <f>'[1]Food Security'!G182</f>
        <v>3</v>
      </c>
      <c r="AG185" s="64">
        <f>'[1]Macro Fiscal'!G182</f>
        <v>1.5909090909090899</v>
      </c>
      <c r="AH185" s="64">
        <f>'[1]Socioeconomic Vulnerability'!G182</f>
        <v>0</v>
      </c>
      <c r="AI185" s="64">
        <f>'[1]Natural Hazard'!G182</f>
        <v>7</v>
      </c>
      <c r="AJ185" s="64">
        <f>'[1]Fragility and Conflict'!G182</f>
        <v>0</v>
      </c>
      <c r="AK185" s="60"/>
      <c r="AL185" s="66">
        <v>0</v>
      </c>
      <c r="AM185" s="66">
        <v>0.4</v>
      </c>
      <c r="AN185" s="60"/>
      <c r="AO185" s="60"/>
      <c r="AP185" s="60"/>
      <c r="AQ185" s="60"/>
      <c r="AR185" s="60"/>
      <c r="AS185" s="60"/>
      <c r="AT185" s="60"/>
      <c r="AU185" s="60"/>
      <c r="AV185" s="60"/>
      <c r="AW185" s="60"/>
      <c r="AX185" s="60"/>
      <c r="AY185" s="60"/>
      <c r="AZ185" s="60"/>
      <c r="BA185" s="60"/>
      <c r="BB185" s="60"/>
      <c r="BC185" s="60"/>
      <c r="BD185" s="60"/>
      <c r="BE185" s="60"/>
      <c r="BF185" s="60"/>
      <c r="BG185" s="60"/>
      <c r="BH185" s="60"/>
      <c r="BI185" s="60"/>
      <c r="BJ185" s="60"/>
      <c r="BK185" s="60"/>
      <c r="BL185" s="60"/>
      <c r="BM185" s="60"/>
      <c r="BN185" s="60"/>
      <c r="BO185" s="60"/>
      <c r="BP185" s="60"/>
      <c r="BQ185" s="60"/>
      <c r="BR185" s="60"/>
      <c r="BS185" s="60"/>
      <c r="BT185" s="60"/>
      <c r="BU185" s="60"/>
    </row>
    <row r="186" spans="1:73" s="67" customFormat="1" x14ac:dyDescent="0.2">
      <c r="A186" s="58">
        <v>181</v>
      </c>
      <c r="B186" s="59" t="s">
        <v>1022</v>
      </c>
      <c r="C186" s="59" t="s">
        <v>1023</v>
      </c>
      <c r="D186" s="60"/>
      <c r="E186" s="61">
        <f>COUNTIF($Q186:$V186,10)</f>
        <v>0</v>
      </c>
      <c r="F186" s="62">
        <f>E186</f>
        <v>0</v>
      </c>
      <c r="G186" s="61">
        <f>COUNTIF($X186:$AC186,10)</f>
        <v>1</v>
      </c>
      <c r="H186" s="63">
        <f>G186</f>
        <v>1</v>
      </c>
      <c r="I186" s="60">
        <f>COUNTIF($AE186:$AJ186,10)</f>
        <v>0</v>
      </c>
      <c r="J186" s="63">
        <f>I186</f>
        <v>0</v>
      </c>
      <c r="K186" s="63"/>
      <c r="L186" s="61">
        <f>COUNTIF($X186:$AC186,10)+COUNTIFS($X186:$AC186,"&gt;=7",$X186:$AC186,"&lt;10")/2</f>
        <v>2.5</v>
      </c>
      <c r="M186" s="63" t="str">
        <f>_xlfn.CONCAT(COUNTIF($X186:$AC186,10)+COUNTIFS($X186:$AC186,"&gt;=7",$X186:$AC186,"&lt;10")/2,REPT("*",COUNTBLANK($X186:$AC186)))</f>
        <v>2.5</v>
      </c>
      <c r="N186" s="60">
        <v>1.5</v>
      </c>
      <c r="O186" s="60">
        <v>1.5</v>
      </c>
      <c r="P186" s="60"/>
      <c r="Q186" s="64">
        <v>7.14</v>
      </c>
      <c r="R186" s="64">
        <v>3.2535885167464098</v>
      </c>
      <c r="S186" s="64">
        <v>3.63977485928705</v>
      </c>
      <c r="T186" s="64">
        <v>4.8571428571428603</v>
      </c>
      <c r="U186" s="64">
        <v>8.4089641525371395</v>
      </c>
      <c r="V186" s="64">
        <v>8.12222222222222</v>
      </c>
      <c r="W186" s="61"/>
      <c r="X186" s="64">
        <f>[1]Health!F183</f>
        <v>7.14</v>
      </c>
      <c r="Y186" s="64">
        <f>'[1]Food Security'!F183</f>
        <v>3.2535885167464098</v>
      </c>
      <c r="Z186" s="64">
        <f>'[1]Macro Fiscal'!F183</f>
        <v>9.7024793388429806</v>
      </c>
      <c r="AA186" s="64">
        <f>'[1]Socioeconomic Vulnerability'!F183</f>
        <v>10</v>
      </c>
      <c r="AB186" s="64">
        <f>'[1]Natural Hazard'!F183</f>
        <v>7</v>
      </c>
      <c r="AC186" s="64">
        <f>'[1]Fragility and Conflict'!F183</f>
        <v>183</v>
      </c>
      <c r="AD186" s="61"/>
      <c r="AE186" s="64">
        <f>[1]Health!G183</f>
        <v>7.2646153846153796</v>
      </c>
      <c r="AF186" s="64">
        <f>'[1]Food Security'!G183</f>
        <v>0</v>
      </c>
      <c r="AG186" s="64">
        <f>'[1]Macro Fiscal'!G183</f>
        <v>4.0909090909090997</v>
      </c>
      <c r="AH186" s="64">
        <f>'[1]Socioeconomic Vulnerability'!G183</f>
        <v>0</v>
      </c>
      <c r="AI186" s="64">
        <f>'[1]Natural Hazard'!G183</f>
        <v>7</v>
      </c>
      <c r="AJ186" s="64">
        <f>'[1]Fragility and Conflict'!G183</f>
        <v>0</v>
      </c>
      <c r="AK186" s="60"/>
      <c r="AL186" s="66">
        <v>0</v>
      </c>
      <c r="AM186" s="66">
        <v>0.4</v>
      </c>
      <c r="AN186" s="60"/>
      <c r="AO186" s="60"/>
      <c r="AP186" s="60"/>
      <c r="AQ186" s="60"/>
      <c r="AR186" s="60"/>
      <c r="AS186" s="60"/>
      <c r="AT186" s="60"/>
      <c r="AU186" s="60"/>
      <c r="AV186" s="60"/>
      <c r="AW186" s="60"/>
      <c r="AX186" s="60"/>
      <c r="AY186" s="60"/>
      <c r="AZ186" s="60"/>
      <c r="BA186" s="60"/>
      <c r="BB186" s="60"/>
      <c r="BC186" s="60"/>
      <c r="BD186" s="60"/>
      <c r="BE186" s="60"/>
      <c r="BF186" s="60"/>
      <c r="BG186" s="60"/>
      <c r="BH186" s="60"/>
      <c r="BI186" s="60"/>
      <c r="BJ186" s="60"/>
      <c r="BK186" s="60"/>
      <c r="BL186" s="60"/>
      <c r="BM186" s="60"/>
      <c r="BN186" s="60"/>
      <c r="BO186" s="60"/>
      <c r="BP186" s="60"/>
      <c r="BQ186" s="60"/>
      <c r="BR186" s="60"/>
      <c r="BS186" s="60"/>
      <c r="BT186" s="60"/>
      <c r="BU186" s="60"/>
    </row>
    <row r="187" spans="1:73" s="67" customFormat="1" x14ac:dyDescent="0.2">
      <c r="A187" s="58">
        <v>182</v>
      </c>
      <c r="B187" s="59" t="s">
        <v>1026</v>
      </c>
      <c r="C187" s="59" t="s">
        <v>1027</v>
      </c>
      <c r="D187" s="60"/>
      <c r="E187" s="61">
        <f>COUNTIF($Q187:$V187,10)</f>
        <v>1</v>
      </c>
      <c r="F187" s="62">
        <f>E187</f>
        <v>1</v>
      </c>
      <c r="G187" s="61">
        <f>COUNTIF($X187:$AC187,10)</f>
        <v>0</v>
      </c>
      <c r="H187" s="63">
        <f>G187</f>
        <v>0</v>
      </c>
      <c r="I187" s="60">
        <f>COUNTIF($AE187:$AJ187,10)</f>
        <v>1</v>
      </c>
      <c r="J187" s="63">
        <f>I187</f>
        <v>1</v>
      </c>
      <c r="K187" s="63"/>
      <c r="L187" s="61">
        <f>COUNTIF($X187:$AC187,10)+COUNTIFS($X187:$AC187,"&gt;=7",$X187:$AC187,"&lt;10")/2</f>
        <v>0.5</v>
      </c>
      <c r="M187" s="63" t="str">
        <f>_xlfn.CONCAT(COUNTIF($X187:$AC187,10)+COUNTIFS($X187:$AC187,"&gt;=7",$X187:$AC187,"&lt;10")/2,REPT("*",COUNTBLANK($X187:$AC187)))</f>
        <v>0.5</v>
      </c>
      <c r="N187" s="60">
        <v>1</v>
      </c>
      <c r="O187" s="60">
        <v>1</v>
      </c>
      <c r="P187" s="60"/>
      <c r="Q187" s="64">
        <v>7.4</v>
      </c>
      <c r="R187" s="64">
        <v>4.4736842105263097</v>
      </c>
      <c r="S187" s="64">
        <v>10</v>
      </c>
      <c r="T187" s="64">
        <v>3.8571428571428599</v>
      </c>
      <c r="U187" s="64">
        <v>5.2993098498761499</v>
      </c>
      <c r="V187" s="68"/>
      <c r="W187" s="61"/>
      <c r="X187" s="64">
        <f>[1]Health!F184</f>
        <v>7.4</v>
      </c>
      <c r="Y187" s="64">
        <f>'[1]Food Security'!F184</f>
        <v>4.4736842105263204</v>
      </c>
      <c r="Z187" s="64">
        <f>'[1]Macro Fiscal'!F184</f>
        <v>0</v>
      </c>
      <c r="AA187" s="64">
        <f>'[1]Socioeconomic Vulnerability'!F184</f>
        <v>0</v>
      </c>
      <c r="AB187" s="64">
        <f>'[1]Natural Hazard'!F184</f>
        <v>2.6666666666666701</v>
      </c>
      <c r="AC187" s="64">
        <f>'[1]Fragility and Conflict'!F184</f>
        <v>184</v>
      </c>
      <c r="AD187" s="61"/>
      <c r="AE187" s="64">
        <f>[1]Health!G184</f>
        <v>4.3778800000000002</v>
      </c>
      <c r="AF187" s="64">
        <f>'[1]Food Security'!G184</f>
        <v>0</v>
      </c>
      <c r="AG187" s="64">
        <f>'[1]Macro Fiscal'!G184</f>
        <v>0</v>
      </c>
      <c r="AH187" s="64">
        <f>'[1]Socioeconomic Vulnerability'!G184</f>
        <v>0</v>
      </c>
      <c r="AI187" s="64">
        <f>'[1]Natural Hazard'!G184</f>
        <v>10</v>
      </c>
      <c r="AJ187" s="64">
        <f>'[1]Fragility and Conflict'!G184</f>
        <v>0</v>
      </c>
      <c r="AK187" s="60"/>
      <c r="AL187" s="66">
        <v>0.2</v>
      </c>
      <c r="AM187" s="66">
        <v>0.6</v>
      </c>
      <c r="AN187" s="60"/>
      <c r="AO187" s="60"/>
      <c r="AP187" s="60"/>
      <c r="AQ187" s="60"/>
      <c r="AR187" s="60"/>
      <c r="AS187" s="60"/>
      <c r="AT187" s="60"/>
      <c r="AU187" s="60"/>
      <c r="AV187" s="60"/>
      <c r="AW187" s="60"/>
      <c r="AX187" s="60"/>
      <c r="AY187" s="60"/>
      <c r="AZ187" s="60"/>
      <c r="BA187" s="60"/>
      <c r="BB187" s="60"/>
      <c r="BC187" s="60"/>
      <c r="BD187" s="60"/>
      <c r="BE187" s="60"/>
      <c r="BF187" s="60"/>
      <c r="BG187" s="60"/>
      <c r="BH187" s="60"/>
      <c r="BI187" s="60"/>
      <c r="BJ187" s="60"/>
      <c r="BK187" s="60"/>
      <c r="BL187" s="60"/>
      <c r="BM187" s="60"/>
      <c r="BN187" s="60"/>
      <c r="BO187" s="60"/>
      <c r="BP187" s="60"/>
      <c r="BQ187" s="60"/>
      <c r="BR187" s="60"/>
      <c r="BS187" s="60"/>
      <c r="BT187" s="60"/>
      <c r="BU187" s="60"/>
    </row>
    <row r="188" spans="1:73" s="67" customFormat="1" x14ac:dyDescent="0.2">
      <c r="A188" s="58">
        <v>183</v>
      </c>
      <c r="B188" s="59" t="s">
        <v>1029</v>
      </c>
      <c r="C188" s="59" t="s">
        <v>1030</v>
      </c>
      <c r="D188" s="60"/>
      <c r="E188" s="61">
        <f>COUNTIF($Q188:$V188,10)</f>
        <v>1</v>
      </c>
      <c r="F188" s="62">
        <f>E188</f>
        <v>1</v>
      </c>
      <c r="G188" s="61">
        <f>COUNTIF($X188:$AC188,10)</f>
        <v>1</v>
      </c>
      <c r="H188" s="63">
        <f>G188</f>
        <v>1</v>
      </c>
      <c r="I188" s="60">
        <f>COUNTIF($AE188:$AJ188,10)</f>
        <v>1</v>
      </c>
      <c r="J188" s="63">
        <f>I188</f>
        <v>1</v>
      </c>
      <c r="K188" s="63"/>
      <c r="L188" s="61">
        <f>COUNTIF($X188:$AC188,10)+COUNTIFS($X188:$AC188,"&gt;=7",$X188:$AC188,"&lt;10")/2</f>
        <v>2</v>
      </c>
      <c r="M188" s="63" t="str">
        <f>_xlfn.CONCAT(COUNTIF($X188:$AC188,10)+COUNTIFS($X188:$AC188,"&gt;=7",$X188:$AC188,"&lt;10")/2,REPT("*",COUNTBLANK($X188:$AC188)))</f>
        <v>2</v>
      </c>
      <c r="N188" s="60">
        <v>0.5</v>
      </c>
      <c r="O188" s="60">
        <v>0.5</v>
      </c>
      <c r="P188" s="60"/>
      <c r="Q188" s="64">
        <v>9.4</v>
      </c>
      <c r="R188" s="64">
        <v>5.0717703349282299</v>
      </c>
      <c r="S188" s="64">
        <v>0</v>
      </c>
      <c r="T188" s="64">
        <v>4.71428571428571</v>
      </c>
      <c r="U188" s="64">
        <v>9.4408751129490192</v>
      </c>
      <c r="V188" s="64">
        <v>10</v>
      </c>
      <c r="W188" s="61"/>
      <c r="X188" s="64">
        <f>[1]Health!F185</f>
        <v>9.4</v>
      </c>
      <c r="Y188" s="64">
        <f>'[1]Food Security'!F185</f>
        <v>5.0717703349282299</v>
      </c>
      <c r="Z188" s="64">
        <f>'[1]Macro Fiscal'!F185</f>
        <v>10</v>
      </c>
      <c r="AA188" s="64">
        <f>'[1]Socioeconomic Vulnerability'!F185</f>
        <v>0</v>
      </c>
      <c r="AB188" s="64">
        <f>'[1]Natural Hazard'!F185</f>
        <v>8.5</v>
      </c>
      <c r="AC188" s="64">
        <f>'[1]Fragility and Conflict'!F185</f>
        <v>185</v>
      </c>
      <c r="AD188" s="61"/>
      <c r="AE188" s="64">
        <f>[1]Health!G185</f>
        <v>4.7619047619047397</v>
      </c>
      <c r="AF188" s="64">
        <f>'[1]Food Security'!G185</f>
        <v>10</v>
      </c>
      <c r="AG188" s="64">
        <f>'[1]Macro Fiscal'!G185</f>
        <v>5</v>
      </c>
      <c r="AH188" s="64">
        <f>'[1]Socioeconomic Vulnerability'!G185</f>
        <v>0</v>
      </c>
      <c r="AI188" s="64">
        <f>'[1]Natural Hazard'!G185</f>
        <v>7</v>
      </c>
      <c r="AJ188" s="64">
        <f>'[1]Fragility and Conflict'!G185</f>
        <v>0</v>
      </c>
      <c r="AK188" s="60"/>
      <c r="AL188" s="66">
        <v>0</v>
      </c>
      <c r="AM188" s="66">
        <v>0.5</v>
      </c>
      <c r="AN188" s="60"/>
      <c r="AO188" s="60"/>
      <c r="AP188" s="60"/>
      <c r="AQ188" s="60"/>
      <c r="AR188" s="60"/>
      <c r="AS188" s="60"/>
      <c r="AT188" s="60"/>
      <c r="AU188" s="60"/>
      <c r="AV188" s="60"/>
      <c r="AW188" s="60"/>
      <c r="AX188" s="60"/>
      <c r="AY188" s="60"/>
      <c r="AZ188" s="60"/>
      <c r="BA188" s="60"/>
      <c r="BB188" s="60"/>
      <c r="BC188" s="60"/>
      <c r="BD188" s="60"/>
      <c r="BE188" s="60"/>
      <c r="BF188" s="60"/>
      <c r="BG188" s="60"/>
      <c r="BH188" s="60"/>
      <c r="BI188" s="60"/>
      <c r="BJ188" s="60"/>
      <c r="BK188" s="60"/>
      <c r="BL188" s="60"/>
      <c r="BM188" s="60"/>
      <c r="BN188" s="60"/>
      <c r="BO188" s="60"/>
      <c r="BP188" s="60"/>
      <c r="BQ188" s="60"/>
      <c r="BR188" s="60"/>
      <c r="BS188" s="60"/>
      <c r="BT188" s="60"/>
      <c r="BU188" s="60"/>
    </row>
    <row r="189" spans="1:73" s="67" customFormat="1" x14ac:dyDescent="0.2">
      <c r="A189" s="58">
        <v>184</v>
      </c>
      <c r="B189" s="59" t="s">
        <v>1033</v>
      </c>
      <c r="C189" s="59" t="s">
        <v>1034</v>
      </c>
      <c r="D189" s="60"/>
      <c r="E189" s="61">
        <f>COUNTIF($Q189:$V189,10)</f>
        <v>1</v>
      </c>
      <c r="F189" s="62">
        <f>E189</f>
        <v>1</v>
      </c>
      <c r="G189" s="61">
        <f>COUNTIF($X189:$AC189,10)</f>
        <v>1</v>
      </c>
      <c r="H189" s="63">
        <f>G189</f>
        <v>1</v>
      </c>
      <c r="I189" s="60">
        <f>COUNTIF($AE189:$AJ189,10)</f>
        <v>0</v>
      </c>
      <c r="J189" s="63">
        <f>I189</f>
        <v>0</v>
      </c>
      <c r="K189" s="63"/>
      <c r="L189" s="61">
        <f>COUNTIF($X189:$AC189,10)+COUNTIFS($X189:$AC189,"&gt;=7",$X189:$AC189,"&lt;10")/2</f>
        <v>1</v>
      </c>
      <c r="M189" s="63" t="str">
        <f>_xlfn.CONCAT(COUNTIF($X189:$AC189,10)+COUNTIFS($X189:$AC189,"&gt;=7",$X189:$AC189,"&lt;10")/2,REPT("*",COUNTBLANK($X189:$AC189)))</f>
        <v>1</v>
      </c>
      <c r="N189" s="60">
        <v>2</v>
      </c>
      <c r="O189" s="60">
        <v>2</v>
      </c>
      <c r="P189" s="60"/>
      <c r="Q189" s="64">
        <v>4.5</v>
      </c>
      <c r="R189" s="64">
        <v>5.5263157894736796</v>
      </c>
      <c r="S189" s="64">
        <v>3.60225140712945</v>
      </c>
      <c r="T189" s="64">
        <v>4.8571428571428603</v>
      </c>
      <c r="U189" s="64">
        <v>10</v>
      </c>
      <c r="V189" s="64">
        <v>7.1</v>
      </c>
      <c r="W189" s="61"/>
      <c r="X189" s="64">
        <f>[1]Health!F186</f>
        <v>4.5</v>
      </c>
      <c r="Y189" s="64">
        <f>'[1]Food Security'!F186</f>
        <v>5.5263157894736796</v>
      </c>
      <c r="Z189" s="64">
        <f>'[1]Macro Fiscal'!F186</f>
        <v>5.9834710743801596</v>
      </c>
      <c r="AA189" s="64">
        <f>'[1]Socioeconomic Vulnerability'!F186</f>
        <v>6.4178180921645396</v>
      </c>
      <c r="AB189" s="64">
        <f>'[1]Natural Hazard'!F186</f>
        <v>10</v>
      </c>
      <c r="AC189" s="64">
        <f>'[1]Fragility and Conflict'!F186</f>
        <v>186</v>
      </c>
      <c r="AD189" s="61"/>
      <c r="AE189" s="64">
        <f>[1]Health!G186</f>
        <v>1.88</v>
      </c>
      <c r="AF189" s="64">
        <f>'[1]Food Security'!G186</f>
        <v>3</v>
      </c>
      <c r="AG189" s="64">
        <f>'[1]Macro Fiscal'!G186</f>
        <v>5.2272727272727302</v>
      </c>
      <c r="AH189" s="64">
        <f>'[1]Socioeconomic Vulnerability'!G186</f>
        <v>0</v>
      </c>
      <c r="AI189" s="64">
        <f>'[1]Natural Hazard'!G186</f>
        <v>7</v>
      </c>
      <c r="AJ189" s="64">
        <f>'[1]Fragility and Conflict'!G186</f>
        <v>0</v>
      </c>
      <c r="AK189" s="60"/>
      <c r="AL189" s="66">
        <v>0</v>
      </c>
      <c r="AM189" s="66">
        <v>0.3</v>
      </c>
      <c r="AN189" s="60"/>
      <c r="AO189" s="60"/>
      <c r="AP189" s="60"/>
      <c r="AQ189" s="60"/>
      <c r="AR189" s="60"/>
      <c r="AS189" s="60"/>
      <c r="AT189" s="60"/>
      <c r="AU189" s="60"/>
      <c r="AV189" s="60"/>
      <c r="AW189" s="60"/>
      <c r="AX189" s="60"/>
      <c r="AY189" s="60"/>
      <c r="AZ189" s="60"/>
      <c r="BA189" s="60"/>
      <c r="BB189" s="60"/>
      <c r="BC189" s="60"/>
      <c r="BD189" s="60"/>
      <c r="BE189" s="60"/>
      <c r="BF189" s="60"/>
      <c r="BG189" s="60"/>
      <c r="BH189" s="60"/>
      <c r="BI189" s="60"/>
      <c r="BJ189" s="60"/>
      <c r="BK189" s="60"/>
      <c r="BL189" s="60"/>
      <c r="BM189" s="60"/>
      <c r="BN189" s="60"/>
      <c r="BO189" s="60"/>
      <c r="BP189" s="60"/>
      <c r="BQ189" s="60"/>
      <c r="BR189" s="60"/>
      <c r="BS189" s="60"/>
      <c r="BT189" s="60"/>
      <c r="BU189" s="60"/>
    </row>
    <row r="190" spans="1:73" s="67" customFormat="1" x14ac:dyDescent="0.2">
      <c r="A190" s="58">
        <v>185</v>
      </c>
      <c r="B190" s="59" t="s">
        <v>1035</v>
      </c>
      <c r="C190" s="59" t="s">
        <v>1036</v>
      </c>
      <c r="D190" s="60"/>
      <c r="E190" s="61">
        <f>COUNTIF($Q190:$V190,10)</f>
        <v>1</v>
      </c>
      <c r="F190" s="62">
        <f>E190</f>
        <v>1</v>
      </c>
      <c r="G190" s="61">
        <f>COUNTIF($X190:$AC190,10)</f>
        <v>0</v>
      </c>
      <c r="H190" s="63">
        <f>G190</f>
        <v>0</v>
      </c>
      <c r="I190" s="60">
        <f>COUNTIF($AE190:$AJ190,10)</f>
        <v>1</v>
      </c>
      <c r="J190" s="63">
        <f>I190</f>
        <v>1</v>
      </c>
      <c r="K190" s="63"/>
      <c r="L190" s="61">
        <f>COUNTIF($X190:$AC190,10)+COUNTIFS($X190:$AC190,"&gt;=7",$X190:$AC190,"&lt;10")/2</f>
        <v>1.5</v>
      </c>
      <c r="M190" s="63" t="str">
        <f>_xlfn.CONCAT(COUNTIF($X190:$AC190,10)+COUNTIFS($X190:$AC190,"&gt;=7",$X190:$AC190,"&lt;10")/2,REPT("*",COUNTBLANK($X190:$AC190)))</f>
        <v>1.5</v>
      </c>
      <c r="N190" s="60">
        <v>2</v>
      </c>
      <c r="O190" s="60">
        <v>2</v>
      </c>
      <c r="P190" s="60"/>
      <c r="Q190" s="64">
        <v>8.7799999999999994</v>
      </c>
      <c r="R190" s="64">
        <v>8.2296650717703308</v>
      </c>
      <c r="S190" s="64">
        <v>10</v>
      </c>
      <c r="T190" s="64">
        <v>7.8571428571428603</v>
      </c>
      <c r="U190" s="64">
        <v>7.6666666666666696</v>
      </c>
      <c r="V190" s="68"/>
      <c r="W190" s="61"/>
      <c r="X190" s="64">
        <f>[1]Health!F187</f>
        <v>8.7799999999999994</v>
      </c>
      <c r="Y190" s="64">
        <f>'[1]Food Security'!F187</f>
        <v>8.2296650717703397</v>
      </c>
      <c r="Z190" s="64">
        <f>'[1]Macro Fiscal'!F187</f>
        <v>0</v>
      </c>
      <c r="AA190" s="64">
        <f>'[1]Socioeconomic Vulnerability'!F187</f>
        <v>0</v>
      </c>
      <c r="AB190" s="64">
        <f>'[1]Natural Hazard'!F187</f>
        <v>7.6666666666666696</v>
      </c>
      <c r="AC190" s="64">
        <f>'[1]Fragility and Conflict'!F187</f>
        <v>187</v>
      </c>
      <c r="AD190" s="61"/>
      <c r="AE190" s="64">
        <f>[1]Health!G187</f>
        <v>9.5238095238094793</v>
      </c>
      <c r="AF190" s="64">
        <f>'[1]Food Security'!G187</f>
        <v>0</v>
      </c>
      <c r="AG190" s="64">
        <f>'[1]Macro Fiscal'!G187</f>
        <v>0</v>
      </c>
      <c r="AH190" s="64">
        <f>'[1]Socioeconomic Vulnerability'!G187</f>
        <v>0</v>
      </c>
      <c r="AI190" s="64">
        <f>'[1]Natural Hazard'!G187</f>
        <v>10</v>
      </c>
      <c r="AJ190" s="64">
        <f>'[1]Fragility and Conflict'!G187</f>
        <v>0</v>
      </c>
      <c r="AK190" s="60"/>
      <c r="AL190" s="66">
        <v>0.2</v>
      </c>
      <c r="AM190" s="66">
        <v>0.7</v>
      </c>
      <c r="AN190" s="60"/>
      <c r="AO190" s="60"/>
      <c r="AP190" s="60"/>
      <c r="AQ190" s="60"/>
      <c r="AR190" s="60"/>
      <c r="AS190" s="60"/>
      <c r="AT190" s="60"/>
      <c r="AU190" s="60"/>
      <c r="AV190" s="60"/>
      <c r="AW190" s="60"/>
      <c r="AX190" s="60"/>
      <c r="AY190" s="60"/>
      <c r="AZ190" s="60"/>
      <c r="BA190" s="60"/>
      <c r="BB190" s="60"/>
      <c r="BC190" s="60"/>
      <c r="BD190" s="60"/>
      <c r="BE190" s="60"/>
      <c r="BF190" s="60"/>
      <c r="BG190" s="60"/>
      <c r="BH190" s="60"/>
      <c r="BI190" s="60"/>
      <c r="BJ190" s="60"/>
      <c r="BK190" s="60"/>
      <c r="BL190" s="60"/>
      <c r="BM190" s="60"/>
      <c r="BN190" s="60"/>
      <c r="BO190" s="60"/>
      <c r="BP190" s="60"/>
      <c r="BQ190" s="60"/>
      <c r="BR190" s="60"/>
      <c r="BS190" s="60"/>
      <c r="BT190" s="60"/>
      <c r="BU190" s="60"/>
    </row>
    <row r="191" spans="1:73" s="67" customFormat="1" x14ac:dyDescent="0.2">
      <c r="A191" s="58">
        <v>186</v>
      </c>
      <c r="B191" s="59" t="s">
        <v>1037</v>
      </c>
      <c r="C191" s="59" t="s">
        <v>1038</v>
      </c>
      <c r="D191" s="60"/>
      <c r="E191" s="61">
        <f>COUNTIF($Q191:$V191,10)</f>
        <v>1</v>
      </c>
      <c r="F191" s="62">
        <f>E191</f>
        <v>1</v>
      </c>
      <c r="G191" s="61">
        <f>COUNTIF($X191:$AC191,10)</f>
        <v>0</v>
      </c>
      <c r="H191" s="63">
        <f>G191</f>
        <v>0</v>
      </c>
      <c r="I191" s="60">
        <f>COUNTIF($AE191:$AJ191,10)</f>
        <v>0</v>
      </c>
      <c r="J191" s="63">
        <f>I191</f>
        <v>0</v>
      </c>
      <c r="K191" s="63"/>
      <c r="L191" s="61">
        <f>COUNTIF($X191:$AC191,10)+COUNTIFS($X191:$AC191,"&gt;=7",$X191:$AC191,"&lt;10")/2</f>
        <v>0.5</v>
      </c>
      <c r="M191" s="63" t="str">
        <f>_xlfn.CONCAT(COUNTIF($X191:$AC191,10)+COUNTIFS($X191:$AC191,"&gt;=7",$X191:$AC191,"&lt;10")/2,REPT("*",COUNTBLANK($X191:$AC191)))</f>
        <v>0.5</v>
      </c>
      <c r="N191" s="60">
        <v>1</v>
      </c>
      <c r="O191" s="60">
        <v>1</v>
      </c>
      <c r="P191" s="60"/>
      <c r="Q191" s="64">
        <v>8.7200000000000006</v>
      </c>
      <c r="R191" s="64">
        <v>3.2057416267942598</v>
      </c>
      <c r="S191" s="64">
        <v>10</v>
      </c>
      <c r="T191" s="64">
        <v>7.28571428571429</v>
      </c>
      <c r="U191" s="64">
        <v>6.3479423787068798</v>
      </c>
      <c r="V191" s="64">
        <v>7.0333333333333297</v>
      </c>
      <c r="W191" s="61"/>
      <c r="X191" s="64">
        <f>[1]Health!F188</f>
        <v>8.7200000000000006</v>
      </c>
      <c r="Y191" s="64">
        <f>'[1]Food Security'!F188</f>
        <v>3.2057416267942598</v>
      </c>
      <c r="Z191" s="64">
        <f>'[1]Macro Fiscal'!F188</f>
        <v>0</v>
      </c>
      <c r="AA191" s="64">
        <f>'[1]Socioeconomic Vulnerability'!F188</f>
        <v>0</v>
      </c>
      <c r="AB191" s="64">
        <f>'[1]Natural Hazard'!F188</f>
        <v>4.1666666666666696</v>
      </c>
      <c r="AC191" s="64">
        <f>'[1]Fragility and Conflict'!F188</f>
        <v>188</v>
      </c>
      <c r="AD191" s="61"/>
      <c r="AE191" s="64">
        <f>[1]Health!G188</f>
        <v>2.8800000000000402E-2</v>
      </c>
      <c r="AF191" s="64">
        <f>'[1]Food Security'!G188</f>
        <v>3</v>
      </c>
      <c r="AG191" s="64">
        <f>'[1]Macro Fiscal'!G188</f>
        <v>0</v>
      </c>
      <c r="AH191" s="64">
        <f>'[1]Socioeconomic Vulnerability'!G188</f>
        <v>0</v>
      </c>
      <c r="AI191" s="64">
        <f>'[1]Natural Hazard'!G188</f>
        <v>0</v>
      </c>
      <c r="AJ191" s="64">
        <f>'[1]Fragility and Conflict'!G188</f>
        <v>0</v>
      </c>
      <c r="AK191" s="60"/>
      <c r="AL191" s="66">
        <v>0</v>
      </c>
      <c r="AM191" s="66">
        <v>0.6</v>
      </c>
      <c r="AN191" s="60"/>
      <c r="AO191" s="60"/>
      <c r="AP191" s="60"/>
      <c r="AQ191" s="60"/>
      <c r="AR191" s="60"/>
      <c r="AS191" s="60"/>
      <c r="AT191" s="60"/>
      <c r="AU191" s="60"/>
      <c r="AV191" s="60"/>
      <c r="AW191" s="60"/>
      <c r="AX191" s="60"/>
      <c r="AY191" s="60"/>
      <c r="AZ191" s="60"/>
      <c r="BA191" s="60"/>
      <c r="BB191" s="60"/>
      <c r="BC191" s="60"/>
      <c r="BD191" s="60"/>
      <c r="BE191" s="60"/>
      <c r="BF191" s="60"/>
      <c r="BG191" s="60"/>
      <c r="BH191" s="60"/>
      <c r="BI191" s="60"/>
      <c r="BJ191" s="60"/>
      <c r="BK191" s="60"/>
      <c r="BL191" s="60"/>
      <c r="BM191" s="60"/>
      <c r="BN191" s="60"/>
      <c r="BO191" s="60"/>
      <c r="BP191" s="60"/>
      <c r="BQ191" s="60"/>
      <c r="BR191" s="60"/>
      <c r="BS191" s="60"/>
      <c r="BT191" s="60"/>
      <c r="BU191" s="60"/>
    </row>
    <row r="192" spans="1:73" s="67" customFormat="1" x14ac:dyDescent="0.2">
      <c r="A192" s="58">
        <v>187</v>
      </c>
      <c r="B192" s="59" t="s">
        <v>1039</v>
      </c>
      <c r="C192" s="59" t="s">
        <v>1040</v>
      </c>
      <c r="D192" s="60"/>
      <c r="E192" s="61">
        <f>COUNTIF($Q192:$V192,10)</f>
        <v>1</v>
      </c>
      <c r="F192" s="62">
        <f>E192</f>
        <v>1</v>
      </c>
      <c r="G192" s="61">
        <f>COUNTIF($X192:$AC192,10)</f>
        <v>3</v>
      </c>
      <c r="H192" s="63">
        <f>G192</f>
        <v>3</v>
      </c>
      <c r="I192" s="60">
        <f>COUNTIF($AE192:$AJ192,10)</f>
        <v>3</v>
      </c>
      <c r="J192" s="63">
        <f>I192</f>
        <v>3</v>
      </c>
      <c r="K192" s="63"/>
      <c r="L192" s="61">
        <f>COUNTIF($X192:$AC192,10)+COUNTIFS($X192:$AC192,"&gt;=7",$X192:$AC192,"&lt;10")/2</f>
        <v>3.5</v>
      </c>
      <c r="M192" s="63" t="str">
        <f>_xlfn.CONCAT(COUNTIF($X192:$AC192,10)+COUNTIFS($X192:$AC192,"&gt;=7",$X192:$AC192,"&lt;10")/2,REPT("*",COUNTBLANK($X192:$AC192)))</f>
        <v>3.5</v>
      </c>
      <c r="N192" s="60">
        <v>3.5</v>
      </c>
      <c r="O192" s="60">
        <v>3.5</v>
      </c>
      <c r="P192" s="60"/>
      <c r="Q192" s="64">
        <f>IFERROR(GEOMEAN(X192,AE192), MAX(X192,AE192))</f>
        <v>9.2910213067819889</v>
      </c>
      <c r="R192" s="64">
        <f>IFERROR(GEOMEAN(Y192,AF192), MAX(Y192,AF192))</f>
        <v>10</v>
      </c>
      <c r="S192" s="64">
        <f>IFERROR(GEOMEAN(Z192,AG192), MAX(Z192,AG192))</f>
        <v>8.3937205966451671</v>
      </c>
      <c r="T192" s="64">
        <f>IFERROR(GEOMEAN(AA192,AH192), MAX(AA192,AH192))</f>
        <v>7.6797073000953304</v>
      </c>
      <c r="U192" s="64">
        <f>IFERROR(GEOMEAN(AB192,AI192), MAX(AB192,AI192))</f>
        <v>7.416198487095663</v>
      </c>
      <c r="V192" s="64">
        <f>IFERROR(GEOMEAN(AC192,AJ192), MAX(AC192,AJ192))</f>
        <v>43.474130238568314</v>
      </c>
      <c r="W192" s="61"/>
      <c r="X192" s="64">
        <f>[1]Health!F189</f>
        <v>10</v>
      </c>
      <c r="Y192" s="64">
        <f>'[1]Food Security'!F189</f>
        <v>10</v>
      </c>
      <c r="Z192" s="64">
        <f>'[1]Macro Fiscal'!F189</f>
        <v>10</v>
      </c>
      <c r="AA192" s="64">
        <f>'[1]Socioeconomic Vulnerability'!F189</f>
        <v>7.6797073000953304</v>
      </c>
      <c r="AB192" s="64">
        <f>'[1]Natural Hazard'!F189</f>
        <v>5.5</v>
      </c>
      <c r="AC192" s="64">
        <f>'[1]Fragility and Conflict'!F189</f>
        <v>189</v>
      </c>
      <c r="AD192" s="61"/>
      <c r="AE192" s="64">
        <f>[1]Health!G189</f>
        <v>8.6323076923076894</v>
      </c>
      <c r="AF192" s="64">
        <f>'[1]Food Security'!G189</f>
        <v>10</v>
      </c>
      <c r="AG192" s="64">
        <f>'[1]Macro Fiscal'!G189</f>
        <v>7.0454545454545299</v>
      </c>
      <c r="AH192" s="64">
        <f>'[1]Socioeconomic Vulnerability'!G189</f>
        <v>0</v>
      </c>
      <c r="AI192" s="64">
        <f>'[1]Natural Hazard'!G189</f>
        <v>10</v>
      </c>
      <c r="AJ192" s="64">
        <f>'[1]Fragility and Conflict'!G189</f>
        <v>10</v>
      </c>
      <c r="AK192" s="60"/>
      <c r="AL192" s="66">
        <v>0</v>
      </c>
      <c r="AM192" s="66">
        <v>0.3</v>
      </c>
      <c r="AN192" s="60"/>
      <c r="AO192" s="60"/>
      <c r="AP192" s="60"/>
      <c r="AQ192" s="60"/>
      <c r="AR192" s="60"/>
      <c r="AS192" s="60"/>
      <c r="AT192" s="60"/>
      <c r="AU192" s="60"/>
      <c r="AV192" s="60"/>
      <c r="AW192" s="60"/>
      <c r="AX192" s="60"/>
      <c r="AY192" s="60"/>
      <c r="AZ192" s="60"/>
      <c r="BA192" s="60"/>
      <c r="BB192" s="60"/>
      <c r="BC192" s="60"/>
      <c r="BD192" s="60"/>
      <c r="BE192" s="60"/>
      <c r="BF192" s="60"/>
      <c r="BG192" s="60"/>
      <c r="BH192" s="60"/>
      <c r="BI192" s="60"/>
      <c r="BJ192" s="60"/>
      <c r="BK192" s="60"/>
      <c r="BL192" s="60"/>
      <c r="BM192" s="60"/>
      <c r="BN192" s="60"/>
      <c r="BO192" s="60"/>
      <c r="BP192" s="60"/>
      <c r="BQ192" s="60"/>
      <c r="BR192" s="60"/>
      <c r="BS192" s="60"/>
      <c r="BT192" s="60"/>
      <c r="BU192" s="60"/>
    </row>
    <row r="193" spans="1:73" s="67" customFormat="1" x14ac:dyDescent="0.2">
      <c r="A193" s="58">
        <v>188</v>
      </c>
      <c r="B193" s="59" t="s">
        <v>1043</v>
      </c>
      <c r="C193" s="59" t="s">
        <v>1044</v>
      </c>
      <c r="D193" s="60"/>
      <c r="E193" s="61">
        <f>COUNTIF($Q193:$V193,10)</f>
        <v>0</v>
      </c>
      <c r="F193" s="62">
        <f>E193</f>
        <v>0</v>
      </c>
      <c r="G193" s="61">
        <f>COUNTIF($X193:$AC193,10)</f>
        <v>1</v>
      </c>
      <c r="H193" s="63">
        <f>G193</f>
        <v>1</v>
      </c>
      <c r="I193" s="60">
        <f>COUNTIF($AE193:$AJ193,10)</f>
        <v>0</v>
      </c>
      <c r="J193" s="63">
        <f>I193</f>
        <v>0</v>
      </c>
      <c r="K193" s="63"/>
      <c r="L193" s="61">
        <f>COUNTIF($X193:$AC193,10)+COUNTIFS($X193:$AC193,"&gt;=7",$X193:$AC193,"&lt;10")/2</f>
        <v>1</v>
      </c>
      <c r="M193" s="63" t="str">
        <f>_xlfn.CONCAT(COUNTIF($X193:$AC193,10)+COUNTIFS($X193:$AC193,"&gt;=7",$X193:$AC193,"&lt;10")/2,REPT("*",COUNTBLANK($X193:$AC193)))</f>
        <v>1</v>
      </c>
      <c r="N193" s="60">
        <v>3.5</v>
      </c>
      <c r="O193" s="60">
        <v>3.5</v>
      </c>
      <c r="P193" s="60"/>
      <c r="Q193" s="64">
        <v>6.75</v>
      </c>
      <c r="R193" s="64">
        <v>5.4306220095693796</v>
      </c>
      <c r="S193" s="64">
        <v>2.1388367729831201</v>
      </c>
      <c r="T193" s="64">
        <v>6.1428571428571397</v>
      </c>
      <c r="U193" s="64">
        <v>7.7352960278275997</v>
      </c>
      <c r="V193" s="64">
        <v>7.7888888888888896</v>
      </c>
      <c r="W193" s="61"/>
      <c r="X193" s="64">
        <f>[1]Health!F190</f>
        <v>6.75</v>
      </c>
      <c r="Y193" s="64">
        <f>'[1]Food Security'!F190</f>
        <v>5.4306220095693796</v>
      </c>
      <c r="Z193" s="64">
        <f>'[1]Macro Fiscal'!F190</f>
        <v>5.0743801652892602</v>
      </c>
      <c r="AA193" s="64">
        <f>'[1]Socioeconomic Vulnerability'!F190</f>
        <v>10</v>
      </c>
      <c r="AB193" s="64">
        <f>'[1]Natural Hazard'!F190</f>
        <v>6.5</v>
      </c>
      <c r="AC193" s="64">
        <f>'[1]Fragility and Conflict'!F190</f>
        <v>190</v>
      </c>
      <c r="AD193" s="61"/>
      <c r="AE193" s="64">
        <f>[1]Health!G190</f>
        <v>7.1428571428571104</v>
      </c>
      <c r="AF193" s="64">
        <f>'[1]Food Security'!G190</f>
        <v>3</v>
      </c>
      <c r="AG193" s="64">
        <f>'[1]Macro Fiscal'!G190</f>
        <v>5.2272727272727302</v>
      </c>
      <c r="AH193" s="64">
        <f>'[1]Socioeconomic Vulnerability'!G190</f>
        <v>0</v>
      </c>
      <c r="AI193" s="64">
        <f>'[1]Natural Hazard'!G190</f>
        <v>0</v>
      </c>
      <c r="AJ193" s="64">
        <f>'[1]Fragility and Conflict'!G190</f>
        <v>0</v>
      </c>
      <c r="AK193" s="60"/>
      <c r="AL193" s="66">
        <v>0</v>
      </c>
      <c r="AM193" s="66">
        <v>0.3</v>
      </c>
      <c r="AN193" s="60"/>
      <c r="AO193" s="60"/>
      <c r="AP193" s="60"/>
      <c r="AQ193" s="60"/>
      <c r="AR193" s="60"/>
      <c r="AS193" s="60"/>
      <c r="AT193" s="60"/>
      <c r="AU193" s="60"/>
      <c r="AV193" s="60"/>
      <c r="AW193" s="60"/>
      <c r="AX193" s="60"/>
      <c r="AY193" s="60"/>
      <c r="AZ193" s="60"/>
      <c r="BA193" s="60"/>
      <c r="BB193" s="60"/>
      <c r="BC193" s="60"/>
      <c r="BD193" s="60"/>
      <c r="BE193" s="60"/>
      <c r="BF193" s="60"/>
      <c r="BG193" s="60"/>
      <c r="BH193" s="60"/>
      <c r="BI193" s="60"/>
      <c r="BJ193" s="60"/>
      <c r="BK193" s="60"/>
      <c r="BL193" s="60"/>
      <c r="BM193" s="60"/>
      <c r="BN193" s="60"/>
      <c r="BO193" s="60"/>
      <c r="BP193" s="60"/>
      <c r="BQ193" s="60"/>
      <c r="BR193" s="60"/>
      <c r="BS193" s="60"/>
      <c r="BT193" s="60"/>
      <c r="BU193" s="60"/>
    </row>
    <row r="194" spans="1:73" s="67" customFormat="1" x14ac:dyDescent="0.2">
      <c r="A194" s="58">
        <v>189</v>
      </c>
      <c r="B194" s="59" t="s">
        <v>1049</v>
      </c>
      <c r="C194" s="59" t="s">
        <v>1050</v>
      </c>
      <c r="D194" s="60"/>
      <c r="E194" s="61">
        <f>COUNTIF($Q194:$V194,10)</f>
        <v>1</v>
      </c>
      <c r="F194" s="62">
        <f>E194</f>
        <v>1</v>
      </c>
      <c r="G194" s="61">
        <f>COUNTIF($X194:$AC194,10)</f>
        <v>2</v>
      </c>
      <c r="H194" s="63">
        <f>G194</f>
        <v>2</v>
      </c>
      <c r="I194" s="60">
        <f>COUNTIF($AE194:$AJ194,10)</f>
        <v>0</v>
      </c>
      <c r="J194" s="63">
        <f>I194</f>
        <v>0</v>
      </c>
      <c r="K194" s="63"/>
      <c r="L194" s="61">
        <f>COUNTIF($X194:$AC194,10)+COUNTIFS($X194:$AC194,"&gt;=7",$X194:$AC194,"&lt;10")/2</f>
        <v>3</v>
      </c>
      <c r="M194" s="63" t="str">
        <f>_xlfn.CONCAT(COUNTIF($X194:$AC194,10)+COUNTIFS($X194:$AC194,"&gt;=7",$X194:$AC194,"&lt;10")/2,REPT("*",COUNTBLANK($X194:$AC194)))</f>
        <v>3</v>
      </c>
      <c r="N194" s="60">
        <v>2.5</v>
      </c>
      <c r="O194" s="60">
        <v>2.5</v>
      </c>
      <c r="P194" s="60"/>
      <c r="Q194" s="64">
        <f>IFERROR(GEOMEAN(X194,AE194), MAX(X194,AE194))</f>
        <v>8.5736627124988001</v>
      </c>
      <c r="R194" s="64">
        <f>IFERROR(GEOMEAN(Y194,AF194), MAX(Y194,AF194))</f>
        <v>6.5985354326895411</v>
      </c>
      <c r="S194" s="64">
        <f>IFERROR(GEOMEAN(Z194,AG194), MAX(Z194,AG194))</f>
        <v>8.4641374539860799</v>
      </c>
      <c r="T194" s="64">
        <f>IFERROR(GEOMEAN(AA194,AH194), MAX(AA194,AH194))</f>
        <v>10</v>
      </c>
      <c r="U194" s="64">
        <f>IFERROR(GEOMEAN(AB194,AI194), MAX(AB194,AI194))</f>
        <v>4.1666666666666696</v>
      </c>
      <c r="V194" s="64">
        <f>IFERROR(GEOMEAN(AC194,AJ194), MAX(AC194,AJ194))</f>
        <v>191</v>
      </c>
      <c r="W194" s="61"/>
      <c r="X194" s="64">
        <f>[1]Health!F191</f>
        <v>10</v>
      </c>
      <c r="Y194" s="64">
        <f>'[1]Food Security'!F191</f>
        <v>8.7081339712918702</v>
      </c>
      <c r="Z194" s="64">
        <f>'[1]Macro Fiscal'!F191</f>
        <v>8.0826446280991693</v>
      </c>
      <c r="AA194" s="64">
        <f>'[1]Socioeconomic Vulnerability'!F191</f>
        <v>10</v>
      </c>
      <c r="AB194" s="64">
        <f>'[1]Natural Hazard'!F191</f>
        <v>4.1666666666666696</v>
      </c>
      <c r="AC194" s="64">
        <f>'[1]Fragility and Conflict'!F191</f>
        <v>191</v>
      </c>
      <c r="AD194" s="61"/>
      <c r="AE194" s="64">
        <f>[1]Health!G191</f>
        <v>7.3507692307692301</v>
      </c>
      <c r="AF194" s="64">
        <f>'[1]Food Security'!G191</f>
        <v>5</v>
      </c>
      <c r="AG194" s="64">
        <f>'[1]Macro Fiscal'!G191</f>
        <v>8.8636363636363704</v>
      </c>
      <c r="AH194" s="64">
        <f>'[1]Socioeconomic Vulnerability'!G191</f>
        <v>0</v>
      </c>
      <c r="AI194" s="64">
        <f>'[1]Natural Hazard'!G191</f>
        <v>0</v>
      </c>
      <c r="AJ194" s="64">
        <f>'[1]Fragility and Conflict'!G191</f>
        <v>0</v>
      </c>
      <c r="AK194" s="60"/>
      <c r="AL194" s="66">
        <v>0</v>
      </c>
      <c r="AM194" s="66">
        <v>0.3</v>
      </c>
      <c r="AN194" s="60"/>
      <c r="AO194" s="60"/>
      <c r="AP194" s="60"/>
      <c r="AQ194" s="60"/>
      <c r="AR194" s="60"/>
      <c r="AS194" s="60"/>
      <c r="AT194" s="60"/>
      <c r="AU194" s="60"/>
      <c r="AV194" s="60"/>
      <c r="AW194" s="60"/>
      <c r="AX194" s="60"/>
      <c r="AY194" s="60"/>
      <c r="AZ194" s="60"/>
      <c r="BA194" s="60"/>
      <c r="BB194" s="60"/>
      <c r="BC194" s="60"/>
      <c r="BD194" s="60"/>
      <c r="BE194" s="60"/>
      <c r="BF194" s="60"/>
      <c r="BG194" s="60"/>
      <c r="BH194" s="60"/>
      <c r="BI194" s="60"/>
      <c r="BJ194" s="60"/>
      <c r="BK194" s="60"/>
      <c r="BL194" s="60"/>
      <c r="BM194" s="60"/>
      <c r="BN194" s="60"/>
      <c r="BO194" s="60"/>
      <c r="BP194" s="60"/>
      <c r="BQ194" s="60"/>
      <c r="BR194" s="60"/>
      <c r="BS194" s="60"/>
      <c r="BT194" s="60"/>
      <c r="BU194" s="60"/>
    </row>
    <row r="195" spans="1:73" s="67" customFormat="1" x14ac:dyDescent="0.2">
      <c r="A195" s="58">
        <v>190</v>
      </c>
      <c r="B195" s="59" t="s">
        <v>1053</v>
      </c>
      <c r="C195" s="59" t="s">
        <v>1054</v>
      </c>
      <c r="D195" s="60"/>
      <c r="E195" s="61">
        <f>COUNTIF($Q195:$V195,10)</f>
        <v>2</v>
      </c>
      <c r="F195" s="62">
        <f>E195</f>
        <v>2</v>
      </c>
      <c r="G195" s="61">
        <f>COUNTIF($X195:$AC195,10)</f>
        <v>3</v>
      </c>
      <c r="H195" s="63">
        <f>G195</f>
        <v>3</v>
      </c>
      <c r="I195" s="60">
        <f>COUNTIF($AE195:$AJ195,10)</f>
        <v>2</v>
      </c>
      <c r="J195" s="63">
        <f>I195</f>
        <v>2</v>
      </c>
      <c r="K195" s="63"/>
      <c r="L195" s="61">
        <f>COUNTIF($X195:$AC195,10)+COUNTIFS($X195:$AC195,"&gt;=7",$X195:$AC195,"&lt;10")/2</f>
        <v>3.5</v>
      </c>
      <c r="M195" s="63" t="str">
        <f>_xlfn.CONCAT(COUNTIF($X195:$AC195,10)+COUNTIFS($X195:$AC195,"&gt;=7",$X195:$AC195,"&lt;10")/2,REPT("*",COUNTBLANK($X195:$AC195)))</f>
        <v>3.5</v>
      </c>
      <c r="N195" s="60">
        <v>5</v>
      </c>
      <c r="O195" s="60">
        <v>5</v>
      </c>
      <c r="P195" s="60"/>
      <c r="Q195" s="64">
        <f>IFERROR(GEOMEAN(X195,AE195), MAX(X195,AE195))</f>
        <v>6.2678317052800718</v>
      </c>
      <c r="R195" s="64">
        <f>IFERROR(GEOMEAN(Y195,AF195), MAX(Y195,AF195))</f>
        <v>10</v>
      </c>
      <c r="S195" s="64">
        <f>IFERROR(GEOMEAN(Z195,AG195), MAX(Z195,AG195))</f>
        <v>7.0710678118654755</v>
      </c>
      <c r="T195" s="64">
        <f>IFERROR(GEOMEAN(AA195,AH195), MAX(AA195,AH195))</f>
        <v>10</v>
      </c>
      <c r="U195" s="64">
        <f>IFERROR(GEOMEAN(AB195,AI195), MAX(AB195,AI195))</f>
        <v>6.1666666666666696</v>
      </c>
      <c r="V195" s="64">
        <f>IFERROR(GEOMEAN(AC195,AJ195), MAX(AC195,AJ195))</f>
        <v>43.81780460041329</v>
      </c>
      <c r="W195" s="61"/>
      <c r="X195" s="64">
        <f>[1]Health!F192</f>
        <v>8.25</v>
      </c>
      <c r="Y195" s="64">
        <f>'[1]Food Security'!F192</f>
        <v>10</v>
      </c>
      <c r="Z195" s="64">
        <f>'[1]Macro Fiscal'!F192</f>
        <v>10</v>
      </c>
      <c r="AA195" s="64">
        <f>'[1]Socioeconomic Vulnerability'!F192</f>
        <v>10</v>
      </c>
      <c r="AB195" s="64">
        <f>'[1]Natural Hazard'!F192</f>
        <v>6.1666666666666696</v>
      </c>
      <c r="AC195" s="64">
        <f>'[1]Fragility and Conflict'!F192</f>
        <v>192</v>
      </c>
      <c r="AD195" s="61"/>
      <c r="AE195" s="64">
        <f>[1]Health!G192</f>
        <v>4.7619047619047397</v>
      </c>
      <c r="AF195" s="64">
        <f>'[1]Food Security'!G192</f>
        <v>10</v>
      </c>
      <c r="AG195" s="64">
        <f>'[1]Macro Fiscal'!G192</f>
        <v>5</v>
      </c>
      <c r="AH195" s="64">
        <f>'[1]Socioeconomic Vulnerability'!G192</f>
        <v>0</v>
      </c>
      <c r="AI195" s="64">
        <f>'[1]Natural Hazard'!G192</f>
        <v>0</v>
      </c>
      <c r="AJ195" s="64">
        <f>'[1]Fragility and Conflict'!G192</f>
        <v>10</v>
      </c>
      <c r="AK195" s="60"/>
      <c r="AL195" s="66">
        <v>0</v>
      </c>
      <c r="AM195" s="66">
        <v>0.2</v>
      </c>
      <c r="AN195" s="60"/>
      <c r="AO195" s="60"/>
      <c r="AP195" s="60"/>
      <c r="AQ195" s="60"/>
      <c r="AR195" s="60"/>
      <c r="AS195" s="60"/>
      <c r="AT195" s="60"/>
      <c r="AU195" s="60"/>
      <c r="AV195" s="60"/>
      <c r="AW195" s="60"/>
      <c r="AX195" s="60"/>
      <c r="AY195" s="60"/>
      <c r="AZ195" s="60"/>
      <c r="BA195" s="60"/>
      <c r="BB195" s="60"/>
      <c r="BC195" s="60"/>
      <c r="BD195" s="60"/>
      <c r="BE195" s="60"/>
      <c r="BF195" s="60"/>
      <c r="BG195" s="60"/>
      <c r="BH195" s="60"/>
      <c r="BI195" s="60"/>
      <c r="BJ195" s="60"/>
      <c r="BK195" s="60"/>
      <c r="BL195" s="60"/>
      <c r="BM195" s="60"/>
      <c r="BN195" s="60"/>
      <c r="BO195" s="60"/>
      <c r="BP195" s="60"/>
      <c r="BQ195" s="60"/>
      <c r="BR195" s="60"/>
      <c r="BS195" s="60"/>
      <c r="BT195" s="60"/>
      <c r="BU195" s="60"/>
    </row>
  </sheetData>
  <mergeCells count="15">
    <mergeCell ref="E3:I3"/>
    <mergeCell ref="Q3:V3"/>
    <mergeCell ref="X3:AC3"/>
    <mergeCell ref="AE3:AJ3"/>
    <mergeCell ref="E4:F4"/>
    <mergeCell ref="G4:H4"/>
    <mergeCell ref="I4:J4"/>
    <mergeCell ref="L4:M4"/>
    <mergeCell ref="N4:O4"/>
    <mergeCell ref="E2:J2"/>
    <mergeCell ref="L2:O2"/>
    <mergeCell ref="Q2:V2"/>
    <mergeCell ref="X2:AC2"/>
    <mergeCell ref="AE2:AJ2"/>
    <mergeCell ref="AL2:AM2"/>
  </mergeCells>
  <conditionalFormatting sqref="AL5:AM195">
    <cfRule type="expression" dxfId="15" priority="19">
      <formula>AL5=""</formula>
    </cfRule>
    <cfRule type="cellIs" dxfId="14" priority="20" operator="between">
      <formula>0</formula>
      <formula>0.332</formula>
    </cfRule>
    <cfRule type="cellIs" dxfId="13" priority="21" operator="between">
      <formula>0.333333333333333</formula>
      <formula>0.665</formula>
    </cfRule>
    <cfRule type="cellIs" dxfId="12" priority="22" operator="between">
      <formula>0.666666666666667</formula>
      <formula>1</formula>
    </cfRule>
  </conditionalFormatting>
  <conditionalFormatting sqref="G6:G196">
    <cfRule type="dataBar" priority="18">
      <dataBar showValue="0">
        <cfvo type="num" val="0"/>
        <cfvo type="num" val="6"/>
        <color rgb="FFF9696B"/>
      </dataBar>
      <extLst>
        <ext xmlns:x14="http://schemas.microsoft.com/office/spreadsheetml/2009/9/main" uri="{B025F937-C7B1-47D3-B67F-A62EFF666E3E}">
          <x14:id>{76DC19A0-EEFF-B74A-A16B-1AF44A594CD3}</x14:id>
        </ext>
      </extLst>
    </cfRule>
  </conditionalFormatting>
  <conditionalFormatting sqref="X5:AC195">
    <cfRule type="expression" dxfId="11" priority="23">
      <formula>X5=""</formula>
    </cfRule>
    <cfRule type="cellIs" dxfId="10" priority="24" operator="between">
      <formula>0</formula>
      <formula>6.999</formula>
    </cfRule>
    <cfRule type="cellIs" dxfId="9" priority="25" operator="between">
      <formula>7</formula>
      <formula>9.99</formula>
    </cfRule>
    <cfRule type="expression" dxfId="8" priority="26">
      <formula>X5=10</formula>
    </cfRule>
  </conditionalFormatting>
  <conditionalFormatting sqref="AE6:AJ195">
    <cfRule type="expression" dxfId="7" priority="14">
      <formula>AE6=""</formula>
    </cfRule>
    <cfRule type="cellIs" dxfId="6" priority="15" operator="between">
      <formula>0</formula>
      <formula>6.999</formula>
    </cfRule>
    <cfRule type="cellIs" dxfId="5" priority="16" operator="between">
      <formula>7</formula>
      <formula>9.99</formula>
    </cfRule>
    <cfRule type="expression" dxfId="4" priority="17">
      <formula>AE6=10</formula>
    </cfRule>
  </conditionalFormatting>
  <conditionalFormatting sqref="M6:M195">
    <cfRule type="dataBar" priority="13">
      <dataBar showValue="0">
        <cfvo type="num" val="0"/>
        <cfvo type="num" val="6"/>
        <color rgb="FFFF8999"/>
      </dataBar>
      <extLst>
        <ext xmlns:x14="http://schemas.microsoft.com/office/spreadsheetml/2009/9/main" uri="{B025F937-C7B1-47D3-B67F-A62EFF666E3E}">
          <x14:id>{CD45FE0D-B52B-6740-90CA-EB57E3177687}</x14:id>
        </ext>
      </extLst>
    </cfRule>
  </conditionalFormatting>
  <conditionalFormatting sqref="N6:N195">
    <cfRule type="dataBar" priority="12">
      <dataBar showValue="0">
        <cfvo type="num" val="0"/>
        <cfvo type="num" val="6"/>
        <color theme="9" tint="-0.249977111117893"/>
      </dataBar>
      <extLst>
        <ext xmlns:x14="http://schemas.microsoft.com/office/spreadsheetml/2009/9/main" uri="{B025F937-C7B1-47D3-B67F-A62EFF666E3E}">
          <x14:id>{F3488B35-6011-C84D-9199-B35DB4CDAE64}</x14:id>
        </ext>
      </extLst>
    </cfRule>
  </conditionalFormatting>
  <conditionalFormatting sqref="AD6:AD195">
    <cfRule type="colorScale" priority="11">
      <colorScale>
        <cfvo type="min"/>
        <cfvo type="max"/>
        <color rgb="FFF8696B"/>
        <color rgb="FFFCFCFF"/>
      </colorScale>
    </cfRule>
  </conditionalFormatting>
  <conditionalFormatting sqref="AK6:AK15">
    <cfRule type="colorScale" priority="9">
      <colorScale>
        <cfvo type="min"/>
        <cfvo type="max"/>
        <color theme="9" tint="-0.249977111117893"/>
        <color theme="0"/>
      </colorScale>
    </cfRule>
    <cfRule type="colorScale" priority="10">
      <colorScale>
        <cfvo type="min"/>
        <cfvo type="max"/>
        <color rgb="FFF8696B"/>
        <color rgb="FFFCFCFF"/>
      </colorScale>
    </cfRule>
  </conditionalFormatting>
  <conditionalFormatting sqref="I6:I195">
    <cfRule type="dataBar" priority="8">
      <dataBar showValue="0">
        <cfvo type="num" val="0"/>
        <cfvo type="num" val="6"/>
        <color theme="9" tint="-0.249977111117893"/>
      </dataBar>
      <extLst>
        <ext xmlns:x14="http://schemas.microsoft.com/office/spreadsheetml/2009/9/main" uri="{B025F937-C7B1-47D3-B67F-A62EFF666E3E}">
          <x14:id>{0E481C95-ADD7-C847-898D-6F58FDA81A0D}</x14:id>
        </ext>
      </extLst>
    </cfRule>
  </conditionalFormatting>
  <conditionalFormatting sqref="L6:L195">
    <cfRule type="dataBar" priority="7">
      <dataBar showValue="0">
        <cfvo type="num" val="0"/>
        <cfvo type="num" val="6"/>
        <color rgb="FFF9696B"/>
      </dataBar>
      <extLst>
        <ext xmlns:x14="http://schemas.microsoft.com/office/spreadsheetml/2009/9/main" uri="{B025F937-C7B1-47D3-B67F-A62EFF666E3E}">
          <x14:id>{E4EF8881-3B9E-554E-B81A-4B45A61131EF}</x14:id>
        </ext>
      </extLst>
    </cfRule>
  </conditionalFormatting>
  <conditionalFormatting sqref="E6:E195">
    <cfRule type="dataBar" priority="6">
      <dataBar showValue="0">
        <cfvo type="num" val="0"/>
        <cfvo type="num" val="6"/>
        <color rgb="FFDD2C03"/>
      </dataBar>
      <extLst>
        <ext xmlns:x14="http://schemas.microsoft.com/office/spreadsheetml/2009/9/main" uri="{B025F937-C7B1-47D3-B67F-A62EFF666E3E}">
          <x14:id>{50296FC9-5C0C-B642-BC04-95322836AAFC}</x14:id>
        </ext>
      </extLst>
    </cfRule>
  </conditionalFormatting>
  <conditionalFormatting sqref="Q5:V195">
    <cfRule type="expression" dxfId="3" priority="2">
      <formula>Q5=""</formula>
    </cfRule>
    <cfRule type="cellIs" dxfId="2" priority="3" operator="between">
      <formula>0</formula>
      <formula>6.999</formula>
    </cfRule>
    <cfRule type="cellIs" dxfId="1" priority="4" operator="between">
      <formula>7</formula>
      <formula>9.99</formula>
    </cfRule>
    <cfRule type="expression" dxfId="0" priority="5">
      <formula>Q5=10</formula>
    </cfRule>
  </conditionalFormatting>
  <conditionalFormatting sqref="W6:W15">
    <cfRule type="colorScale" priority="1">
      <colorScale>
        <cfvo type="min"/>
        <cfvo type="max"/>
        <color rgb="FFF8696B"/>
        <color rgb="FFFCFCFF"/>
      </colorScale>
    </cfRule>
  </conditionalFormatting>
  <pageMargins left="0.7" right="0.7" top="0.75" bottom="0.75" header="0.3" footer="0.3"/>
  <pageSetup paperSize="9" orientation="portrait" horizontalDpi="300" verticalDpi="300"/>
  <extLst>
    <ext xmlns:x14="http://schemas.microsoft.com/office/spreadsheetml/2009/9/main" uri="{78C0D931-6437-407d-A8EE-F0AAD7539E65}">
      <x14:conditionalFormattings>
        <x14:conditionalFormatting xmlns:xm="http://schemas.microsoft.com/office/excel/2006/main">
          <x14:cfRule type="dataBar" id="{76DC19A0-EEFF-B74A-A16B-1AF44A594CD3}">
            <x14:dataBar minLength="0" maxLength="100" gradient="0" direction="rightToLeft">
              <x14:cfvo type="num">
                <xm:f>0</xm:f>
              </x14:cfvo>
              <x14:cfvo type="num">
                <xm:f>6</xm:f>
              </x14:cfvo>
              <x14:negativeFillColor rgb="FFFF0000"/>
              <x14:axisColor rgb="FF000000"/>
            </x14:dataBar>
          </x14:cfRule>
          <xm:sqref>G6:G196</xm:sqref>
        </x14:conditionalFormatting>
        <x14:conditionalFormatting xmlns:xm="http://schemas.microsoft.com/office/excel/2006/main">
          <x14:cfRule type="dataBar" id="{CD45FE0D-B52B-6740-90CA-EB57E3177687}">
            <x14:dataBar minLength="0" maxLength="100" gradient="0" direction="rightToLeft">
              <x14:cfvo type="num">
                <xm:f>0</xm:f>
              </x14:cfvo>
              <x14:cfvo type="num">
                <xm:f>6</xm:f>
              </x14:cfvo>
              <x14:negativeFillColor rgb="FFFF0000"/>
              <x14:axisColor rgb="FF000000"/>
            </x14:dataBar>
          </x14:cfRule>
          <xm:sqref>M6:M195</xm:sqref>
        </x14:conditionalFormatting>
        <x14:conditionalFormatting xmlns:xm="http://schemas.microsoft.com/office/excel/2006/main">
          <x14:cfRule type="dataBar" id="{F3488B35-6011-C84D-9199-B35DB4CDAE64}">
            <x14:dataBar minLength="0" maxLength="100" gradient="0" direction="rightToLeft" negativeBarColorSameAsPositive="1">
              <x14:cfvo type="num">
                <xm:f>0</xm:f>
              </x14:cfvo>
              <x14:cfvo type="num">
                <xm:f>6</xm:f>
              </x14:cfvo>
              <x14:axisColor rgb="FF000000"/>
            </x14:dataBar>
          </x14:cfRule>
          <xm:sqref>N6:N195</xm:sqref>
        </x14:conditionalFormatting>
        <x14:conditionalFormatting xmlns:xm="http://schemas.microsoft.com/office/excel/2006/main">
          <x14:cfRule type="dataBar" id="{0E481C95-ADD7-C847-898D-6F58FDA81A0D}">
            <x14:dataBar minLength="0" maxLength="100" gradient="0" direction="rightToLeft" negativeBarColorSameAsPositive="1">
              <x14:cfvo type="num">
                <xm:f>0</xm:f>
              </x14:cfvo>
              <x14:cfvo type="num">
                <xm:f>6</xm:f>
              </x14:cfvo>
              <x14:axisColor rgb="FF000000"/>
            </x14:dataBar>
          </x14:cfRule>
          <xm:sqref>I6:I195</xm:sqref>
        </x14:conditionalFormatting>
        <x14:conditionalFormatting xmlns:xm="http://schemas.microsoft.com/office/excel/2006/main">
          <x14:cfRule type="dataBar" id="{E4EF8881-3B9E-554E-B81A-4B45A61131EF}">
            <x14:dataBar minLength="0" maxLength="100" gradient="0" direction="rightToLeft">
              <x14:cfvo type="num">
                <xm:f>0</xm:f>
              </x14:cfvo>
              <x14:cfvo type="num">
                <xm:f>6</xm:f>
              </x14:cfvo>
              <x14:negativeFillColor rgb="FFFF0000"/>
              <x14:axisColor rgb="FF000000"/>
            </x14:dataBar>
          </x14:cfRule>
          <xm:sqref>L6:L195</xm:sqref>
        </x14:conditionalFormatting>
        <x14:conditionalFormatting xmlns:xm="http://schemas.microsoft.com/office/excel/2006/main">
          <x14:cfRule type="dataBar" id="{50296FC9-5C0C-B642-BC04-95322836AAFC}">
            <x14:dataBar minLength="0" maxLength="100" gradient="0" direction="rightToLeft">
              <x14:cfvo type="num">
                <xm:f>0</xm:f>
              </x14:cfvo>
              <x14:cfvo type="num">
                <xm:f>6</xm:f>
              </x14:cfvo>
              <x14:negativeFillColor rgb="FFFF0000"/>
              <x14:axisColor rgb="FF000000"/>
            </x14:dataBar>
          </x14:cfRule>
          <xm:sqref>E6:E195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O200"/>
  <sheetViews>
    <sheetView workbookViewId="0"/>
  </sheetViews>
  <sheetFormatPr baseColWidth="10" defaultColWidth="8.7109375" defaultRowHeight="16" x14ac:dyDescent="0.2"/>
  <cols>
    <col min="1" max="1" width="3.7109375" customWidth="1"/>
    <col min="2" max="2" width="22.7109375" customWidth="1"/>
    <col min="4" max="4" width="3.7109375" customWidth="1"/>
    <col min="8" max="8" width="3.7109375" customWidth="1"/>
  </cols>
  <sheetData>
    <row r="1" spans="1:93" x14ac:dyDescent="0.2">
      <c r="A1" s="3"/>
      <c r="B1" s="3"/>
      <c r="C1" s="3"/>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row>
    <row r="2" spans="1:93" ht="71" x14ac:dyDescent="0.2">
      <c r="A2" s="4" t="s">
        <v>0</v>
      </c>
      <c r="B2" s="4" t="s">
        <v>1</v>
      </c>
      <c r="C2" s="4"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c r="AD2" s="2" t="s">
        <v>29</v>
      </c>
      <c r="AE2" s="2" t="s">
        <v>30</v>
      </c>
      <c r="AF2" s="2" t="s">
        <v>31</v>
      </c>
      <c r="AG2" s="2" t="s">
        <v>32</v>
      </c>
      <c r="AH2" s="2" t="s">
        <v>33</v>
      </c>
      <c r="AI2" s="2" t="s">
        <v>34</v>
      </c>
      <c r="AJ2" s="2" t="s">
        <v>35</v>
      </c>
      <c r="AK2" s="2" t="s">
        <v>36</v>
      </c>
      <c r="AL2" s="2" t="s">
        <v>37</v>
      </c>
      <c r="AM2" s="2" t="s">
        <v>38</v>
      </c>
      <c r="AN2" s="2" t="s">
        <v>39</v>
      </c>
      <c r="AO2" s="2" t="s">
        <v>40</v>
      </c>
      <c r="AP2" s="2" t="s">
        <v>41</v>
      </c>
      <c r="AQ2" s="2" t="s">
        <v>42</v>
      </c>
      <c r="AR2" s="2" t="s">
        <v>43</v>
      </c>
      <c r="AS2" s="2" t="s">
        <v>44</v>
      </c>
      <c r="AT2" s="2" t="s">
        <v>45</v>
      </c>
      <c r="AU2" s="2" t="s">
        <v>46</v>
      </c>
      <c r="AV2" s="2" t="s">
        <v>47</v>
      </c>
      <c r="AW2" s="2" t="s">
        <v>48</v>
      </c>
      <c r="AX2" s="2" t="s">
        <v>49</v>
      </c>
      <c r="AY2" s="2" t="s">
        <v>50</v>
      </c>
      <c r="AZ2" s="2" t="s">
        <v>51</v>
      </c>
      <c r="BA2" s="2" t="s">
        <v>52</v>
      </c>
      <c r="BB2" s="2" t="s">
        <v>53</v>
      </c>
      <c r="BC2" s="2" t="s">
        <v>54</v>
      </c>
      <c r="BD2" s="2" t="s">
        <v>55</v>
      </c>
      <c r="BE2" s="2" t="s">
        <v>56</v>
      </c>
      <c r="BF2" s="1" t="s">
        <v>57</v>
      </c>
      <c r="BG2" s="1" t="s">
        <v>58</v>
      </c>
      <c r="BH2" s="1" t="s">
        <v>59</v>
      </c>
      <c r="BI2" t="s">
        <v>60</v>
      </c>
      <c r="BJ2" t="s">
        <v>61</v>
      </c>
      <c r="BK2" t="s">
        <v>62</v>
      </c>
      <c r="BL2" t="s">
        <v>63</v>
      </c>
      <c r="BM2" t="s">
        <v>64</v>
      </c>
      <c r="BN2" t="s">
        <v>65</v>
      </c>
      <c r="BO2" t="s">
        <v>66</v>
      </c>
      <c r="BP2" t="s">
        <v>67</v>
      </c>
      <c r="BQ2" t="s">
        <v>68</v>
      </c>
      <c r="BR2" t="s">
        <v>69</v>
      </c>
      <c r="BS2" t="s">
        <v>70</v>
      </c>
      <c r="BT2" t="s">
        <v>71</v>
      </c>
      <c r="BU2" t="s">
        <v>72</v>
      </c>
      <c r="BV2" t="s">
        <v>73</v>
      </c>
      <c r="BW2" t="s">
        <v>74</v>
      </c>
      <c r="BX2" t="s">
        <v>75</v>
      </c>
      <c r="BY2" t="s">
        <v>76</v>
      </c>
      <c r="BZ2" t="s">
        <v>77</v>
      </c>
      <c r="CA2" t="s">
        <v>78</v>
      </c>
      <c r="CB2" t="s">
        <v>79</v>
      </c>
      <c r="CC2" t="s">
        <v>80</v>
      </c>
      <c r="CD2" t="s">
        <v>81</v>
      </c>
      <c r="CE2" t="s">
        <v>82</v>
      </c>
      <c r="CF2" t="s">
        <v>83</v>
      </c>
      <c r="CG2" t="s">
        <v>84</v>
      </c>
      <c r="CH2" t="s">
        <v>85</v>
      </c>
      <c r="CI2" t="s">
        <v>86</v>
      </c>
      <c r="CJ2" t="s">
        <v>87</v>
      </c>
      <c r="CK2" t="s">
        <v>88</v>
      </c>
      <c r="CL2" t="s">
        <v>89</v>
      </c>
      <c r="CM2" t="s">
        <v>90</v>
      </c>
      <c r="CN2" t="s">
        <v>91</v>
      </c>
      <c r="CO2" t="s">
        <v>92</v>
      </c>
    </row>
    <row r="3" spans="1:93" x14ac:dyDescent="0.2">
      <c r="A3" s="3">
        <v>1</v>
      </c>
      <c r="B3" s="3" t="s">
        <v>93</v>
      </c>
      <c r="C3" s="3" t="s">
        <v>94</v>
      </c>
      <c r="D3" s="1"/>
      <c r="E3" s="1">
        <f t="shared" ref="E3:E34" si="0">IFERROR(GEOMEAN(F3, G3), MAX(F3, G3))</f>
        <v>9.6961530833307599</v>
      </c>
      <c r="F3" s="1">
        <f t="shared" ref="F3:F34" si="1">MAX(J3, CN3)</f>
        <v>10</v>
      </c>
      <c r="G3" s="1">
        <f t="shared" ref="G3:G34" si="2">MAX(R3, U3, V3, Y3, Z3, AJ3, CO3)</f>
        <v>9.4015384615384594</v>
      </c>
      <c r="H3" s="1"/>
      <c r="I3" s="1">
        <v>32.299999999999997</v>
      </c>
      <c r="J3" s="1">
        <v>7.54</v>
      </c>
      <c r="K3" s="1">
        <v>0</v>
      </c>
      <c r="L3" s="1">
        <v>0.2</v>
      </c>
      <c r="M3" s="1"/>
      <c r="N3" s="1"/>
      <c r="O3" s="1">
        <v>0.2</v>
      </c>
      <c r="P3" s="1">
        <v>0.3</v>
      </c>
      <c r="Q3" s="1">
        <v>0.2</v>
      </c>
      <c r="R3" s="1">
        <v>0</v>
      </c>
      <c r="S3" s="1">
        <v>-27.109783420463</v>
      </c>
      <c r="T3" s="1">
        <v>-61.602538675128898</v>
      </c>
      <c r="U3" s="1">
        <v>0</v>
      </c>
      <c r="V3" s="1">
        <v>0</v>
      </c>
      <c r="W3" s="1">
        <v>0.41099999999999998</v>
      </c>
      <c r="X3" s="1">
        <v>1.7999999999999999E-2</v>
      </c>
      <c r="Y3" s="1">
        <v>1.6439999999999299E-2</v>
      </c>
      <c r="Z3" s="1">
        <v>3.5999999999999602E-2</v>
      </c>
      <c r="AA3" s="1">
        <v>20210222</v>
      </c>
      <c r="AB3" s="1">
        <v>18.89</v>
      </c>
      <c r="AC3" s="1">
        <v>18.89</v>
      </c>
      <c r="AD3" s="1">
        <v>0</v>
      </c>
      <c r="AE3" s="1">
        <v>0</v>
      </c>
      <c r="AF3" s="1">
        <v>21.79</v>
      </c>
      <c r="AG3" s="1">
        <v>21.79</v>
      </c>
      <c r="AH3" s="1">
        <v>0</v>
      </c>
      <c r="AI3" s="1"/>
      <c r="AJ3" s="1">
        <v>9.4015384615384594</v>
      </c>
      <c r="AK3" s="1">
        <v>10</v>
      </c>
      <c r="AL3" s="1">
        <v>2445</v>
      </c>
      <c r="AM3" s="1">
        <v>2445</v>
      </c>
      <c r="AN3" s="1">
        <v>38928.341</v>
      </c>
      <c r="AO3" s="1">
        <v>2430</v>
      </c>
      <c r="AP3" s="1">
        <v>0</v>
      </c>
      <c r="AQ3" s="1">
        <v>0</v>
      </c>
      <c r="AR3" s="1">
        <v>0.61728395061729202</v>
      </c>
      <c r="AS3" s="1">
        <v>6.1728395061727802E-2</v>
      </c>
      <c r="AT3" s="1">
        <v>6.8</v>
      </c>
      <c r="AU3" s="1"/>
      <c r="AV3" s="1" t="s">
        <v>95</v>
      </c>
      <c r="AW3" s="1" t="s">
        <v>96</v>
      </c>
      <c r="AX3" s="1" t="s">
        <v>97</v>
      </c>
      <c r="AY3" s="1" t="s">
        <v>98</v>
      </c>
      <c r="AZ3" s="1" t="s">
        <v>99</v>
      </c>
      <c r="BA3" s="1" t="s">
        <v>100</v>
      </c>
      <c r="BB3" s="1" t="s">
        <v>101</v>
      </c>
      <c r="BC3" s="1" t="s">
        <v>98</v>
      </c>
      <c r="BD3" s="1" t="s">
        <v>101</v>
      </c>
      <c r="BE3" s="1" t="s">
        <v>98</v>
      </c>
      <c r="BF3" s="1" t="s">
        <v>102</v>
      </c>
      <c r="BG3" s="1" t="s">
        <v>98</v>
      </c>
      <c r="BH3" s="1" t="s">
        <v>103</v>
      </c>
      <c r="BI3" t="s">
        <v>98</v>
      </c>
      <c r="BJ3" t="s">
        <v>104</v>
      </c>
      <c r="BK3" t="s">
        <v>98</v>
      </c>
      <c r="BL3" t="s">
        <v>105</v>
      </c>
      <c r="BN3" t="s">
        <v>106</v>
      </c>
      <c r="BO3" t="s">
        <v>98</v>
      </c>
      <c r="BP3" t="s">
        <v>107</v>
      </c>
      <c r="BQ3" t="s">
        <v>96</v>
      </c>
      <c r="BR3" t="s">
        <v>108</v>
      </c>
      <c r="BS3" t="s">
        <v>98</v>
      </c>
      <c r="BT3" t="s">
        <v>105</v>
      </c>
      <c r="BV3" t="s">
        <v>109</v>
      </c>
      <c r="BW3" t="s">
        <v>100</v>
      </c>
      <c r="BX3" t="s">
        <v>110</v>
      </c>
      <c r="BY3" t="s">
        <v>96</v>
      </c>
      <c r="BZ3" t="s">
        <v>105</v>
      </c>
      <c r="CB3" t="s">
        <v>111</v>
      </c>
      <c r="CC3" t="s">
        <v>98</v>
      </c>
      <c r="CD3">
        <v>0.8</v>
      </c>
      <c r="CE3" t="s">
        <v>96</v>
      </c>
      <c r="CF3">
        <v>0</v>
      </c>
      <c r="CG3" t="s">
        <v>96</v>
      </c>
      <c r="CH3">
        <v>5.2</v>
      </c>
      <c r="CI3" t="s">
        <v>100</v>
      </c>
      <c r="CJ3" t="s">
        <v>112</v>
      </c>
      <c r="CK3" t="s">
        <v>96</v>
      </c>
      <c r="CL3" t="s">
        <v>113</v>
      </c>
      <c r="CM3" t="s">
        <v>98</v>
      </c>
      <c r="CN3">
        <v>10</v>
      </c>
      <c r="CO3">
        <v>0</v>
      </c>
    </row>
    <row r="4" spans="1:93" x14ac:dyDescent="0.2">
      <c r="A4" s="3">
        <v>2</v>
      </c>
      <c r="B4" s="3" t="s">
        <v>114</v>
      </c>
      <c r="C4" s="3" t="s">
        <v>115</v>
      </c>
      <c r="D4" s="1"/>
      <c r="E4" s="1">
        <f t="shared" si="0"/>
        <v>7.1191539484110393</v>
      </c>
      <c r="F4" s="1">
        <f t="shared" si="1"/>
        <v>9</v>
      </c>
      <c r="G4" s="1">
        <f t="shared" si="2"/>
        <v>5.63137254901961</v>
      </c>
      <c r="H4" s="1"/>
      <c r="I4" s="1">
        <v>25.2</v>
      </c>
      <c r="J4" s="1">
        <v>8.9600000000000009</v>
      </c>
      <c r="K4" s="1">
        <v>0.3</v>
      </c>
      <c r="L4" s="1">
        <v>0.2</v>
      </c>
      <c r="M4" s="1"/>
      <c r="N4" s="1"/>
      <c r="O4" s="1">
        <v>1</v>
      </c>
      <c r="P4" s="1">
        <v>0.6</v>
      </c>
      <c r="Q4" s="1">
        <v>0.5</v>
      </c>
      <c r="R4" s="1">
        <v>4.7619047619047397</v>
      </c>
      <c r="S4" s="1">
        <v>84.470588235294102</v>
      </c>
      <c r="T4" s="1">
        <v>-31.080484808974301</v>
      </c>
      <c r="U4" s="1">
        <v>5.63137254901961</v>
      </c>
      <c r="V4" s="1">
        <v>0</v>
      </c>
      <c r="W4" s="1">
        <v>0.66500000000000004</v>
      </c>
      <c r="X4" s="1">
        <v>0.03</v>
      </c>
      <c r="Y4" s="1">
        <v>2.66000000000002E-2</v>
      </c>
      <c r="Z4" s="1">
        <v>6.0000000000000497E-2</v>
      </c>
      <c r="AA4" s="1">
        <v>20210222</v>
      </c>
      <c r="AB4" s="1"/>
      <c r="AC4" s="1">
        <v>46.11</v>
      </c>
      <c r="AD4" s="1"/>
      <c r="AE4" s="1">
        <v>0</v>
      </c>
      <c r="AF4" s="1"/>
      <c r="AG4" s="1">
        <v>53.21</v>
      </c>
      <c r="AH4" s="1"/>
      <c r="AI4" s="1"/>
      <c r="AJ4" s="1">
        <v>5.2138461538461502</v>
      </c>
      <c r="AK4" s="1">
        <v>10</v>
      </c>
      <c r="AL4" s="1">
        <v>523</v>
      </c>
      <c r="AM4" s="1">
        <v>522</v>
      </c>
      <c r="AN4" s="1">
        <v>32866.267999999996</v>
      </c>
      <c r="AO4" s="1">
        <v>498</v>
      </c>
      <c r="AP4" s="1">
        <v>1</v>
      </c>
      <c r="AQ4" s="1">
        <v>3.04263325547032E-2</v>
      </c>
      <c r="AR4" s="1">
        <v>5.0200803212851399</v>
      </c>
      <c r="AS4" s="1">
        <v>0.50200803212851297</v>
      </c>
      <c r="AT4" s="1">
        <v>5.6</v>
      </c>
      <c r="AU4" s="1"/>
      <c r="AV4" s="1" t="s">
        <v>116</v>
      </c>
      <c r="AW4" s="1" t="s">
        <v>96</v>
      </c>
      <c r="AX4" s="1" t="s">
        <v>117</v>
      </c>
      <c r="AY4" s="1" t="s">
        <v>100</v>
      </c>
      <c r="AZ4" s="1" t="s">
        <v>118</v>
      </c>
      <c r="BA4" s="1" t="s">
        <v>100</v>
      </c>
      <c r="BB4" s="1" t="s">
        <v>119</v>
      </c>
      <c r="BC4" s="1" t="s">
        <v>96</v>
      </c>
      <c r="BD4" s="1" t="s">
        <v>120</v>
      </c>
      <c r="BE4" s="1" t="s">
        <v>100</v>
      </c>
      <c r="BF4" s="1" t="s">
        <v>102</v>
      </c>
      <c r="BG4" s="1" t="s">
        <v>98</v>
      </c>
      <c r="BH4" s="1" t="s">
        <v>121</v>
      </c>
      <c r="BI4" t="s">
        <v>100</v>
      </c>
      <c r="BJ4" t="s">
        <v>122</v>
      </c>
      <c r="BK4" t="s">
        <v>98</v>
      </c>
      <c r="BL4" t="s">
        <v>105</v>
      </c>
      <c r="BN4" t="s">
        <v>123</v>
      </c>
      <c r="BO4" t="s">
        <v>98</v>
      </c>
      <c r="BP4" t="s">
        <v>124</v>
      </c>
      <c r="BQ4" t="s">
        <v>96</v>
      </c>
      <c r="BR4" t="s">
        <v>105</v>
      </c>
      <c r="BT4" t="s">
        <v>105</v>
      </c>
      <c r="BV4" t="s">
        <v>125</v>
      </c>
      <c r="BW4" t="s">
        <v>96</v>
      </c>
      <c r="BX4" t="s">
        <v>126</v>
      </c>
      <c r="BY4" t="s">
        <v>100</v>
      </c>
      <c r="BZ4" t="s">
        <v>127</v>
      </c>
      <c r="CA4" t="s">
        <v>100</v>
      </c>
      <c r="CB4" t="s">
        <v>128</v>
      </c>
      <c r="CC4" t="s">
        <v>100</v>
      </c>
      <c r="CD4">
        <v>2.6</v>
      </c>
      <c r="CE4" t="s">
        <v>100</v>
      </c>
      <c r="CF4">
        <v>0</v>
      </c>
      <c r="CG4" t="s">
        <v>96</v>
      </c>
      <c r="CH4">
        <v>3.9</v>
      </c>
      <c r="CI4" t="s">
        <v>100</v>
      </c>
      <c r="CJ4" t="s">
        <v>129</v>
      </c>
      <c r="CK4" t="s">
        <v>98</v>
      </c>
      <c r="CL4" t="s">
        <v>130</v>
      </c>
      <c r="CM4" t="s">
        <v>96</v>
      </c>
      <c r="CN4">
        <v>9</v>
      </c>
      <c r="CO4">
        <v>0</v>
      </c>
    </row>
    <row r="5" spans="1:93" x14ac:dyDescent="0.2">
      <c r="A5" s="3">
        <v>3</v>
      </c>
      <c r="B5" s="3" t="s">
        <v>131</v>
      </c>
      <c r="C5" s="3" t="s">
        <v>132</v>
      </c>
      <c r="D5" s="1"/>
      <c r="E5" s="1">
        <f t="shared" si="0"/>
        <v>7.416198487095663</v>
      </c>
      <c r="F5" s="1">
        <f t="shared" si="1"/>
        <v>5.5</v>
      </c>
      <c r="G5" s="1">
        <f t="shared" si="2"/>
        <v>10</v>
      </c>
      <c r="H5" s="1"/>
      <c r="I5" s="1">
        <v>52.9</v>
      </c>
      <c r="J5" s="1">
        <v>3.42</v>
      </c>
      <c r="K5" s="1">
        <v>0</v>
      </c>
      <c r="L5" s="1">
        <v>0.6</v>
      </c>
      <c r="M5" s="1"/>
      <c r="N5" s="1"/>
      <c r="O5" s="1">
        <v>0.5</v>
      </c>
      <c r="P5" s="1">
        <v>0</v>
      </c>
      <c r="Q5" s="1">
        <v>0.3</v>
      </c>
      <c r="R5" s="1">
        <v>0</v>
      </c>
      <c r="S5" s="1">
        <v>41.168938788819801</v>
      </c>
      <c r="T5" s="1">
        <v>11.527877634664801</v>
      </c>
      <c r="U5" s="1">
        <v>2.7445959192546501</v>
      </c>
      <c r="V5" s="1">
        <v>0.76852517564431699</v>
      </c>
      <c r="W5" s="1">
        <v>355.976</v>
      </c>
      <c r="X5" s="1">
        <v>5.51</v>
      </c>
      <c r="Y5" s="1">
        <v>10</v>
      </c>
      <c r="Z5" s="1">
        <v>10</v>
      </c>
      <c r="AA5" s="1">
        <v>20210222</v>
      </c>
      <c r="AB5" s="1">
        <v>65.22</v>
      </c>
      <c r="AC5" s="1">
        <v>65.22</v>
      </c>
      <c r="AD5" s="1">
        <v>75</v>
      </c>
      <c r="AE5" s="1">
        <v>75</v>
      </c>
      <c r="AF5" s="1">
        <v>63.72</v>
      </c>
      <c r="AG5" s="1">
        <v>63.72</v>
      </c>
      <c r="AH5" s="1">
        <v>1</v>
      </c>
      <c r="AI5" s="1">
        <v>1</v>
      </c>
      <c r="AJ5" s="1">
        <v>2.2738461538461499</v>
      </c>
      <c r="AK5" s="1">
        <v>2.5</v>
      </c>
      <c r="AL5" s="1">
        <v>2703</v>
      </c>
      <c r="AM5" s="1">
        <v>2567</v>
      </c>
      <c r="AN5" s="1">
        <v>2877.8</v>
      </c>
      <c r="AO5" s="1">
        <v>1653</v>
      </c>
      <c r="AP5" s="1">
        <v>136</v>
      </c>
      <c r="AQ5" s="1">
        <v>47.258322329557302</v>
      </c>
      <c r="AR5" s="1">
        <v>63.5208711433757</v>
      </c>
      <c r="AS5" s="1">
        <v>6.3520871143375697</v>
      </c>
      <c r="AT5" s="1">
        <v>4.2</v>
      </c>
      <c r="AU5" s="1"/>
      <c r="AV5" s="1" t="s">
        <v>133</v>
      </c>
      <c r="AW5" s="1" t="s">
        <v>98</v>
      </c>
      <c r="AX5" s="1" t="s">
        <v>134</v>
      </c>
      <c r="AY5" s="1" t="s">
        <v>100</v>
      </c>
      <c r="AZ5" s="1" t="s">
        <v>135</v>
      </c>
      <c r="BA5" s="1" t="s">
        <v>100</v>
      </c>
      <c r="BB5" s="1" t="s">
        <v>101</v>
      </c>
      <c r="BC5" s="1" t="s">
        <v>98</v>
      </c>
      <c r="BD5" s="1" t="s">
        <v>136</v>
      </c>
      <c r="BE5" s="1" t="s">
        <v>100</v>
      </c>
      <c r="BF5" s="1" t="s">
        <v>137</v>
      </c>
      <c r="BG5" s="1" t="s">
        <v>100</v>
      </c>
      <c r="BH5" s="1" t="s">
        <v>121</v>
      </c>
      <c r="BI5" t="s">
        <v>100</v>
      </c>
      <c r="BJ5" t="s">
        <v>138</v>
      </c>
      <c r="BK5" t="s">
        <v>98</v>
      </c>
      <c r="BL5" t="s">
        <v>139</v>
      </c>
      <c r="BM5" t="s">
        <v>100</v>
      </c>
      <c r="BN5" t="s">
        <v>140</v>
      </c>
      <c r="BO5" t="s">
        <v>96</v>
      </c>
      <c r="BP5" t="s">
        <v>124</v>
      </c>
      <c r="BQ5" t="s">
        <v>96</v>
      </c>
      <c r="BR5" t="s">
        <v>105</v>
      </c>
      <c r="BT5" t="s">
        <v>105</v>
      </c>
      <c r="BV5" t="s">
        <v>125</v>
      </c>
      <c r="BW5" t="s">
        <v>96</v>
      </c>
      <c r="BX5" t="s">
        <v>126</v>
      </c>
      <c r="BY5" t="s">
        <v>100</v>
      </c>
      <c r="BZ5" t="s">
        <v>141</v>
      </c>
      <c r="CA5" t="s">
        <v>96</v>
      </c>
      <c r="CB5" t="s">
        <v>105</v>
      </c>
      <c r="CD5">
        <v>1.6</v>
      </c>
      <c r="CE5" t="s">
        <v>96</v>
      </c>
      <c r="CF5">
        <v>0</v>
      </c>
      <c r="CG5" t="s">
        <v>96</v>
      </c>
      <c r="CH5">
        <v>4.5999999999999996</v>
      </c>
      <c r="CI5" t="s">
        <v>100</v>
      </c>
      <c r="CJ5" t="s">
        <v>105</v>
      </c>
      <c r="CL5" t="s">
        <v>130</v>
      </c>
      <c r="CM5" t="s">
        <v>96</v>
      </c>
      <c r="CN5">
        <v>5.5</v>
      </c>
      <c r="CO5">
        <v>0</v>
      </c>
    </row>
    <row r="6" spans="1:93" x14ac:dyDescent="0.2">
      <c r="A6" s="3">
        <v>4</v>
      </c>
      <c r="B6" s="3" t="s">
        <v>142</v>
      </c>
      <c r="C6" s="3" t="s">
        <v>143</v>
      </c>
      <c r="D6" s="1"/>
      <c r="E6" s="1">
        <f t="shared" si="0"/>
        <v>6.8264192663504053</v>
      </c>
      <c r="F6" s="1">
        <f t="shared" si="1"/>
        <v>4.66</v>
      </c>
      <c r="G6" s="1">
        <f t="shared" si="2"/>
        <v>10</v>
      </c>
      <c r="H6" s="1"/>
      <c r="I6" s="1">
        <v>46.7</v>
      </c>
      <c r="J6" s="1">
        <v>4.66</v>
      </c>
      <c r="K6" s="1">
        <v>0</v>
      </c>
      <c r="L6" s="1">
        <v>0.9</v>
      </c>
      <c r="M6" s="1"/>
      <c r="N6" s="1"/>
      <c r="O6" s="1">
        <v>0.5</v>
      </c>
      <c r="P6" s="1">
        <v>0.5</v>
      </c>
      <c r="Q6" s="1">
        <v>0.5</v>
      </c>
      <c r="R6" s="1">
        <v>4.7619047619047397</v>
      </c>
      <c r="S6" s="1">
        <v>59.0896254416147</v>
      </c>
      <c r="T6" s="1">
        <v>-7.2276310950362603</v>
      </c>
      <c r="U6" s="1">
        <v>3.9393083627743102</v>
      </c>
      <c r="V6" s="1">
        <v>0</v>
      </c>
      <c r="W6" s="1">
        <v>312.75599999999997</v>
      </c>
      <c r="X6" s="1">
        <v>1.603</v>
      </c>
      <c r="Y6" s="1">
        <v>10</v>
      </c>
      <c r="Z6" s="1">
        <v>3.206</v>
      </c>
      <c r="AA6" s="1">
        <v>20210222</v>
      </c>
      <c r="AB6" s="1">
        <v>62.33</v>
      </c>
      <c r="AC6" s="1">
        <v>62.33</v>
      </c>
      <c r="AD6" s="1">
        <v>50</v>
      </c>
      <c r="AE6" s="1">
        <v>50</v>
      </c>
      <c r="AF6" s="1">
        <v>64.23</v>
      </c>
      <c r="AG6" s="1">
        <v>64.23</v>
      </c>
      <c r="AH6" s="1">
        <v>0</v>
      </c>
      <c r="AI6" s="1"/>
      <c r="AJ6" s="1">
        <v>2.7184615384615398</v>
      </c>
      <c r="AK6" s="1">
        <v>5</v>
      </c>
      <c r="AL6" s="1">
        <v>1890</v>
      </c>
      <c r="AM6" s="1">
        <v>1800</v>
      </c>
      <c r="AN6" s="1">
        <v>9890.4</v>
      </c>
      <c r="AO6" s="1">
        <v>1108</v>
      </c>
      <c r="AP6" s="1">
        <v>90</v>
      </c>
      <c r="AQ6" s="1">
        <v>9.0997330744964806</v>
      </c>
      <c r="AR6" s="1">
        <v>70.577617328519906</v>
      </c>
      <c r="AS6" s="1">
        <v>7.0577617328519899</v>
      </c>
      <c r="AT6" s="1">
        <v>2.5</v>
      </c>
      <c r="AU6" s="1"/>
      <c r="AV6" s="1" t="s">
        <v>144</v>
      </c>
      <c r="AW6" s="1" t="s">
        <v>98</v>
      </c>
      <c r="AX6" s="1" t="s">
        <v>145</v>
      </c>
      <c r="AY6" s="1" t="s">
        <v>100</v>
      </c>
      <c r="AZ6" s="1" t="s">
        <v>118</v>
      </c>
      <c r="BA6" s="1" t="s">
        <v>100</v>
      </c>
      <c r="BB6" s="1" t="s">
        <v>146</v>
      </c>
      <c r="BC6" s="1" t="s">
        <v>100</v>
      </c>
      <c r="BD6" s="1" t="s">
        <v>101</v>
      </c>
      <c r="BE6" s="1" t="s">
        <v>98</v>
      </c>
      <c r="BF6" s="1" t="s">
        <v>102</v>
      </c>
      <c r="BG6" s="1" t="s">
        <v>98</v>
      </c>
      <c r="BH6" s="1" t="s">
        <v>147</v>
      </c>
      <c r="BI6" t="s">
        <v>96</v>
      </c>
      <c r="BJ6" t="s">
        <v>148</v>
      </c>
      <c r="BK6" t="s">
        <v>98</v>
      </c>
      <c r="BL6" t="s">
        <v>105</v>
      </c>
      <c r="BN6" t="s">
        <v>149</v>
      </c>
      <c r="BO6" t="s">
        <v>100</v>
      </c>
      <c r="BP6" t="s">
        <v>124</v>
      </c>
      <c r="BQ6" t="s">
        <v>96</v>
      </c>
      <c r="BR6" t="s">
        <v>105</v>
      </c>
      <c r="BT6" t="s">
        <v>105</v>
      </c>
      <c r="BV6" t="s">
        <v>125</v>
      </c>
      <c r="BW6" t="s">
        <v>96</v>
      </c>
      <c r="BX6" t="s">
        <v>110</v>
      </c>
      <c r="BY6" t="s">
        <v>96</v>
      </c>
      <c r="BZ6" t="s">
        <v>141</v>
      </c>
      <c r="CA6" t="s">
        <v>96</v>
      </c>
      <c r="CB6" t="s">
        <v>105</v>
      </c>
      <c r="CD6">
        <v>0</v>
      </c>
      <c r="CE6" t="s">
        <v>96</v>
      </c>
      <c r="CF6">
        <v>0</v>
      </c>
      <c r="CG6" t="s">
        <v>96</v>
      </c>
      <c r="CH6">
        <v>0</v>
      </c>
      <c r="CI6" t="s">
        <v>96</v>
      </c>
      <c r="CJ6" t="s">
        <v>105</v>
      </c>
      <c r="CL6" t="s">
        <v>130</v>
      </c>
      <c r="CM6" t="s">
        <v>96</v>
      </c>
      <c r="CN6">
        <v>1.25</v>
      </c>
      <c r="CO6">
        <v>10</v>
      </c>
    </row>
    <row r="7" spans="1:93" x14ac:dyDescent="0.2">
      <c r="A7" s="3">
        <v>5</v>
      </c>
      <c r="B7" s="3" t="s">
        <v>150</v>
      </c>
      <c r="C7" s="3" t="s">
        <v>151</v>
      </c>
      <c r="D7" s="1"/>
      <c r="E7" s="1">
        <f t="shared" si="0"/>
        <v>4.9999999999999885</v>
      </c>
      <c r="F7" s="1">
        <f t="shared" si="1"/>
        <v>3.5</v>
      </c>
      <c r="G7" s="1">
        <f t="shared" si="2"/>
        <v>7.1428571428571104</v>
      </c>
      <c r="H7" s="1"/>
      <c r="I7" s="1">
        <v>58.6</v>
      </c>
      <c r="J7" s="1">
        <v>2.2799999999999998</v>
      </c>
      <c r="K7" s="1">
        <v>0</v>
      </c>
      <c r="L7" s="1">
        <v>0.5</v>
      </c>
      <c r="M7" s="1"/>
      <c r="N7" s="1"/>
      <c r="O7" s="1">
        <v>1</v>
      </c>
      <c r="P7" s="1">
        <v>0.8</v>
      </c>
      <c r="Q7" s="1">
        <v>0.6</v>
      </c>
      <c r="R7" s="1">
        <v>7.1428571428571104</v>
      </c>
      <c r="S7" s="1">
        <v>-18.0042088792352</v>
      </c>
      <c r="T7" s="1">
        <v>-23.308796873912101</v>
      </c>
      <c r="U7" s="1">
        <v>0</v>
      </c>
      <c r="V7" s="1">
        <v>0</v>
      </c>
      <c r="W7" s="1">
        <v>121.807</v>
      </c>
      <c r="X7" s="1">
        <v>3.0409999999999999</v>
      </c>
      <c r="Y7" s="1">
        <v>4.8722799999999999</v>
      </c>
      <c r="Z7" s="1">
        <v>6.0819999999999999</v>
      </c>
      <c r="AA7" s="1">
        <v>20210222</v>
      </c>
      <c r="AB7" s="1"/>
      <c r="AC7" s="1">
        <v>71.61</v>
      </c>
      <c r="AD7" s="1"/>
      <c r="AE7" s="1">
        <v>50</v>
      </c>
      <c r="AF7" s="1"/>
      <c r="AG7" s="1">
        <v>74.94</v>
      </c>
      <c r="AH7" s="1"/>
      <c r="AI7" s="1"/>
      <c r="AJ7" s="1">
        <v>1.29076923076923</v>
      </c>
      <c r="AK7" s="1">
        <v>5</v>
      </c>
      <c r="AL7" s="1">
        <v>55446</v>
      </c>
      <c r="AM7" s="1">
        <v>55124</v>
      </c>
      <c r="AN7" s="1">
        <v>45195.777000000002</v>
      </c>
      <c r="AO7" s="1">
        <v>51122</v>
      </c>
      <c r="AP7" s="1">
        <v>322</v>
      </c>
      <c r="AQ7" s="1">
        <v>7.1245594472244598</v>
      </c>
      <c r="AR7" s="1">
        <v>8.45819803607057</v>
      </c>
      <c r="AS7" s="1">
        <v>0.845819803607057</v>
      </c>
      <c r="AT7" s="1">
        <v>3.4</v>
      </c>
      <c r="AU7" s="1"/>
      <c r="AV7" s="1" t="s">
        <v>152</v>
      </c>
      <c r="AW7" s="1" t="s">
        <v>98</v>
      </c>
      <c r="AX7" s="1" t="s">
        <v>153</v>
      </c>
      <c r="AY7" s="1" t="s">
        <v>100</v>
      </c>
      <c r="AZ7" s="1" t="s">
        <v>135</v>
      </c>
      <c r="BA7" s="1" t="s">
        <v>100</v>
      </c>
      <c r="BB7" s="1" t="s">
        <v>119</v>
      </c>
      <c r="BC7" s="1" t="s">
        <v>96</v>
      </c>
      <c r="BD7" s="1" t="s">
        <v>136</v>
      </c>
      <c r="BE7" s="1" t="s">
        <v>100</v>
      </c>
      <c r="BF7" s="1" t="s">
        <v>137</v>
      </c>
      <c r="BG7" s="1" t="s">
        <v>100</v>
      </c>
      <c r="BH7" s="1" t="s">
        <v>147</v>
      </c>
      <c r="BI7" t="s">
        <v>96</v>
      </c>
      <c r="BJ7" t="s">
        <v>154</v>
      </c>
      <c r="BK7" t="s">
        <v>98</v>
      </c>
      <c r="BL7" t="s">
        <v>155</v>
      </c>
      <c r="BM7" t="s">
        <v>100</v>
      </c>
      <c r="BN7" t="s">
        <v>156</v>
      </c>
      <c r="BO7" t="s">
        <v>100</v>
      </c>
      <c r="BP7" t="s">
        <v>107</v>
      </c>
      <c r="BQ7" t="s">
        <v>96</v>
      </c>
      <c r="BR7" t="s">
        <v>105</v>
      </c>
      <c r="BT7" t="s">
        <v>157</v>
      </c>
      <c r="BU7" t="s">
        <v>96</v>
      </c>
      <c r="BV7" t="s">
        <v>125</v>
      </c>
      <c r="BW7" t="s">
        <v>96</v>
      </c>
      <c r="BX7" t="s">
        <v>126</v>
      </c>
      <c r="BY7" t="s">
        <v>100</v>
      </c>
      <c r="BZ7" t="s">
        <v>141</v>
      </c>
      <c r="CA7" t="s">
        <v>96</v>
      </c>
      <c r="CB7" t="s">
        <v>105</v>
      </c>
      <c r="CD7">
        <v>1.6</v>
      </c>
      <c r="CE7" t="s">
        <v>96</v>
      </c>
      <c r="CF7">
        <v>0</v>
      </c>
      <c r="CG7" t="s">
        <v>96</v>
      </c>
      <c r="CH7">
        <v>2.6</v>
      </c>
      <c r="CI7" t="s">
        <v>100</v>
      </c>
      <c r="CJ7" t="s">
        <v>105</v>
      </c>
      <c r="CL7" t="s">
        <v>130</v>
      </c>
      <c r="CM7" t="s">
        <v>96</v>
      </c>
      <c r="CN7">
        <v>3.5</v>
      </c>
      <c r="CO7">
        <v>0</v>
      </c>
    </row>
    <row r="8" spans="1:93" x14ac:dyDescent="0.2">
      <c r="A8" s="3">
        <v>6</v>
      </c>
      <c r="B8" s="3" t="s">
        <v>158</v>
      </c>
      <c r="C8" s="3" t="s">
        <v>159</v>
      </c>
      <c r="D8" s="1"/>
      <c r="E8" s="1">
        <f t="shared" si="0"/>
        <v>3.0864607562708457</v>
      </c>
      <c r="F8" s="1">
        <f t="shared" si="1"/>
        <v>4</v>
      </c>
      <c r="G8" s="1">
        <f t="shared" si="2"/>
        <v>2.3815599999999999</v>
      </c>
      <c r="H8" s="1"/>
      <c r="I8" s="1">
        <v>50.2</v>
      </c>
      <c r="J8" s="1">
        <v>3.96</v>
      </c>
      <c r="K8" s="1"/>
      <c r="L8" s="1"/>
      <c r="M8" s="1"/>
      <c r="N8" s="1"/>
      <c r="O8" s="1"/>
      <c r="P8" s="1"/>
      <c r="Q8" s="1"/>
      <c r="R8" s="1"/>
      <c r="S8" s="1">
        <v>-41.912668942225203</v>
      </c>
      <c r="T8" s="1">
        <v>15.033840402252601</v>
      </c>
      <c r="U8" s="1">
        <v>0</v>
      </c>
      <c r="V8" s="1">
        <v>1.0022560268168399</v>
      </c>
      <c r="W8" s="1">
        <v>59.539000000000001</v>
      </c>
      <c r="X8" s="1">
        <v>1.109</v>
      </c>
      <c r="Y8" s="1">
        <v>2.3815599999999999</v>
      </c>
      <c r="Z8" s="1">
        <v>2.218</v>
      </c>
      <c r="AA8" s="1"/>
      <c r="AB8" s="1"/>
      <c r="AC8" s="1"/>
      <c r="AD8" s="1"/>
      <c r="AE8" s="1"/>
      <c r="AF8" s="1"/>
      <c r="AG8" s="1"/>
      <c r="AH8" s="1"/>
      <c r="AI8" s="1"/>
      <c r="AJ8" s="1"/>
      <c r="AK8" s="1"/>
      <c r="AL8" s="1">
        <v>3364</v>
      </c>
      <c r="AM8" s="1">
        <v>3335</v>
      </c>
      <c r="AN8" s="1">
        <v>2963.2339999999999</v>
      </c>
      <c r="AO8" s="1">
        <v>3159</v>
      </c>
      <c r="AP8" s="1">
        <v>29</v>
      </c>
      <c r="AQ8" s="1">
        <v>9.7866047703286299</v>
      </c>
      <c r="AR8" s="1">
        <v>6.4893953782842599</v>
      </c>
      <c r="AS8" s="1">
        <v>0.64893953782842595</v>
      </c>
      <c r="AT8" s="1">
        <v>3.6</v>
      </c>
      <c r="AU8" s="1"/>
      <c r="AV8" s="1" t="s">
        <v>160</v>
      </c>
      <c r="AW8" s="1" t="s">
        <v>100</v>
      </c>
      <c r="AX8" s="1" t="s">
        <v>105</v>
      </c>
      <c r="AY8" s="1"/>
      <c r="AZ8" s="1" t="s">
        <v>105</v>
      </c>
      <c r="BA8" s="1"/>
      <c r="BB8" s="1" t="s">
        <v>105</v>
      </c>
      <c r="BC8" s="1"/>
      <c r="BD8" s="1" t="s">
        <v>105</v>
      </c>
      <c r="BE8" s="1"/>
      <c r="BF8" s="1" t="s">
        <v>105</v>
      </c>
      <c r="BG8" s="1"/>
      <c r="BH8" s="1" t="s">
        <v>105</v>
      </c>
      <c r="BJ8" t="s">
        <v>161</v>
      </c>
      <c r="BK8" t="s">
        <v>98</v>
      </c>
      <c r="BL8" t="s">
        <v>162</v>
      </c>
      <c r="BM8" t="s">
        <v>98</v>
      </c>
      <c r="BN8" t="s">
        <v>163</v>
      </c>
      <c r="BO8" t="s">
        <v>96</v>
      </c>
      <c r="BP8" t="s">
        <v>124</v>
      </c>
      <c r="BQ8" t="s">
        <v>96</v>
      </c>
      <c r="BR8" t="s">
        <v>105</v>
      </c>
      <c r="BT8" t="s">
        <v>105</v>
      </c>
      <c r="BV8" t="s">
        <v>105</v>
      </c>
      <c r="BX8" t="s">
        <v>105</v>
      </c>
      <c r="BZ8" t="s">
        <v>105</v>
      </c>
      <c r="CB8" t="s">
        <v>128</v>
      </c>
      <c r="CC8" t="s">
        <v>100</v>
      </c>
      <c r="CD8">
        <v>0</v>
      </c>
      <c r="CE8" t="s">
        <v>96</v>
      </c>
      <c r="CF8">
        <v>0</v>
      </c>
      <c r="CG8" t="s">
        <v>96</v>
      </c>
      <c r="CH8">
        <v>1.5</v>
      </c>
      <c r="CI8" t="s">
        <v>96</v>
      </c>
      <c r="CJ8" t="s">
        <v>105</v>
      </c>
      <c r="CL8" t="s">
        <v>96</v>
      </c>
      <c r="CM8" t="s">
        <v>100</v>
      </c>
      <c r="CN8">
        <v>4</v>
      </c>
      <c r="CO8">
        <v>0</v>
      </c>
    </row>
    <row r="9" spans="1:93" x14ac:dyDescent="0.2">
      <c r="A9" s="3">
        <v>7</v>
      </c>
      <c r="B9" s="3" t="s">
        <v>164</v>
      </c>
      <c r="C9" s="3" t="s">
        <v>165</v>
      </c>
      <c r="D9" s="1"/>
      <c r="E9" s="1">
        <f t="shared" si="0"/>
        <v>9.0553851381374173</v>
      </c>
      <c r="F9" s="1">
        <f t="shared" si="1"/>
        <v>8.1999999999999993</v>
      </c>
      <c r="G9" s="1">
        <f t="shared" si="2"/>
        <v>10</v>
      </c>
      <c r="H9" s="1"/>
      <c r="I9" s="1">
        <v>29</v>
      </c>
      <c r="J9" s="1">
        <v>8.1999999999999993</v>
      </c>
      <c r="K9" s="1"/>
      <c r="L9" s="1"/>
      <c r="M9" s="1"/>
      <c r="N9" s="1"/>
      <c r="O9" s="1"/>
      <c r="P9" s="1"/>
      <c r="Q9" s="1"/>
      <c r="R9" s="1"/>
      <c r="S9" s="1">
        <v>546.14330049112698</v>
      </c>
      <c r="T9" s="1">
        <v>164.080465322875</v>
      </c>
      <c r="U9" s="1">
        <v>10</v>
      </c>
      <c r="V9" s="1">
        <v>10</v>
      </c>
      <c r="W9" s="1">
        <v>249.45400000000001</v>
      </c>
      <c r="X9" s="1">
        <v>5.835</v>
      </c>
      <c r="Y9" s="1">
        <v>9.9781600000000008</v>
      </c>
      <c r="Z9" s="1">
        <v>10</v>
      </c>
      <c r="AA9" s="1"/>
      <c r="AB9" s="1"/>
      <c r="AC9" s="1"/>
      <c r="AD9" s="1"/>
      <c r="AE9" s="1"/>
      <c r="AF9" s="1"/>
      <c r="AG9" s="1"/>
      <c r="AH9" s="1"/>
      <c r="AI9" s="1"/>
      <c r="AJ9" s="1"/>
      <c r="AK9" s="1"/>
      <c r="AL9" s="1">
        <v>35</v>
      </c>
      <c r="AM9" s="1">
        <v>34</v>
      </c>
      <c r="AN9" s="1">
        <v>97.927999999999997</v>
      </c>
      <c r="AO9" s="1">
        <v>11</v>
      </c>
      <c r="AP9" s="1">
        <v>1</v>
      </c>
      <c r="AQ9" s="1">
        <v>10.2115840209133</v>
      </c>
      <c r="AR9" s="1">
        <v>218.18181818181799</v>
      </c>
      <c r="AS9" s="1">
        <v>10</v>
      </c>
      <c r="AT9" s="1">
        <v>3.6</v>
      </c>
      <c r="AU9" s="1"/>
      <c r="AV9" s="1" t="s">
        <v>166</v>
      </c>
      <c r="AW9" s="1" t="s">
        <v>100</v>
      </c>
      <c r="AX9" s="1" t="s">
        <v>105</v>
      </c>
      <c r="AY9" s="1"/>
      <c r="AZ9" s="1" t="s">
        <v>105</v>
      </c>
      <c r="BA9" s="1"/>
      <c r="BB9" s="1" t="s">
        <v>105</v>
      </c>
      <c r="BC9" s="1"/>
      <c r="BD9" s="1" t="s">
        <v>105</v>
      </c>
      <c r="BE9" s="1"/>
      <c r="BF9" s="1" t="s">
        <v>105</v>
      </c>
      <c r="BG9" s="1"/>
      <c r="BH9" s="1" t="s">
        <v>105</v>
      </c>
      <c r="BJ9" t="s">
        <v>167</v>
      </c>
      <c r="BK9" t="s">
        <v>98</v>
      </c>
      <c r="BL9" t="s">
        <v>105</v>
      </c>
      <c r="BN9" t="s">
        <v>168</v>
      </c>
      <c r="BO9" t="s">
        <v>96</v>
      </c>
      <c r="BP9" t="s">
        <v>169</v>
      </c>
      <c r="BQ9" t="s">
        <v>100</v>
      </c>
      <c r="BR9" t="s">
        <v>105</v>
      </c>
      <c r="BT9" t="s">
        <v>105</v>
      </c>
      <c r="BV9" t="s">
        <v>105</v>
      </c>
      <c r="BX9" t="s">
        <v>105</v>
      </c>
      <c r="BZ9" t="s">
        <v>105</v>
      </c>
      <c r="CB9" t="s">
        <v>105</v>
      </c>
      <c r="CD9">
        <v>0.1</v>
      </c>
      <c r="CE9" t="s">
        <v>96</v>
      </c>
      <c r="CF9">
        <v>0</v>
      </c>
      <c r="CG9" t="s">
        <v>96</v>
      </c>
      <c r="CH9">
        <v>0</v>
      </c>
      <c r="CI9" t="s">
        <v>96</v>
      </c>
      <c r="CJ9" t="s">
        <v>105</v>
      </c>
      <c r="CL9" t="s">
        <v>130</v>
      </c>
      <c r="CM9" t="s">
        <v>96</v>
      </c>
      <c r="CN9">
        <v>4</v>
      </c>
      <c r="CO9">
        <v>0</v>
      </c>
    </row>
    <row r="10" spans="1:93" x14ac:dyDescent="0.2">
      <c r="A10" s="3">
        <v>8</v>
      </c>
      <c r="B10" s="3" t="s">
        <v>170</v>
      </c>
      <c r="C10" s="3" t="s">
        <v>171</v>
      </c>
      <c r="D10" s="1"/>
      <c r="E10" s="1">
        <f t="shared" si="0"/>
        <v>1.336306209562119</v>
      </c>
      <c r="F10" s="1">
        <f t="shared" si="1"/>
        <v>0.25</v>
      </c>
      <c r="G10" s="1">
        <f t="shared" si="2"/>
        <v>7.1428571428571104</v>
      </c>
      <c r="H10" s="1"/>
      <c r="I10" s="1">
        <v>75.5</v>
      </c>
      <c r="J10" s="1">
        <v>0</v>
      </c>
      <c r="K10" s="1">
        <v>0</v>
      </c>
      <c r="L10" s="1">
        <v>1</v>
      </c>
      <c r="M10" s="1"/>
      <c r="N10" s="1"/>
      <c r="O10" s="1">
        <v>1</v>
      </c>
      <c r="P10" s="1">
        <v>0.5</v>
      </c>
      <c r="Q10" s="1">
        <v>0.6</v>
      </c>
      <c r="R10" s="1">
        <v>7.1428571428571104</v>
      </c>
      <c r="S10" s="1">
        <v>0.01</v>
      </c>
      <c r="T10" s="1">
        <v>0.01</v>
      </c>
      <c r="U10" s="1">
        <v>6.6666666666748099E-4</v>
      </c>
      <c r="V10" s="1">
        <v>6.6666666666748099E-4</v>
      </c>
      <c r="W10" s="1">
        <v>0.16800000000000001</v>
      </c>
      <c r="X10" s="1">
        <v>0</v>
      </c>
      <c r="Y10" s="1">
        <v>6.7199999999996204E-3</v>
      </c>
      <c r="Z10" s="1">
        <v>0</v>
      </c>
      <c r="AA10" s="1">
        <v>20210222</v>
      </c>
      <c r="AB10" s="1">
        <v>56.56</v>
      </c>
      <c r="AC10" s="1">
        <v>56.56</v>
      </c>
      <c r="AD10" s="1">
        <v>50</v>
      </c>
      <c r="AE10" s="1">
        <v>50</v>
      </c>
      <c r="AF10" s="1">
        <v>57.56</v>
      </c>
      <c r="AG10" s="1">
        <v>57.56</v>
      </c>
      <c r="AH10" s="1">
        <v>1</v>
      </c>
      <c r="AI10" s="1">
        <v>1</v>
      </c>
      <c r="AJ10" s="1">
        <v>3.60615384615385</v>
      </c>
      <c r="AK10" s="1">
        <v>5</v>
      </c>
      <c r="AL10" s="1">
        <v>909</v>
      </c>
      <c r="AM10" s="1">
        <v>909</v>
      </c>
      <c r="AN10" s="1">
        <v>25499.881000000001</v>
      </c>
      <c r="AO10" s="1">
        <v>909</v>
      </c>
      <c r="AP10" s="1">
        <v>0</v>
      </c>
      <c r="AQ10" s="1">
        <v>0</v>
      </c>
      <c r="AR10" s="1">
        <v>0</v>
      </c>
      <c r="AS10" s="1">
        <v>0</v>
      </c>
      <c r="AT10" s="1">
        <v>2.1</v>
      </c>
      <c r="AU10" s="1"/>
      <c r="AV10" s="1" t="s">
        <v>172</v>
      </c>
      <c r="AW10" s="1" t="s">
        <v>96</v>
      </c>
      <c r="AX10" s="1" t="s">
        <v>173</v>
      </c>
      <c r="AY10" s="1" t="s">
        <v>100</v>
      </c>
      <c r="AZ10" s="1" t="s">
        <v>174</v>
      </c>
      <c r="BA10" s="1" t="s">
        <v>96</v>
      </c>
      <c r="BB10" s="1" t="s">
        <v>119</v>
      </c>
      <c r="BC10" s="1" t="s">
        <v>96</v>
      </c>
      <c r="BD10" s="1" t="s">
        <v>175</v>
      </c>
      <c r="BE10" s="1" t="s">
        <v>96</v>
      </c>
      <c r="BF10" s="1" t="s">
        <v>137</v>
      </c>
      <c r="BG10" s="1" t="s">
        <v>100</v>
      </c>
      <c r="BH10" s="1" t="s">
        <v>121</v>
      </c>
      <c r="BI10" t="s">
        <v>100</v>
      </c>
      <c r="BJ10" t="s">
        <v>176</v>
      </c>
      <c r="BK10" t="s">
        <v>98</v>
      </c>
      <c r="BL10" t="s">
        <v>177</v>
      </c>
      <c r="BM10" t="s">
        <v>100</v>
      </c>
      <c r="BN10" t="s">
        <v>178</v>
      </c>
      <c r="BO10" t="s">
        <v>96</v>
      </c>
      <c r="BP10" t="s">
        <v>124</v>
      </c>
      <c r="BQ10" t="s">
        <v>96</v>
      </c>
      <c r="BR10" t="s">
        <v>105</v>
      </c>
      <c r="BT10" t="s">
        <v>105</v>
      </c>
      <c r="BV10" t="s">
        <v>125</v>
      </c>
      <c r="BW10" t="s">
        <v>96</v>
      </c>
      <c r="BX10" t="s">
        <v>126</v>
      </c>
      <c r="BY10" t="s">
        <v>100</v>
      </c>
      <c r="BZ10" t="s">
        <v>141</v>
      </c>
      <c r="CA10" t="s">
        <v>96</v>
      </c>
      <c r="CB10" t="s">
        <v>105</v>
      </c>
      <c r="CD10">
        <v>0</v>
      </c>
      <c r="CE10" t="s">
        <v>96</v>
      </c>
      <c r="CF10">
        <v>4.8</v>
      </c>
      <c r="CG10" t="s">
        <v>100</v>
      </c>
      <c r="CH10">
        <v>4.5</v>
      </c>
      <c r="CI10" t="s">
        <v>100</v>
      </c>
      <c r="CJ10" t="s">
        <v>105</v>
      </c>
      <c r="CL10" t="s">
        <v>130</v>
      </c>
      <c r="CM10" t="s">
        <v>96</v>
      </c>
      <c r="CN10">
        <v>0.25</v>
      </c>
      <c r="CO10">
        <v>0</v>
      </c>
    </row>
    <row r="11" spans="1:93" x14ac:dyDescent="0.2">
      <c r="A11" s="3">
        <v>9</v>
      </c>
      <c r="B11" s="3" t="s">
        <v>179</v>
      </c>
      <c r="C11" s="3" t="s">
        <v>180</v>
      </c>
      <c r="D11" s="1"/>
      <c r="E11" s="1">
        <f t="shared" si="0"/>
        <v>4.3422114181601064</v>
      </c>
      <c r="F11" s="1">
        <f t="shared" si="1"/>
        <v>2.5</v>
      </c>
      <c r="G11" s="1">
        <f t="shared" si="2"/>
        <v>7.5419200000000002</v>
      </c>
      <c r="H11" s="1"/>
      <c r="I11" s="1">
        <v>58.5</v>
      </c>
      <c r="J11" s="1">
        <v>2.2999999999999998</v>
      </c>
      <c r="K11" s="1">
        <v>0</v>
      </c>
      <c r="L11" s="1">
        <v>0.8</v>
      </c>
      <c r="M11" s="1"/>
      <c r="N11" s="1"/>
      <c r="O11" s="1">
        <v>0.5</v>
      </c>
      <c r="P11" s="1">
        <v>0.4</v>
      </c>
      <c r="Q11" s="1">
        <v>0.4</v>
      </c>
      <c r="R11" s="1">
        <v>2.3809523809523698</v>
      </c>
      <c r="S11" s="1">
        <v>-34.383998912528902</v>
      </c>
      <c r="T11" s="1">
        <v>15.022172077697199</v>
      </c>
      <c r="U11" s="1">
        <v>0</v>
      </c>
      <c r="V11" s="1">
        <v>1.0014781385131499</v>
      </c>
      <c r="W11" s="1">
        <v>188.548</v>
      </c>
      <c r="X11" s="1">
        <v>2.7759999999999998</v>
      </c>
      <c r="Y11" s="1">
        <v>7.5419200000000002</v>
      </c>
      <c r="Z11" s="1">
        <v>5.5519999999999996</v>
      </c>
      <c r="AA11" s="1">
        <v>20210222</v>
      </c>
      <c r="AB11" s="1"/>
      <c r="AC11" s="1">
        <v>73.89</v>
      </c>
      <c r="AD11" s="1"/>
      <c r="AE11" s="1">
        <v>100</v>
      </c>
      <c r="AF11" s="1"/>
      <c r="AG11" s="1">
        <v>69.87</v>
      </c>
      <c r="AH11" s="1"/>
      <c r="AI11" s="1"/>
      <c r="AJ11" s="1">
        <v>0.94</v>
      </c>
      <c r="AK11" s="1">
        <v>0</v>
      </c>
      <c r="AL11" s="1">
        <v>10099</v>
      </c>
      <c r="AM11" s="1">
        <v>9832</v>
      </c>
      <c r="AN11" s="1">
        <v>9006.4</v>
      </c>
      <c r="AO11" s="1">
        <v>8368</v>
      </c>
      <c r="AP11" s="1">
        <v>267</v>
      </c>
      <c r="AQ11" s="1">
        <v>29.645585361520698</v>
      </c>
      <c r="AR11" s="1">
        <v>20.685946462715101</v>
      </c>
      <c r="AS11" s="1">
        <v>2.0685946462715101</v>
      </c>
      <c r="AT11" s="1">
        <v>3</v>
      </c>
      <c r="AU11" s="1"/>
      <c r="AV11" s="1" t="s">
        <v>181</v>
      </c>
      <c r="AW11" s="1" t="s">
        <v>98</v>
      </c>
      <c r="AX11" s="1" t="s">
        <v>182</v>
      </c>
      <c r="AY11" s="1" t="s">
        <v>100</v>
      </c>
      <c r="AZ11" s="1" t="s">
        <v>135</v>
      </c>
      <c r="BA11" s="1" t="s">
        <v>100</v>
      </c>
      <c r="BB11" s="1" t="s">
        <v>146</v>
      </c>
      <c r="BC11" s="1" t="s">
        <v>100</v>
      </c>
      <c r="BD11" s="1" t="s">
        <v>136</v>
      </c>
      <c r="BE11" s="1" t="s">
        <v>100</v>
      </c>
      <c r="BF11" s="1" t="s">
        <v>183</v>
      </c>
      <c r="BG11" s="1" t="s">
        <v>96</v>
      </c>
      <c r="BH11" s="1" t="s">
        <v>147</v>
      </c>
      <c r="BI11" t="s">
        <v>96</v>
      </c>
      <c r="BJ11" t="s">
        <v>184</v>
      </c>
      <c r="BK11" t="s">
        <v>98</v>
      </c>
      <c r="BL11" t="s">
        <v>185</v>
      </c>
      <c r="BM11" t="s">
        <v>100</v>
      </c>
      <c r="BN11" t="s">
        <v>186</v>
      </c>
      <c r="BO11" t="s">
        <v>96</v>
      </c>
      <c r="BP11" t="s">
        <v>124</v>
      </c>
      <c r="BQ11" t="s">
        <v>96</v>
      </c>
      <c r="BR11" t="s">
        <v>105</v>
      </c>
      <c r="BT11" t="s">
        <v>105</v>
      </c>
      <c r="BV11" t="s">
        <v>125</v>
      </c>
      <c r="BW11" t="s">
        <v>96</v>
      </c>
      <c r="BX11" t="s">
        <v>110</v>
      </c>
      <c r="BY11" t="s">
        <v>96</v>
      </c>
      <c r="BZ11" t="s">
        <v>141</v>
      </c>
      <c r="CA11" t="s">
        <v>96</v>
      </c>
      <c r="CB11" t="s">
        <v>105</v>
      </c>
      <c r="CD11">
        <v>0</v>
      </c>
      <c r="CE11" t="s">
        <v>96</v>
      </c>
      <c r="CF11">
        <v>0</v>
      </c>
      <c r="CG11" t="s">
        <v>96</v>
      </c>
      <c r="CH11">
        <v>0</v>
      </c>
      <c r="CI11" t="s">
        <v>96</v>
      </c>
      <c r="CJ11" t="s">
        <v>105</v>
      </c>
      <c r="CL11" t="s">
        <v>130</v>
      </c>
      <c r="CM11" t="s">
        <v>96</v>
      </c>
      <c r="CN11">
        <v>2.5</v>
      </c>
      <c r="CO11">
        <v>0</v>
      </c>
    </row>
    <row r="12" spans="1:93" x14ac:dyDescent="0.2">
      <c r="A12" s="3">
        <v>10</v>
      </c>
      <c r="B12" s="3" t="s">
        <v>187</v>
      </c>
      <c r="C12" s="3" t="s">
        <v>188</v>
      </c>
      <c r="D12" s="1"/>
      <c r="E12" s="1">
        <f t="shared" si="0"/>
        <v>7.1514234347335996</v>
      </c>
      <c r="F12" s="1">
        <f t="shared" si="1"/>
        <v>7.16</v>
      </c>
      <c r="G12" s="1">
        <f t="shared" si="2"/>
        <v>7.1428571428571104</v>
      </c>
      <c r="H12" s="1"/>
      <c r="I12" s="1">
        <v>34.200000000000003</v>
      </c>
      <c r="J12" s="1">
        <v>7.16</v>
      </c>
      <c r="K12" s="1">
        <v>0</v>
      </c>
      <c r="L12" s="1">
        <v>0.7</v>
      </c>
      <c r="M12" s="1"/>
      <c r="N12" s="1"/>
      <c r="O12" s="1">
        <v>1</v>
      </c>
      <c r="P12" s="1"/>
      <c r="Q12" s="1">
        <v>0.6</v>
      </c>
      <c r="R12" s="1">
        <v>7.1428571428571104</v>
      </c>
      <c r="S12" s="1">
        <v>-41.409090387769403</v>
      </c>
      <c r="T12" s="1">
        <v>-3.9924901806303099</v>
      </c>
      <c r="U12" s="1">
        <v>0</v>
      </c>
      <c r="V12" s="1">
        <v>0</v>
      </c>
      <c r="W12" s="1">
        <v>14.173999999999999</v>
      </c>
      <c r="X12" s="1">
        <v>0.254</v>
      </c>
      <c r="Y12" s="1">
        <v>0.56696000000000202</v>
      </c>
      <c r="Z12" s="1">
        <v>0.50799999999999901</v>
      </c>
      <c r="AA12" s="1">
        <v>20210222</v>
      </c>
      <c r="AB12" s="1">
        <v>69.33</v>
      </c>
      <c r="AC12" s="1">
        <v>69.33</v>
      </c>
      <c r="AD12" s="1">
        <v>50</v>
      </c>
      <c r="AE12" s="1">
        <v>50</v>
      </c>
      <c r="AF12" s="1">
        <v>72.31</v>
      </c>
      <c r="AG12" s="1">
        <v>72.31</v>
      </c>
      <c r="AH12" s="1">
        <v>1</v>
      </c>
      <c r="AI12" s="1">
        <v>1</v>
      </c>
      <c r="AJ12" s="1">
        <v>1.6415384615384601</v>
      </c>
      <c r="AK12" s="1">
        <v>5</v>
      </c>
      <c r="AL12" s="1">
        <v>3337</v>
      </c>
      <c r="AM12" s="1">
        <v>3319</v>
      </c>
      <c r="AN12" s="1">
        <v>10139.174999999999</v>
      </c>
      <c r="AO12" s="1">
        <v>3195</v>
      </c>
      <c r="AP12" s="1">
        <v>18</v>
      </c>
      <c r="AQ12" s="1">
        <v>1.7752923684619299</v>
      </c>
      <c r="AR12" s="1">
        <v>4.4444444444444597</v>
      </c>
      <c r="AS12" s="1">
        <v>0.44444444444444597</v>
      </c>
      <c r="AT12" s="1">
        <v>4</v>
      </c>
      <c r="AU12" s="1"/>
      <c r="AV12" s="1" t="s">
        <v>189</v>
      </c>
      <c r="AW12" s="1" t="s">
        <v>100</v>
      </c>
      <c r="AX12" s="1" t="s">
        <v>190</v>
      </c>
      <c r="AY12" s="1" t="s">
        <v>96</v>
      </c>
      <c r="AZ12" s="1" t="s">
        <v>174</v>
      </c>
      <c r="BA12" s="1" t="s">
        <v>96</v>
      </c>
      <c r="BB12" s="1" t="s">
        <v>119</v>
      </c>
      <c r="BC12" s="1" t="s">
        <v>96</v>
      </c>
      <c r="BD12" s="1" t="s">
        <v>136</v>
      </c>
      <c r="BE12" s="1" t="s">
        <v>100</v>
      </c>
      <c r="BF12" s="1" t="s">
        <v>137</v>
      </c>
      <c r="BG12" s="1" t="s">
        <v>100</v>
      </c>
      <c r="BH12" s="1" t="s">
        <v>103</v>
      </c>
      <c r="BI12" t="s">
        <v>98</v>
      </c>
      <c r="BJ12" t="s">
        <v>122</v>
      </c>
      <c r="BK12" t="s">
        <v>98</v>
      </c>
      <c r="BL12" t="s">
        <v>191</v>
      </c>
      <c r="BM12" t="s">
        <v>100</v>
      </c>
      <c r="BN12" t="s">
        <v>192</v>
      </c>
      <c r="BO12" t="s">
        <v>96</v>
      </c>
      <c r="BP12" t="s">
        <v>169</v>
      </c>
      <c r="BQ12" t="s">
        <v>100</v>
      </c>
      <c r="BR12" t="s">
        <v>105</v>
      </c>
      <c r="BT12" t="s">
        <v>105</v>
      </c>
      <c r="BV12" t="s">
        <v>125</v>
      </c>
      <c r="BW12" t="s">
        <v>96</v>
      </c>
      <c r="BX12" t="s">
        <v>126</v>
      </c>
      <c r="BY12" t="s">
        <v>100</v>
      </c>
      <c r="BZ12" t="s">
        <v>141</v>
      </c>
      <c r="CA12" t="s">
        <v>96</v>
      </c>
      <c r="CB12" t="s">
        <v>193</v>
      </c>
      <c r="CC12" t="s">
        <v>98</v>
      </c>
      <c r="CD12">
        <v>0</v>
      </c>
      <c r="CE12" t="s">
        <v>96</v>
      </c>
      <c r="CF12">
        <v>0</v>
      </c>
      <c r="CG12" t="s">
        <v>96</v>
      </c>
      <c r="CH12">
        <v>3.8</v>
      </c>
      <c r="CI12" t="s">
        <v>100</v>
      </c>
      <c r="CJ12" t="s">
        <v>105</v>
      </c>
      <c r="CL12" t="s">
        <v>130</v>
      </c>
      <c r="CM12" t="s">
        <v>96</v>
      </c>
      <c r="CN12">
        <v>5</v>
      </c>
      <c r="CO12">
        <v>0</v>
      </c>
    </row>
    <row r="13" spans="1:93" x14ac:dyDescent="0.2">
      <c r="A13" s="3">
        <v>11</v>
      </c>
      <c r="B13" s="3" t="s">
        <v>194</v>
      </c>
      <c r="C13" s="3" t="s">
        <v>195</v>
      </c>
      <c r="D13" s="1"/>
      <c r="E13" s="1">
        <f t="shared" si="0"/>
        <v>10</v>
      </c>
      <c r="F13" s="1">
        <f t="shared" si="1"/>
        <v>10</v>
      </c>
      <c r="G13" s="1">
        <f t="shared" si="2"/>
        <v>10</v>
      </c>
      <c r="H13" s="1"/>
      <c r="I13" s="1">
        <v>22.8</v>
      </c>
      <c r="J13" s="1">
        <v>9.44</v>
      </c>
      <c r="K13" s="1">
        <v>1</v>
      </c>
      <c r="L13" s="1">
        <v>0.3</v>
      </c>
      <c r="M13" s="1"/>
      <c r="N13" s="1"/>
      <c r="O13" s="1">
        <v>0.8</v>
      </c>
      <c r="P13" s="1">
        <v>0</v>
      </c>
      <c r="Q13" s="1">
        <v>0.5</v>
      </c>
      <c r="R13" s="1">
        <v>4.7619047619047397</v>
      </c>
      <c r="S13" s="1">
        <v>-100</v>
      </c>
      <c r="T13" s="1">
        <v>31.0564984203953</v>
      </c>
      <c r="U13" s="1">
        <v>0</v>
      </c>
      <c r="V13" s="1">
        <v>2.0704332280263502</v>
      </c>
      <c r="W13" s="1">
        <v>2.4870000000000001</v>
      </c>
      <c r="X13" s="1">
        <v>0</v>
      </c>
      <c r="Y13" s="1">
        <v>9.9479999999999805E-2</v>
      </c>
      <c r="Z13" s="1">
        <v>0</v>
      </c>
      <c r="AA13" s="1">
        <v>20210222</v>
      </c>
      <c r="AB13" s="1"/>
      <c r="AC13" s="1">
        <v>21.67</v>
      </c>
      <c r="AD13" s="1"/>
      <c r="AE13" s="1">
        <v>0</v>
      </c>
      <c r="AF13" s="1"/>
      <c r="AG13" s="1">
        <v>25</v>
      </c>
      <c r="AH13" s="1"/>
      <c r="AI13" s="1"/>
      <c r="AJ13" s="1">
        <v>8.97384615384615</v>
      </c>
      <c r="AK13" s="1">
        <v>10</v>
      </c>
      <c r="AL13" s="1">
        <v>3</v>
      </c>
      <c r="AM13" s="1">
        <v>3</v>
      </c>
      <c r="AN13" s="1">
        <v>11890.781000000001</v>
      </c>
      <c r="AO13" s="1">
        <v>3</v>
      </c>
      <c r="AP13" s="1">
        <v>0</v>
      </c>
      <c r="AQ13" s="1">
        <v>0</v>
      </c>
      <c r="AR13" s="1">
        <v>0</v>
      </c>
      <c r="AS13" s="1">
        <v>0</v>
      </c>
      <c r="AT13" s="1">
        <v>6.5</v>
      </c>
      <c r="AU13" s="1"/>
      <c r="AV13" s="1" t="s">
        <v>116</v>
      </c>
      <c r="AW13" s="1" t="s">
        <v>96</v>
      </c>
      <c r="AX13" s="1" t="s">
        <v>196</v>
      </c>
      <c r="AY13" s="1" t="s">
        <v>98</v>
      </c>
      <c r="AZ13" s="1" t="s">
        <v>118</v>
      </c>
      <c r="BA13" s="1" t="s">
        <v>100</v>
      </c>
      <c r="BB13" s="1" t="s">
        <v>101</v>
      </c>
      <c r="BC13" s="1" t="s">
        <v>98</v>
      </c>
      <c r="BD13" s="1" t="s">
        <v>101</v>
      </c>
      <c r="BE13" s="1" t="s">
        <v>98</v>
      </c>
      <c r="BF13" s="1" t="s">
        <v>137</v>
      </c>
      <c r="BG13" s="1" t="s">
        <v>100</v>
      </c>
      <c r="BH13" s="1" t="s">
        <v>121</v>
      </c>
      <c r="BI13" t="s">
        <v>100</v>
      </c>
      <c r="BJ13" t="s">
        <v>197</v>
      </c>
      <c r="BK13" t="s">
        <v>98</v>
      </c>
      <c r="BL13" t="s">
        <v>105</v>
      </c>
      <c r="BN13" t="s">
        <v>198</v>
      </c>
      <c r="BO13" t="s">
        <v>98</v>
      </c>
      <c r="BP13" t="s">
        <v>124</v>
      </c>
      <c r="BQ13" t="s">
        <v>96</v>
      </c>
      <c r="BR13" t="s">
        <v>199</v>
      </c>
      <c r="BS13" t="s">
        <v>98</v>
      </c>
      <c r="BT13" t="s">
        <v>105</v>
      </c>
      <c r="BV13" t="s">
        <v>109</v>
      </c>
      <c r="BW13" t="s">
        <v>100</v>
      </c>
      <c r="BX13" t="s">
        <v>200</v>
      </c>
      <c r="BY13" t="s">
        <v>100</v>
      </c>
      <c r="BZ13" t="s">
        <v>127</v>
      </c>
      <c r="CA13" t="s">
        <v>100</v>
      </c>
      <c r="CB13" t="s">
        <v>201</v>
      </c>
      <c r="CC13" t="s">
        <v>98</v>
      </c>
      <c r="CD13">
        <v>3</v>
      </c>
      <c r="CE13" t="s">
        <v>100</v>
      </c>
      <c r="CF13">
        <v>0</v>
      </c>
      <c r="CG13" t="s">
        <v>96</v>
      </c>
      <c r="CH13">
        <v>3.4</v>
      </c>
      <c r="CI13" t="s">
        <v>100</v>
      </c>
      <c r="CJ13" t="s">
        <v>112</v>
      </c>
      <c r="CK13" t="s">
        <v>96</v>
      </c>
      <c r="CL13" t="s">
        <v>100</v>
      </c>
      <c r="CM13" t="s">
        <v>98</v>
      </c>
      <c r="CN13">
        <v>10</v>
      </c>
      <c r="CO13">
        <v>10</v>
      </c>
    </row>
    <row r="14" spans="1:93" x14ac:dyDescent="0.2">
      <c r="A14" s="3">
        <v>12</v>
      </c>
      <c r="B14" s="3" t="s">
        <v>202</v>
      </c>
      <c r="C14" s="3" t="s">
        <v>203</v>
      </c>
      <c r="D14" s="1"/>
      <c r="E14" s="1">
        <f t="shared" si="0"/>
        <v>3.9524473431027518</v>
      </c>
      <c r="F14" s="1">
        <f t="shared" si="1"/>
        <v>2</v>
      </c>
      <c r="G14" s="1">
        <f t="shared" si="2"/>
        <v>7.8109200000000003</v>
      </c>
      <c r="H14" s="1"/>
      <c r="I14" s="1">
        <v>61</v>
      </c>
      <c r="J14" s="1">
        <v>1.8</v>
      </c>
      <c r="K14" s="1">
        <v>0</v>
      </c>
      <c r="L14" s="1">
        <v>0.6</v>
      </c>
      <c r="M14" s="1"/>
      <c r="N14" s="1"/>
      <c r="O14" s="1">
        <v>0.8</v>
      </c>
      <c r="P14" s="1">
        <v>0.5</v>
      </c>
      <c r="Q14" s="1">
        <v>0.4</v>
      </c>
      <c r="R14" s="1">
        <v>2.3809523809523698</v>
      </c>
      <c r="S14" s="1">
        <v>-15.118040845484799</v>
      </c>
      <c r="T14" s="1">
        <v>-4.6858145455114402</v>
      </c>
      <c r="U14" s="1">
        <v>0</v>
      </c>
      <c r="V14" s="1">
        <v>0</v>
      </c>
      <c r="W14" s="1">
        <v>195.273</v>
      </c>
      <c r="X14" s="1">
        <v>2.9710000000000001</v>
      </c>
      <c r="Y14" s="1">
        <v>7.8109200000000003</v>
      </c>
      <c r="Z14" s="1">
        <v>5.9420000000000002</v>
      </c>
      <c r="AA14" s="1">
        <v>20210222</v>
      </c>
      <c r="AB14" s="1"/>
      <c r="AC14" s="1">
        <v>64.89</v>
      </c>
      <c r="AD14" s="1"/>
      <c r="AE14" s="1">
        <v>75</v>
      </c>
      <c r="AF14" s="1"/>
      <c r="AG14" s="1">
        <v>63.33</v>
      </c>
      <c r="AH14" s="1"/>
      <c r="AI14" s="1"/>
      <c r="AJ14" s="1">
        <v>2.3246153846153801</v>
      </c>
      <c r="AK14" s="1">
        <v>2.5</v>
      </c>
      <c r="AL14" s="1">
        <v>23537</v>
      </c>
      <c r="AM14" s="1">
        <v>23360</v>
      </c>
      <c r="AN14" s="1">
        <v>11589.616</v>
      </c>
      <c r="AO14" s="1">
        <v>21887</v>
      </c>
      <c r="AP14" s="1">
        <v>177</v>
      </c>
      <c r="AQ14" s="1">
        <v>15.2722920241706</v>
      </c>
      <c r="AR14" s="1">
        <v>7.5387216155708803</v>
      </c>
      <c r="AS14" s="1">
        <v>0.75387216155708703</v>
      </c>
      <c r="AT14" s="1">
        <v>2.8</v>
      </c>
      <c r="AU14" s="1"/>
      <c r="AV14" s="1" t="s">
        <v>204</v>
      </c>
      <c r="AW14" s="1" t="s">
        <v>98</v>
      </c>
      <c r="AX14" s="1" t="s">
        <v>182</v>
      </c>
      <c r="AY14" s="1" t="s">
        <v>100</v>
      </c>
      <c r="AZ14" s="1" t="s">
        <v>135</v>
      </c>
      <c r="BA14" s="1" t="s">
        <v>100</v>
      </c>
      <c r="BB14" s="1" t="s">
        <v>101</v>
      </c>
      <c r="BC14" s="1" t="s">
        <v>98</v>
      </c>
      <c r="BD14" s="1" t="s">
        <v>136</v>
      </c>
      <c r="BE14" s="1" t="s">
        <v>100</v>
      </c>
      <c r="BF14" s="1" t="s">
        <v>183</v>
      </c>
      <c r="BG14" s="1" t="s">
        <v>96</v>
      </c>
      <c r="BH14" s="1" t="s">
        <v>147</v>
      </c>
      <c r="BI14" t="s">
        <v>96</v>
      </c>
      <c r="BJ14" t="s">
        <v>205</v>
      </c>
      <c r="BK14" t="s">
        <v>98</v>
      </c>
      <c r="BL14" t="s">
        <v>206</v>
      </c>
      <c r="BM14" t="s">
        <v>100</v>
      </c>
      <c r="BN14" t="s">
        <v>207</v>
      </c>
      <c r="BO14" t="s">
        <v>96</v>
      </c>
      <c r="BP14" t="s">
        <v>124</v>
      </c>
      <c r="BQ14" t="s">
        <v>96</v>
      </c>
      <c r="BR14" t="s">
        <v>105</v>
      </c>
      <c r="BT14" t="s">
        <v>105</v>
      </c>
      <c r="BV14" t="s">
        <v>125</v>
      </c>
      <c r="BW14" t="s">
        <v>96</v>
      </c>
      <c r="BX14" t="s">
        <v>126</v>
      </c>
      <c r="BY14" t="s">
        <v>100</v>
      </c>
      <c r="BZ14" t="s">
        <v>141</v>
      </c>
      <c r="CA14" t="s">
        <v>96</v>
      </c>
      <c r="CB14" t="s">
        <v>105</v>
      </c>
      <c r="CD14">
        <v>1.3</v>
      </c>
      <c r="CE14" t="s">
        <v>96</v>
      </c>
      <c r="CF14">
        <v>0</v>
      </c>
      <c r="CG14" t="s">
        <v>96</v>
      </c>
      <c r="CH14">
        <v>0</v>
      </c>
      <c r="CI14" t="s">
        <v>96</v>
      </c>
      <c r="CJ14" t="s">
        <v>105</v>
      </c>
      <c r="CL14" t="s">
        <v>130</v>
      </c>
      <c r="CM14" t="s">
        <v>96</v>
      </c>
      <c r="CN14">
        <v>2</v>
      </c>
      <c r="CO14">
        <v>0</v>
      </c>
    </row>
    <row r="15" spans="1:93" x14ac:dyDescent="0.2">
      <c r="A15" s="3">
        <v>13</v>
      </c>
      <c r="B15" s="3" t="s">
        <v>208</v>
      </c>
      <c r="C15" s="3" t="s">
        <v>209</v>
      </c>
      <c r="D15" s="1"/>
      <c r="E15" s="1">
        <f t="shared" si="0"/>
        <v>9.516442642846286</v>
      </c>
      <c r="F15" s="1">
        <f t="shared" si="1"/>
        <v>9.5</v>
      </c>
      <c r="G15" s="1">
        <f t="shared" si="2"/>
        <v>9.5329137446929693</v>
      </c>
      <c r="H15" s="1"/>
      <c r="I15" s="1">
        <v>28.8</v>
      </c>
      <c r="J15" s="1">
        <v>8.24</v>
      </c>
      <c r="K15" s="1">
        <v>0.9</v>
      </c>
      <c r="L15" s="1">
        <v>0.4</v>
      </c>
      <c r="M15" s="1"/>
      <c r="N15" s="1"/>
      <c r="O15" s="1">
        <v>0.5</v>
      </c>
      <c r="P15" s="1">
        <v>0.6</v>
      </c>
      <c r="Q15" s="1">
        <v>0.6</v>
      </c>
      <c r="R15" s="1">
        <v>7.1428571428571104</v>
      </c>
      <c r="S15" s="1">
        <v>130.68924143447501</v>
      </c>
      <c r="T15" s="1">
        <v>142.993706170395</v>
      </c>
      <c r="U15" s="1">
        <v>8.7126160956316898</v>
      </c>
      <c r="V15" s="1">
        <v>9.5329137446929693</v>
      </c>
      <c r="W15" s="1">
        <v>10.298999999999999</v>
      </c>
      <c r="X15" s="1">
        <v>0.16500000000000001</v>
      </c>
      <c r="Y15" s="1">
        <v>0.41196000000000099</v>
      </c>
      <c r="Z15" s="1">
        <v>0.33</v>
      </c>
      <c r="AA15" s="1">
        <v>20210222</v>
      </c>
      <c r="AB15" s="1"/>
      <c r="AC15" s="1">
        <v>42.22</v>
      </c>
      <c r="AD15" s="1"/>
      <c r="AE15" s="1">
        <v>62.5</v>
      </c>
      <c r="AF15" s="1"/>
      <c r="AG15" s="1">
        <v>39.1</v>
      </c>
      <c r="AH15" s="1"/>
      <c r="AI15" s="1"/>
      <c r="AJ15" s="1">
        <v>5.81230769230769</v>
      </c>
      <c r="AK15" s="1">
        <v>3.75</v>
      </c>
      <c r="AL15" s="1">
        <v>120</v>
      </c>
      <c r="AM15" s="1">
        <v>112</v>
      </c>
      <c r="AN15" s="1">
        <v>12123.198</v>
      </c>
      <c r="AO15" s="1">
        <v>65</v>
      </c>
      <c r="AP15" s="1">
        <v>8</v>
      </c>
      <c r="AQ15" s="1">
        <v>0.65989188661275699</v>
      </c>
      <c r="AR15" s="1">
        <v>84.615384615384599</v>
      </c>
      <c r="AS15" s="1">
        <v>8.4615384615384599</v>
      </c>
      <c r="AT15" s="1">
        <v>5.8</v>
      </c>
      <c r="AU15" s="1"/>
      <c r="AV15" s="1" t="s">
        <v>210</v>
      </c>
      <c r="AW15" s="1" t="s">
        <v>96</v>
      </c>
      <c r="AX15" s="1" t="s">
        <v>211</v>
      </c>
      <c r="AY15" s="1" t="s">
        <v>100</v>
      </c>
      <c r="AZ15" s="1" t="s">
        <v>99</v>
      </c>
      <c r="BA15" s="1" t="s">
        <v>100</v>
      </c>
      <c r="BB15" s="1" t="s">
        <v>101</v>
      </c>
      <c r="BC15" s="1" t="s">
        <v>98</v>
      </c>
      <c r="BD15" s="1" t="s">
        <v>101</v>
      </c>
      <c r="BE15" s="1" t="s">
        <v>98</v>
      </c>
      <c r="BF15" s="1" t="s">
        <v>183</v>
      </c>
      <c r="BG15" s="1" t="s">
        <v>96</v>
      </c>
      <c r="BH15" s="1" t="s">
        <v>121</v>
      </c>
      <c r="BI15" t="s">
        <v>100</v>
      </c>
      <c r="BJ15" t="s">
        <v>212</v>
      </c>
      <c r="BK15" t="s">
        <v>96</v>
      </c>
      <c r="BL15" t="s">
        <v>105</v>
      </c>
      <c r="BN15" t="s">
        <v>213</v>
      </c>
      <c r="BO15" t="s">
        <v>96</v>
      </c>
      <c r="BP15" t="s">
        <v>124</v>
      </c>
      <c r="BQ15" t="s">
        <v>96</v>
      </c>
      <c r="BR15" t="s">
        <v>214</v>
      </c>
      <c r="BS15" t="s">
        <v>100</v>
      </c>
      <c r="BT15" t="s">
        <v>105</v>
      </c>
      <c r="BV15" t="s">
        <v>125</v>
      </c>
      <c r="BW15" t="s">
        <v>96</v>
      </c>
      <c r="BX15" t="s">
        <v>200</v>
      </c>
      <c r="BY15" t="s">
        <v>100</v>
      </c>
      <c r="BZ15" t="s">
        <v>141</v>
      </c>
      <c r="CA15" t="s">
        <v>96</v>
      </c>
      <c r="CB15" t="s">
        <v>105</v>
      </c>
      <c r="CD15">
        <v>0</v>
      </c>
      <c r="CE15" t="s">
        <v>96</v>
      </c>
      <c r="CF15">
        <v>0</v>
      </c>
      <c r="CG15" t="s">
        <v>96</v>
      </c>
      <c r="CH15">
        <v>0</v>
      </c>
      <c r="CI15" t="s">
        <v>96</v>
      </c>
      <c r="CJ15" t="s">
        <v>112</v>
      </c>
      <c r="CK15" t="s">
        <v>96</v>
      </c>
      <c r="CL15" t="s">
        <v>130</v>
      </c>
      <c r="CM15" t="s">
        <v>96</v>
      </c>
      <c r="CN15">
        <v>9.5</v>
      </c>
      <c r="CO15">
        <v>0</v>
      </c>
    </row>
    <row r="16" spans="1:93" x14ac:dyDescent="0.2">
      <c r="A16" s="3">
        <v>14</v>
      </c>
      <c r="B16" s="3" t="s">
        <v>215</v>
      </c>
      <c r="C16" s="3" t="s">
        <v>216</v>
      </c>
      <c r="D16" s="1"/>
      <c r="E16" s="1">
        <f t="shared" si="0"/>
        <v>10</v>
      </c>
      <c r="F16" s="1">
        <f t="shared" si="1"/>
        <v>10</v>
      </c>
      <c r="G16" s="1">
        <f t="shared" si="2"/>
        <v>10</v>
      </c>
      <c r="H16" s="1"/>
      <c r="I16" s="1">
        <v>30.1</v>
      </c>
      <c r="J16" s="1">
        <v>7.98</v>
      </c>
      <c r="K16" s="1">
        <v>0.8</v>
      </c>
      <c r="L16" s="1">
        <v>0.3</v>
      </c>
      <c r="M16" s="1"/>
      <c r="N16" s="1"/>
      <c r="O16" s="1">
        <v>1</v>
      </c>
      <c r="P16" s="1">
        <v>0.6</v>
      </c>
      <c r="Q16" s="1">
        <v>0.7</v>
      </c>
      <c r="R16" s="1">
        <v>9.5238095238094793</v>
      </c>
      <c r="S16" s="1">
        <v>-68.247968247968203</v>
      </c>
      <c r="T16" s="1">
        <v>-56.422833601098603</v>
      </c>
      <c r="U16" s="1">
        <v>0</v>
      </c>
      <c r="V16" s="1">
        <v>0</v>
      </c>
      <c r="W16" s="1">
        <v>1.4279999999999999</v>
      </c>
      <c r="X16" s="1">
        <v>7.0000000000000001E-3</v>
      </c>
      <c r="Y16" s="1">
        <v>5.71199999999994E-2</v>
      </c>
      <c r="Z16" s="1">
        <v>1.3999999999999299E-2</v>
      </c>
      <c r="AA16" s="1">
        <v>20210222</v>
      </c>
      <c r="AB16" s="1"/>
      <c r="AC16" s="1">
        <v>23.33</v>
      </c>
      <c r="AD16" s="1"/>
      <c r="AE16" s="1">
        <v>25</v>
      </c>
      <c r="AF16" s="1"/>
      <c r="AG16" s="1">
        <v>23.08</v>
      </c>
      <c r="AH16" s="1"/>
      <c r="AI16" s="1"/>
      <c r="AJ16" s="1">
        <v>8.7184615384615398</v>
      </c>
      <c r="AK16" s="1">
        <v>7.5</v>
      </c>
      <c r="AL16" s="1">
        <v>143</v>
      </c>
      <c r="AM16" s="1">
        <v>143</v>
      </c>
      <c r="AN16" s="1">
        <v>20903.277999999998</v>
      </c>
      <c r="AO16" s="1">
        <v>139</v>
      </c>
      <c r="AP16" s="1">
        <v>0</v>
      </c>
      <c r="AQ16" s="1">
        <v>0</v>
      </c>
      <c r="AR16" s="1">
        <v>2.8776978417266301</v>
      </c>
      <c r="AS16" s="1">
        <v>0.28776978417266402</v>
      </c>
      <c r="AT16" s="1">
        <v>6.3</v>
      </c>
      <c r="AU16" s="1"/>
      <c r="AV16" s="1" t="s">
        <v>217</v>
      </c>
      <c r="AW16" s="1" t="s">
        <v>96</v>
      </c>
      <c r="AX16" s="1" t="s">
        <v>218</v>
      </c>
      <c r="AY16" s="1" t="s">
        <v>98</v>
      </c>
      <c r="AZ16" s="1" t="s">
        <v>99</v>
      </c>
      <c r="BA16" s="1" t="s">
        <v>100</v>
      </c>
      <c r="BB16" s="1" t="s">
        <v>101</v>
      </c>
      <c r="BC16" s="1" t="s">
        <v>98</v>
      </c>
      <c r="BD16" s="1" t="s">
        <v>101</v>
      </c>
      <c r="BE16" s="1" t="s">
        <v>98</v>
      </c>
      <c r="BF16" s="1" t="s">
        <v>102</v>
      </c>
      <c r="BG16" s="1" t="s">
        <v>98</v>
      </c>
      <c r="BH16" s="1" t="s">
        <v>103</v>
      </c>
      <c r="BI16" t="s">
        <v>98</v>
      </c>
      <c r="BJ16" t="s">
        <v>219</v>
      </c>
      <c r="BK16" t="s">
        <v>98</v>
      </c>
      <c r="BL16" t="s">
        <v>105</v>
      </c>
      <c r="BN16" t="s">
        <v>212</v>
      </c>
      <c r="BO16" t="s">
        <v>96</v>
      </c>
      <c r="BP16" t="s">
        <v>124</v>
      </c>
      <c r="BQ16" t="s">
        <v>96</v>
      </c>
      <c r="BR16" t="s">
        <v>220</v>
      </c>
      <c r="BS16" t="s">
        <v>98</v>
      </c>
      <c r="BT16" t="s">
        <v>105</v>
      </c>
      <c r="BV16" t="s">
        <v>125</v>
      </c>
      <c r="BW16" t="s">
        <v>96</v>
      </c>
      <c r="BX16" t="s">
        <v>110</v>
      </c>
      <c r="BY16" t="s">
        <v>96</v>
      </c>
      <c r="BZ16" t="s">
        <v>141</v>
      </c>
      <c r="CA16" t="s">
        <v>96</v>
      </c>
      <c r="CB16" t="s">
        <v>221</v>
      </c>
      <c r="CC16" t="s">
        <v>98</v>
      </c>
      <c r="CD16">
        <v>0</v>
      </c>
      <c r="CE16" t="s">
        <v>96</v>
      </c>
      <c r="CF16">
        <v>0</v>
      </c>
      <c r="CG16" t="s">
        <v>96</v>
      </c>
      <c r="CH16">
        <v>3.8</v>
      </c>
      <c r="CI16" t="s">
        <v>100</v>
      </c>
      <c r="CJ16" t="s">
        <v>112</v>
      </c>
      <c r="CK16" t="s">
        <v>96</v>
      </c>
      <c r="CL16" t="s">
        <v>98</v>
      </c>
      <c r="CM16" t="s">
        <v>98</v>
      </c>
      <c r="CN16">
        <v>10</v>
      </c>
      <c r="CO16">
        <v>10</v>
      </c>
    </row>
    <row r="17" spans="1:93" x14ac:dyDescent="0.2">
      <c r="A17" s="3">
        <v>15</v>
      </c>
      <c r="B17" s="3" t="s">
        <v>222</v>
      </c>
      <c r="C17" s="3" t="s">
        <v>223</v>
      </c>
      <c r="D17" s="1"/>
      <c r="E17" s="1">
        <f t="shared" si="0"/>
        <v>4.3643578047198375</v>
      </c>
      <c r="F17" s="1">
        <f t="shared" si="1"/>
        <v>8</v>
      </c>
      <c r="G17" s="1">
        <f t="shared" si="2"/>
        <v>2.3809523809523698</v>
      </c>
      <c r="H17" s="1"/>
      <c r="I17" s="1">
        <v>35</v>
      </c>
      <c r="J17" s="1">
        <v>7</v>
      </c>
      <c r="K17" s="1">
        <v>0</v>
      </c>
      <c r="L17" s="1">
        <v>0.4</v>
      </c>
      <c r="M17" s="1"/>
      <c r="N17" s="1"/>
      <c r="O17" s="1">
        <v>0.8</v>
      </c>
      <c r="P17" s="1">
        <v>0.5</v>
      </c>
      <c r="Q17" s="1">
        <v>0.4</v>
      </c>
      <c r="R17" s="1">
        <v>2.3809523809523698</v>
      </c>
      <c r="S17" s="1">
        <v>-23.315989312332999</v>
      </c>
      <c r="T17" s="1">
        <v>-10.401804070179001</v>
      </c>
      <c r="U17" s="1">
        <v>0</v>
      </c>
      <c r="V17" s="1">
        <v>0</v>
      </c>
      <c r="W17" s="1">
        <v>2.3929999999999998</v>
      </c>
      <c r="X17" s="1">
        <v>6.5000000000000002E-2</v>
      </c>
      <c r="Y17" s="1">
        <v>9.572E-2</v>
      </c>
      <c r="Z17" s="1">
        <v>0.130000000000001</v>
      </c>
      <c r="AA17" s="1">
        <v>20210222</v>
      </c>
      <c r="AB17" s="1"/>
      <c r="AC17" s="1">
        <v>73.28</v>
      </c>
      <c r="AD17" s="1"/>
      <c r="AE17" s="1">
        <v>50</v>
      </c>
      <c r="AF17" s="1"/>
      <c r="AG17" s="1">
        <v>76.86</v>
      </c>
      <c r="AH17" s="1"/>
      <c r="AI17" s="1"/>
      <c r="AJ17" s="1">
        <v>1.0338461538461501</v>
      </c>
      <c r="AK17" s="1">
        <v>5</v>
      </c>
      <c r="AL17" s="1">
        <v>8868</v>
      </c>
      <c r="AM17" s="1">
        <v>8799</v>
      </c>
      <c r="AN17" s="1">
        <v>164689.383</v>
      </c>
      <c r="AO17" s="1">
        <v>8342</v>
      </c>
      <c r="AP17" s="1">
        <v>69</v>
      </c>
      <c r="AQ17" s="1">
        <v>0.418970541652949</v>
      </c>
      <c r="AR17" s="1">
        <v>6.3054423399664303</v>
      </c>
      <c r="AS17" s="1">
        <v>0.63054423399664505</v>
      </c>
      <c r="AT17" s="1">
        <v>5.2</v>
      </c>
      <c r="AU17" s="1"/>
      <c r="AV17" s="1" t="s">
        <v>224</v>
      </c>
      <c r="AW17" s="1" t="s">
        <v>96</v>
      </c>
      <c r="AX17" s="1" t="s">
        <v>190</v>
      </c>
      <c r="AY17" s="1" t="s">
        <v>96</v>
      </c>
      <c r="AZ17" s="1" t="s">
        <v>135</v>
      </c>
      <c r="BA17" s="1" t="s">
        <v>100</v>
      </c>
      <c r="BB17" s="1" t="s">
        <v>119</v>
      </c>
      <c r="BC17" s="1" t="s">
        <v>96</v>
      </c>
      <c r="BD17" s="1" t="s">
        <v>136</v>
      </c>
      <c r="BE17" s="1" t="s">
        <v>100</v>
      </c>
      <c r="BF17" s="1" t="s">
        <v>102</v>
      </c>
      <c r="BG17" s="1" t="s">
        <v>98</v>
      </c>
      <c r="BH17" s="1" t="s">
        <v>147</v>
      </c>
      <c r="BI17" t="s">
        <v>96</v>
      </c>
      <c r="BJ17" t="s">
        <v>225</v>
      </c>
      <c r="BK17" t="s">
        <v>96</v>
      </c>
      <c r="BL17" t="s">
        <v>105</v>
      </c>
      <c r="BN17" t="s">
        <v>226</v>
      </c>
      <c r="BO17" t="s">
        <v>98</v>
      </c>
      <c r="BP17" t="s">
        <v>227</v>
      </c>
      <c r="BQ17" t="s">
        <v>98</v>
      </c>
      <c r="BR17" t="s">
        <v>105</v>
      </c>
      <c r="BT17" t="s">
        <v>105</v>
      </c>
      <c r="BV17" t="s">
        <v>125</v>
      </c>
      <c r="BW17" t="s">
        <v>96</v>
      </c>
      <c r="BX17" t="s">
        <v>126</v>
      </c>
      <c r="BY17" t="s">
        <v>100</v>
      </c>
      <c r="BZ17" t="s">
        <v>127</v>
      </c>
      <c r="CA17" t="s">
        <v>100</v>
      </c>
      <c r="CB17" t="s">
        <v>228</v>
      </c>
      <c r="CC17" t="s">
        <v>98</v>
      </c>
      <c r="CD17">
        <v>0</v>
      </c>
      <c r="CE17" t="s">
        <v>96</v>
      </c>
      <c r="CF17">
        <v>0</v>
      </c>
      <c r="CG17" t="s">
        <v>96</v>
      </c>
      <c r="CH17">
        <v>4.8</v>
      </c>
      <c r="CI17" t="s">
        <v>100</v>
      </c>
      <c r="CJ17" t="s">
        <v>112</v>
      </c>
      <c r="CK17" t="s">
        <v>96</v>
      </c>
      <c r="CL17" t="s">
        <v>98</v>
      </c>
      <c r="CM17" t="s">
        <v>98</v>
      </c>
      <c r="CN17">
        <v>8</v>
      </c>
      <c r="CO17">
        <v>0</v>
      </c>
    </row>
    <row r="18" spans="1:93" x14ac:dyDescent="0.2">
      <c r="A18" s="3">
        <v>16</v>
      </c>
      <c r="B18" s="3" t="s">
        <v>229</v>
      </c>
      <c r="C18" s="3" t="s">
        <v>230</v>
      </c>
      <c r="D18" s="1"/>
      <c r="E18" s="1">
        <f t="shared" si="0"/>
        <v>6.7937500689972401</v>
      </c>
      <c r="F18" s="1">
        <f t="shared" si="1"/>
        <v>4.88</v>
      </c>
      <c r="G18" s="1">
        <f t="shared" si="2"/>
        <v>9.4580000000000002</v>
      </c>
      <c r="H18" s="1"/>
      <c r="I18" s="1">
        <v>45.6</v>
      </c>
      <c r="J18" s="1">
        <v>4.88</v>
      </c>
      <c r="K18" s="1">
        <v>0</v>
      </c>
      <c r="L18" s="1">
        <v>0.6</v>
      </c>
      <c r="M18" s="1"/>
      <c r="N18" s="1"/>
      <c r="O18" s="1">
        <v>0.8</v>
      </c>
      <c r="P18" s="1">
        <v>0.3</v>
      </c>
      <c r="Q18" s="1">
        <v>0.4</v>
      </c>
      <c r="R18" s="1">
        <v>2.3809523809523698</v>
      </c>
      <c r="S18" s="1">
        <v>-13.447904180948401</v>
      </c>
      <c r="T18" s="1">
        <v>37.429811340270902</v>
      </c>
      <c r="U18" s="1">
        <v>0</v>
      </c>
      <c r="V18" s="1">
        <v>2.4953207560180601</v>
      </c>
      <c r="W18" s="1">
        <v>143.65</v>
      </c>
      <c r="X18" s="1">
        <v>4.7290000000000001</v>
      </c>
      <c r="Y18" s="1">
        <v>5.7460000000000004</v>
      </c>
      <c r="Z18" s="1">
        <v>9.4580000000000002</v>
      </c>
      <c r="AA18" s="1">
        <v>20210222</v>
      </c>
      <c r="AB18" s="1"/>
      <c r="AC18" s="1">
        <v>58.44</v>
      </c>
      <c r="AD18" s="1"/>
      <c r="AE18" s="1">
        <v>62.5</v>
      </c>
      <c r="AF18" s="1"/>
      <c r="AG18" s="1">
        <v>57.82</v>
      </c>
      <c r="AH18" s="1"/>
      <c r="AI18" s="1"/>
      <c r="AJ18" s="1">
        <v>3.31692307692308</v>
      </c>
      <c r="AK18" s="1">
        <v>3.75</v>
      </c>
      <c r="AL18" s="1">
        <v>12465</v>
      </c>
      <c r="AM18" s="1">
        <v>12163</v>
      </c>
      <c r="AN18" s="1">
        <v>6948.4449999999997</v>
      </c>
      <c r="AO18" s="1">
        <v>9839</v>
      </c>
      <c r="AP18" s="1">
        <v>302</v>
      </c>
      <c r="AQ18" s="1">
        <v>43.462961856933497</v>
      </c>
      <c r="AR18" s="1">
        <v>26.689704238235599</v>
      </c>
      <c r="AS18" s="1">
        <v>2.6689704238235601</v>
      </c>
      <c r="AT18" s="1">
        <v>3.7</v>
      </c>
      <c r="AU18" s="1"/>
      <c r="AV18" s="1" t="s">
        <v>231</v>
      </c>
      <c r="AW18" s="1" t="s">
        <v>98</v>
      </c>
      <c r="AX18" s="1" t="s">
        <v>232</v>
      </c>
      <c r="AY18" s="1" t="s">
        <v>100</v>
      </c>
      <c r="AZ18" s="1" t="s">
        <v>135</v>
      </c>
      <c r="BA18" s="1" t="s">
        <v>100</v>
      </c>
      <c r="BB18" s="1" t="s">
        <v>101</v>
      </c>
      <c r="BC18" s="1" t="s">
        <v>98</v>
      </c>
      <c r="BD18" s="1" t="s">
        <v>101</v>
      </c>
      <c r="BE18" s="1" t="s">
        <v>98</v>
      </c>
      <c r="BF18" s="1" t="s">
        <v>183</v>
      </c>
      <c r="BG18" s="1" t="s">
        <v>96</v>
      </c>
      <c r="BH18" s="1" t="s">
        <v>121</v>
      </c>
      <c r="BI18" t="s">
        <v>100</v>
      </c>
      <c r="BJ18" t="s">
        <v>122</v>
      </c>
      <c r="BK18" t="s">
        <v>98</v>
      </c>
      <c r="BL18" t="s">
        <v>226</v>
      </c>
      <c r="BM18" t="s">
        <v>100</v>
      </c>
      <c r="BN18" t="s">
        <v>186</v>
      </c>
      <c r="BO18" t="s">
        <v>96</v>
      </c>
      <c r="BP18" t="s">
        <v>169</v>
      </c>
      <c r="BQ18" t="s">
        <v>100</v>
      </c>
      <c r="BR18" t="s">
        <v>105</v>
      </c>
      <c r="BT18" t="s">
        <v>128</v>
      </c>
      <c r="BU18" t="s">
        <v>100</v>
      </c>
      <c r="BV18" t="s">
        <v>125</v>
      </c>
      <c r="BW18" t="s">
        <v>96</v>
      </c>
      <c r="BX18" t="s">
        <v>200</v>
      </c>
      <c r="BY18" t="s">
        <v>100</v>
      </c>
      <c r="BZ18" t="s">
        <v>141</v>
      </c>
      <c r="CA18" t="s">
        <v>96</v>
      </c>
      <c r="CB18" t="s">
        <v>105</v>
      </c>
      <c r="CD18">
        <v>2</v>
      </c>
      <c r="CE18" t="s">
        <v>96</v>
      </c>
      <c r="CF18">
        <v>0</v>
      </c>
      <c r="CG18" t="s">
        <v>96</v>
      </c>
      <c r="CH18">
        <v>1.3</v>
      </c>
      <c r="CI18" t="s">
        <v>96</v>
      </c>
      <c r="CJ18" t="s">
        <v>105</v>
      </c>
      <c r="CL18" t="s">
        <v>130</v>
      </c>
      <c r="CM18" t="s">
        <v>96</v>
      </c>
      <c r="CN18">
        <v>4.25</v>
      </c>
      <c r="CO18">
        <v>0</v>
      </c>
    </row>
    <row r="19" spans="1:93" x14ac:dyDescent="0.2">
      <c r="A19" s="3">
        <v>17</v>
      </c>
      <c r="B19" s="3" t="s">
        <v>233</v>
      </c>
      <c r="C19" s="3" t="s">
        <v>234</v>
      </c>
      <c r="D19" s="1"/>
      <c r="E19" s="1">
        <f t="shared" si="0"/>
        <v>7.8230428862431785</v>
      </c>
      <c r="F19" s="1">
        <f t="shared" si="1"/>
        <v>6.12</v>
      </c>
      <c r="G19" s="1">
        <f t="shared" si="2"/>
        <v>10</v>
      </c>
      <c r="H19" s="1"/>
      <c r="I19" s="1">
        <v>39.4</v>
      </c>
      <c r="J19" s="1">
        <v>6.12</v>
      </c>
      <c r="K19" s="1">
        <v>0</v>
      </c>
      <c r="L19" s="1">
        <v>0.8</v>
      </c>
      <c r="M19" s="1"/>
      <c r="N19" s="1"/>
      <c r="O19" s="1">
        <v>0.8</v>
      </c>
      <c r="P19" s="1">
        <v>0.4</v>
      </c>
      <c r="Q19" s="1">
        <v>0.5</v>
      </c>
      <c r="R19" s="1">
        <v>4.7619047619047397</v>
      </c>
      <c r="S19" s="1">
        <v>207.63435130916</v>
      </c>
      <c r="T19" s="1">
        <v>34.456953425621698</v>
      </c>
      <c r="U19" s="1">
        <v>10</v>
      </c>
      <c r="V19" s="1">
        <v>2.2971302283747801</v>
      </c>
      <c r="W19" s="1">
        <v>425.40199999999999</v>
      </c>
      <c r="X19" s="1">
        <v>1.679</v>
      </c>
      <c r="Y19" s="1">
        <v>10</v>
      </c>
      <c r="Z19" s="1">
        <v>3.3580000000000001</v>
      </c>
      <c r="AA19" s="1">
        <v>20210222</v>
      </c>
      <c r="AB19" s="1">
        <v>70</v>
      </c>
      <c r="AC19" s="1">
        <v>70</v>
      </c>
      <c r="AD19" s="1">
        <v>87.5</v>
      </c>
      <c r="AE19" s="1">
        <v>87.5</v>
      </c>
      <c r="AF19" s="1">
        <v>67.31</v>
      </c>
      <c r="AG19" s="1">
        <v>67.31</v>
      </c>
      <c r="AH19" s="1">
        <v>2</v>
      </c>
      <c r="AI19" s="1">
        <v>0</v>
      </c>
      <c r="AJ19" s="1">
        <v>1.5384615384615401</v>
      </c>
      <c r="AK19" s="1">
        <v>1.25</v>
      </c>
      <c r="AL19" s="1">
        <v>614</v>
      </c>
      <c r="AM19" s="1">
        <v>595</v>
      </c>
      <c r="AN19" s="1">
        <v>1701.5830000000001</v>
      </c>
      <c r="AO19" s="1">
        <v>420</v>
      </c>
      <c r="AP19" s="1">
        <v>19</v>
      </c>
      <c r="AQ19" s="1">
        <v>11.1660730037853</v>
      </c>
      <c r="AR19" s="1">
        <v>46.190476190476197</v>
      </c>
      <c r="AS19" s="1">
        <v>4.6190476190476204</v>
      </c>
      <c r="AT19" s="1">
        <v>3.9</v>
      </c>
      <c r="AU19" s="1"/>
      <c r="AV19" s="1" t="s">
        <v>235</v>
      </c>
      <c r="AW19" s="1" t="s">
        <v>98</v>
      </c>
      <c r="AX19" s="1" t="s">
        <v>236</v>
      </c>
      <c r="AY19" s="1" t="s">
        <v>100</v>
      </c>
      <c r="AZ19" s="1" t="s">
        <v>99</v>
      </c>
      <c r="BA19" s="1" t="s">
        <v>100</v>
      </c>
      <c r="BB19" s="1" t="s">
        <v>101</v>
      </c>
      <c r="BC19" s="1" t="s">
        <v>98</v>
      </c>
      <c r="BD19" s="1" t="s">
        <v>120</v>
      </c>
      <c r="BE19" s="1" t="s">
        <v>100</v>
      </c>
      <c r="BF19" s="1" t="s">
        <v>183</v>
      </c>
      <c r="BG19" s="1" t="s">
        <v>96</v>
      </c>
      <c r="BH19" s="1" t="s">
        <v>147</v>
      </c>
      <c r="BI19" t="s">
        <v>96</v>
      </c>
      <c r="BJ19" t="s">
        <v>237</v>
      </c>
      <c r="BK19" t="s">
        <v>98</v>
      </c>
      <c r="BL19" t="s">
        <v>238</v>
      </c>
      <c r="BM19" t="s">
        <v>96</v>
      </c>
      <c r="BN19" t="s">
        <v>156</v>
      </c>
      <c r="BO19" t="s">
        <v>100</v>
      </c>
      <c r="BP19" t="s">
        <v>169</v>
      </c>
      <c r="BQ19" t="s">
        <v>100</v>
      </c>
      <c r="BR19" t="s">
        <v>105</v>
      </c>
      <c r="BT19" t="s">
        <v>105</v>
      </c>
      <c r="BV19" t="s">
        <v>125</v>
      </c>
      <c r="BW19" t="s">
        <v>96</v>
      </c>
      <c r="BX19" t="s">
        <v>110</v>
      </c>
      <c r="BY19" t="s">
        <v>96</v>
      </c>
      <c r="BZ19" t="s">
        <v>141</v>
      </c>
      <c r="CA19" t="s">
        <v>96</v>
      </c>
      <c r="CB19" t="s">
        <v>105</v>
      </c>
      <c r="CD19">
        <v>0.1</v>
      </c>
      <c r="CE19" t="s">
        <v>96</v>
      </c>
      <c r="CF19">
        <v>0</v>
      </c>
      <c r="CG19" t="s">
        <v>96</v>
      </c>
      <c r="CH19">
        <v>0</v>
      </c>
      <c r="CI19" t="s">
        <v>96</v>
      </c>
      <c r="CJ19" t="s">
        <v>105</v>
      </c>
      <c r="CL19" t="s">
        <v>130</v>
      </c>
      <c r="CM19" t="s">
        <v>96</v>
      </c>
      <c r="CN19">
        <v>4.75</v>
      </c>
      <c r="CO19">
        <v>0</v>
      </c>
    </row>
    <row r="20" spans="1:93" x14ac:dyDescent="0.2">
      <c r="A20" s="3">
        <v>18</v>
      </c>
      <c r="B20" s="3" t="s">
        <v>239</v>
      </c>
      <c r="C20" s="3" t="s">
        <v>240</v>
      </c>
      <c r="D20" s="1"/>
      <c r="E20" s="1">
        <f t="shared" si="0"/>
        <v>8.8769364084688593</v>
      </c>
      <c r="F20" s="1">
        <f t="shared" si="1"/>
        <v>7.88</v>
      </c>
      <c r="G20" s="1">
        <f t="shared" si="2"/>
        <v>10</v>
      </c>
      <c r="H20" s="1"/>
      <c r="I20" s="1">
        <v>30.6</v>
      </c>
      <c r="J20" s="1">
        <v>7.88</v>
      </c>
      <c r="K20" s="1"/>
      <c r="L20" s="1"/>
      <c r="M20" s="1"/>
      <c r="N20" s="1"/>
      <c r="O20" s="1"/>
      <c r="P20" s="1"/>
      <c r="Q20" s="1"/>
      <c r="R20" s="1"/>
      <c r="S20" s="1">
        <v>223.07692307692301</v>
      </c>
      <c r="T20" s="1">
        <v>-21.301639411018101</v>
      </c>
      <c r="U20" s="1">
        <v>10</v>
      </c>
      <c r="V20" s="1">
        <v>0</v>
      </c>
      <c r="W20" s="1">
        <v>33.420999999999999</v>
      </c>
      <c r="X20" s="1">
        <v>0.36299999999999999</v>
      </c>
      <c r="Y20" s="1">
        <v>1.33684</v>
      </c>
      <c r="Z20" s="1">
        <v>0.72599999999999898</v>
      </c>
      <c r="AA20" s="1">
        <v>20210222</v>
      </c>
      <c r="AB20" s="1"/>
      <c r="AC20" s="1">
        <v>55.94</v>
      </c>
      <c r="AD20" s="1"/>
      <c r="AE20" s="1">
        <v>0</v>
      </c>
      <c r="AF20" s="1"/>
      <c r="AG20" s="1">
        <v>64.55</v>
      </c>
      <c r="AH20" s="1"/>
      <c r="AI20" s="1"/>
      <c r="AJ20" s="1">
        <v>3.7015384615384601</v>
      </c>
      <c r="AK20" s="1">
        <v>10</v>
      </c>
      <c r="AL20" s="1">
        <v>182</v>
      </c>
      <c r="AM20" s="1">
        <v>182</v>
      </c>
      <c r="AN20" s="1">
        <v>393.24799999999999</v>
      </c>
      <c r="AO20" s="1">
        <v>179</v>
      </c>
      <c r="AP20" s="1">
        <v>0</v>
      </c>
      <c r="AQ20" s="1">
        <v>0</v>
      </c>
      <c r="AR20" s="1">
        <v>1.67597765363128</v>
      </c>
      <c r="AS20" s="1">
        <v>0.16759776536312801</v>
      </c>
      <c r="AT20" s="1">
        <v>3.9</v>
      </c>
      <c r="AU20" s="1"/>
      <c r="AV20" s="1" t="s">
        <v>241</v>
      </c>
      <c r="AW20" s="1" t="s">
        <v>100</v>
      </c>
      <c r="AX20" s="1" t="s">
        <v>242</v>
      </c>
      <c r="AY20" s="1" t="s">
        <v>100</v>
      </c>
      <c r="AZ20" s="1" t="s">
        <v>105</v>
      </c>
      <c r="BA20" s="1"/>
      <c r="BB20" s="1" t="s">
        <v>105</v>
      </c>
      <c r="BC20" s="1"/>
      <c r="BD20" s="1" t="s">
        <v>105</v>
      </c>
      <c r="BE20" s="1"/>
      <c r="BF20" s="1" t="s">
        <v>105</v>
      </c>
      <c r="BG20" s="1"/>
      <c r="BH20" s="1" t="s">
        <v>105</v>
      </c>
      <c r="BJ20" t="s">
        <v>243</v>
      </c>
      <c r="BK20" t="s">
        <v>98</v>
      </c>
      <c r="BL20" t="s">
        <v>244</v>
      </c>
      <c r="BM20" t="s">
        <v>98</v>
      </c>
      <c r="BN20" t="s">
        <v>245</v>
      </c>
      <c r="BO20" t="s">
        <v>96</v>
      </c>
      <c r="BP20" t="s">
        <v>169</v>
      </c>
      <c r="BQ20" t="s">
        <v>100</v>
      </c>
      <c r="BR20" t="s">
        <v>105</v>
      </c>
      <c r="BT20" t="s">
        <v>105</v>
      </c>
      <c r="BV20" t="s">
        <v>105</v>
      </c>
      <c r="BX20" t="s">
        <v>105</v>
      </c>
      <c r="BZ20" t="s">
        <v>105</v>
      </c>
      <c r="CB20" t="s">
        <v>105</v>
      </c>
      <c r="CD20">
        <v>0.1</v>
      </c>
      <c r="CE20" t="s">
        <v>96</v>
      </c>
      <c r="CF20">
        <v>0</v>
      </c>
      <c r="CG20" t="s">
        <v>96</v>
      </c>
      <c r="CH20">
        <v>0</v>
      </c>
      <c r="CI20" t="s">
        <v>96</v>
      </c>
      <c r="CJ20" t="s">
        <v>105</v>
      </c>
      <c r="CL20" t="s">
        <v>130</v>
      </c>
      <c r="CM20" t="s">
        <v>96</v>
      </c>
      <c r="CN20">
        <v>4.75</v>
      </c>
      <c r="CO20">
        <v>0</v>
      </c>
    </row>
    <row r="21" spans="1:93" x14ac:dyDescent="0.2">
      <c r="A21" s="3">
        <v>19</v>
      </c>
      <c r="B21" s="3" t="s">
        <v>246</v>
      </c>
      <c r="C21" s="3" t="s">
        <v>247</v>
      </c>
      <c r="D21" s="1"/>
      <c r="E21" s="1">
        <f t="shared" si="0"/>
        <v>6.8135864271321909</v>
      </c>
      <c r="F21" s="1">
        <f t="shared" si="1"/>
        <v>5.44</v>
      </c>
      <c r="G21" s="1">
        <f t="shared" si="2"/>
        <v>8.5340000000000007</v>
      </c>
      <c r="H21" s="1"/>
      <c r="I21" s="1">
        <v>42.8</v>
      </c>
      <c r="J21" s="1">
        <v>5.44</v>
      </c>
      <c r="K21" s="1">
        <v>0</v>
      </c>
      <c r="L21" s="1">
        <v>0.4</v>
      </c>
      <c r="M21" s="1"/>
      <c r="N21" s="1"/>
      <c r="O21" s="1">
        <v>0.8</v>
      </c>
      <c r="P21" s="1">
        <v>0.3</v>
      </c>
      <c r="Q21" s="1">
        <v>0.4</v>
      </c>
      <c r="R21" s="1">
        <v>2.3809523809523698</v>
      </c>
      <c r="S21" s="1">
        <v>-18.741331742599399</v>
      </c>
      <c r="T21" s="1">
        <v>-6.5105266896372003</v>
      </c>
      <c r="U21" s="1">
        <v>0</v>
      </c>
      <c r="V21" s="1">
        <v>0</v>
      </c>
      <c r="W21" s="1">
        <v>92.965000000000003</v>
      </c>
      <c r="X21" s="1">
        <v>4.2670000000000003</v>
      </c>
      <c r="Y21" s="1">
        <v>3.7185999999999999</v>
      </c>
      <c r="Z21" s="1">
        <v>8.5340000000000007</v>
      </c>
      <c r="AA21" s="1">
        <v>20210222</v>
      </c>
      <c r="AB21" s="1"/>
      <c r="AC21" s="1">
        <v>43</v>
      </c>
      <c r="AD21" s="1"/>
      <c r="AE21" s="1">
        <v>50</v>
      </c>
      <c r="AF21" s="1"/>
      <c r="AG21" s="1">
        <v>41.92</v>
      </c>
      <c r="AH21" s="1"/>
      <c r="AI21" s="1"/>
      <c r="AJ21" s="1">
        <v>5.6923076923076898</v>
      </c>
      <c r="AK21" s="1">
        <v>5</v>
      </c>
      <c r="AL21" s="1">
        <v>5492</v>
      </c>
      <c r="AM21" s="1">
        <v>5447</v>
      </c>
      <c r="AN21" s="1">
        <v>3280.8150000000001</v>
      </c>
      <c r="AO21" s="1">
        <v>4979</v>
      </c>
      <c r="AP21" s="1">
        <v>45</v>
      </c>
      <c r="AQ21" s="1">
        <v>13.7161040777977</v>
      </c>
      <c r="AR21" s="1">
        <v>10.303273749749</v>
      </c>
      <c r="AS21" s="1">
        <v>1.0303273749749</v>
      </c>
      <c r="AT21" s="1">
        <v>4.0999999999999996</v>
      </c>
      <c r="AU21" s="1"/>
      <c r="AV21" s="1" t="s">
        <v>248</v>
      </c>
      <c r="AW21" s="1" t="s">
        <v>100</v>
      </c>
      <c r="AX21" s="1" t="s">
        <v>249</v>
      </c>
      <c r="AY21" s="1" t="s">
        <v>100</v>
      </c>
      <c r="AZ21" s="1" t="s">
        <v>99</v>
      </c>
      <c r="BA21" s="1" t="s">
        <v>100</v>
      </c>
      <c r="BB21" s="1" t="s">
        <v>101</v>
      </c>
      <c r="BC21" s="1" t="s">
        <v>98</v>
      </c>
      <c r="BD21" s="1" t="s">
        <v>136</v>
      </c>
      <c r="BE21" s="1" t="s">
        <v>100</v>
      </c>
      <c r="BF21" s="1" t="s">
        <v>102</v>
      </c>
      <c r="BG21" s="1" t="s">
        <v>98</v>
      </c>
      <c r="BH21" s="1" t="s">
        <v>103</v>
      </c>
      <c r="BI21" t="s">
        <v>98</v>
      </c>
      <c r="BJ21" t="s">
        <v>250</v>
      </c>
      <c r="BK21" t="s">
        <v>98</v>
      </c>
      <c r="BL21" t="s">
        <v>251</v>
      </c>
      <c r="BM21" t="s">
        <v>100</v>
      </c>
      <c r="BN21" t="s">
        <v>252</v>
      </c>
      <c r="BO21" t="s">
        <v>100</v>
      </c>
      <c r="BP21" t="s">
        <v>169</v>
      </c>
      <c r="BQ21" t="s">
        <v>100</v>
      </c>
      <c r="BR21" t="s">
        <v>105</v>
      </c>
      <c r="BT21" t="s">
        <v>105</v>
      </c>
      <c r="BV21" t="s">
        <v>125</v>
      </c>
      <c r="BW21" t="s">
        <v>96</v>
      </c>
      <c r="BX21" t="s">
        <v>126</v>
      </c>
      <c r="BY21" t="s">
        <v>100</v>
      </c>
      <c r="BZ21" t="s">
        <v>253</v>
      </c>
      <c r="CA21" t="s">
        <v>98</v>
      </c>
      <c r="CB21" t="s">
        <v>105</v>
      </c>
      <c r="CD21">
        <v>2.4</v>
      </c>
      <c r="CE21" t="s">
        <v>100</v>
      </c>
      <c r="CF21">
        <v>0</v>
      </c>
      <c r="CG21" t="s">
        <v>96</v>
      </c>
      <c r="CH21">
        <v>1.4</v>
      </c>
      <c r="CI21" t="s">
        <v>96</v>
      </c>
      <c r="CJ21" t="s">
        <v>105</v>
      </c>
      <c r="CL21" t="s">
        <v>130</v>
      </c>
      <c r="CM21" t="s">
        <v>96</v>
      </c>
      <c r="CN21">
        <v>5.25</v>
      </c>
      <c r="CO21">
        <v>0</v>
      </c>
    </row>
    <row r="22" spans="1:93" x14ac:dyDescent="0.2">
      <c r="A22" s="3">
        <v>20</v>
      </c>
      <c r="B22" s="3" t="s">
        <v>254</v>
      </c>
      <c r="C22" s="3" t="s">
        <v>255</v>
      </c>
      <c r="D22" s="1"/>
      <c r="E22" s="1">
        <f t="shared" si="0"/>
        <v>6.8929172120596167</v>
      </c>
      <c r="F22" s="1">
        <f t="shared" si="1"/>
        <v>6.94</v>
      </c>
      <c r="G22" s="1">
        <f t="shared" si="2"/>
        <v>6.8461538461538503</v>
      </c>
      <c r="H22" s="1"/>
      <c r="I22" s="1">
        <v>35.299999999999997</v>
      </c>
      <c r="J22" s="1">
        <v>6.94</v>
      </c>
      <c r="K22" s="1">
        <v>0</v>
      </c>
      <c r="L22" s="1">
        <v>0.8</v>
      </c>
      <c r="M22" s="1"/>
      <c r="N22" s="1"/>
      <c r="O22" s="1">
        <v>0.5</v>
      </c>
      <c r="P22" s="1">
        <v>0</v>
      </c>
      <c r="Q22" s="1">
        <v>0.3</v>
      </c>
      <c r="R22" s="1">
        <v>0</v>
      </c>
      <c r="S22" s="1">
        <v>-3.5661573189790001</v>
      </c>
      <c r="T22" s="1">
        <v>-2.8944063073278401</v>
      </c>
      <c r="U22" s="1">
        <v>0</v>
      </c>
      <c r="V22" s="1">
        <v>0</v>
      </c>
      <c r="W22" s="1">
        <v>145.51300000000001</v>
      </c>
      <c r="X22" s="1">
        <v>0.95199999999999996</v>
      </c>
      <c r="Y22" s="1">
        <v>5.8205200000000001</v>
      </c>
      <c r="Z22" s="1">
        <v>1.9039999999999999</v>
      </c>
      <c r="AA22" s="1">
        <v>20210222</v>
      </c>
      <c r="AB22" s="1"/>
      <c r="AC22" s="1">
        <v>35.5</v>
      </c>
      <c r="AD22" s="1"/>
      <c r="AE22" s="1">
        <v>0</v>
      </c>
      <c r="AF22" s="1"/>
      <c r="AG22" s="1">
        <v>40.96</v>
      </c>
      <c r="AH22" s="1"/>
      <c r="AI22" s="1"/>
      <c r="AJ22" s="1">
        <v>6.8461538461538503</v>
      </c>
      <c r="AK22" s="1">
        <v>10</v>
      </c>
      <c r="AL22" s="1">
        <v>2331</v>
      </c>
      <c r="AM22" s="1">
        <v>2287</v>
      </c>
      <c r="AN22" s="1">
        <v>9449.3209999999999</v>
      </c>
      <c r="AO22" s="1">
        <v>1903</v>
      </c>
      <c r="AP22" s="1">
        <v>44</v>
      </c>
      <c r="AQ22" s="1">
        <v>4.6564192284292201</v>
      </c>
      <c r="AR22" s="1">
        <v>22.4908039936942</v>
      </c>
      <c r="AS22" s="1">
        <v>2.2490803993694199</v>
      </c>
      <c r="AT22" s="1">
        <v>3.8</v>
      </c>
      <c r="AU22" s="1"/>
      <c r="AV22" s="1" t="s">
        <v>256</v>
      </c>
      <c r="AW22" s="1" t="s">
        <v>96</v>
      </c>
      <c r="AX22" s="1" t="s">
        <v>257</v>
      </c>
      <c r="AY22" s="1" t="s">
        <v>100</v>
      </c>
      <c r="AZ22" s="1" t="s">
        <v>174</v>
      </c>
      <c r="BA22" s="1" t="s">
        <v>96</v>
      </c>
      <c r="BB22" s="1" t="s">
        <v>101</v>
      </c>
      <c r="BC22" s="1" t="s">
        <v>98</v>
      </c>
      <c r="BD22" s="1" t="s">
        <v>101</v>
      </c>
      <c r="BE22" s="1" t="s">
        <v>98</v>
      </c>
      <c r="BF22" s="1" t="s">
        <v>102</v>
      </c>
      <c r="BG22" s="1" t="s">
        <v>98</v>
      </c>
      <c r="BH22" s="1" t="s">
        <v>103</v>
      </c>
      <c r="BI22" t="s">
        <v>98</v>
      </c>
      <c r="BJ22" t="s">
        <v>258</v>
      </c>
      <c r="BK22" t="s">
        <v>98</v>
      </c>
      <c r="BL22" t="s">
        <v>140</v>
      </c>
      <c r="BM22" t="s">
        <v>96</v>
      </c>
      <c r="BN22" t="s">
        <v>259</v>
      </c>
      <c r="BO22" t="s">
        <v>98</v>
      </c>
      <c r="BP22" t="s">
        <v>124</v>
      </c>
      <c r="BQ22" t="s">
        <v>96</v>
      </c>
      <c r="BR22" t="s">
        <v>105</v>
      </c>
      <c r="BT22" t="s">
        <v>105</v>
      </c>
      <c r="BV22" t="s">
        <v>125</v>
      </c>
      <c r="BW22" t="s">
        <v>96</v>
      </c>
      <c r="BX22" t="s">
        <v>110</v>
      </c>
      <c r="BY22" t="s">
        <v>96</v>
      </c>
      <c r="BZ22" t="s">
        <v>141</v>
      </c>
      <c r="CA22" t="s">
        <v>96</v>
      </c>
      <c r="CB22" t="s">
        <v>105</v>
      </c>
      <c r="CD22">
        <v>0</v>
      </c>
      <c r="CE22" t="s">
        <v>96</v>
      </c>
      <c r="CF22">
        <v>0</v>
      </c>
      <c r="CG22" t="s">
        <v>96</v>
      </c>
      <c r="CH22">
        <v>0</v>
      </c>
      <c r="CI22" t="s">
        <v>96</v>
      </c>
      <c r="CJ22" t="s">
        <v>105</v>
      </c>
      <c r="CL22" t="s">
        <v>130</v>
      </c>
      <c r="CM22" t="s">
        <v>96</v>
      </c>
      <c r="CN22">
        <v>4.5</v>
      </c>
      <c r="CO22">
        <v>0</v>
      </c>
    </row>
    <row r="23" spans="1:93" x14ac:dyDescent="0.2">
      <c r="A23" s="3">
        <v>21</v>
      </c>
      <c r="B23" s="3" t="s">
        <v>260</v>
      </c>
      <c r="C23" s="3" t="s">
        <v>261</v>
      </c>
      <c r="D23" s="1"/>
      <c r="E23" s="1">
        <f t="shared" si="0"/>
        <v>8.7407093533648617</v>
      </c>
      <c r="F23" s="1">
        <f t="shared" si="1"/>
        <v>7.64</v>
      </c>
      <c r="G23" s="1">
        <f t="shared" si="2"/>
        <v>10</v>
      </c>
      <c r="H23" s="1"/>
      <c r="I23" s="1">
        <v>31.8</v>
      </c>
      <c r="J23" s="1">
        <v>7.64</v>
      </c>
      <c r="K23" s="1">
        <v>1</v>
      </c>
      <c r="L23" s="1">
        <v>0.5</v>
      </c>
      <c r="M23" s="1"/>
      <c r="N23" s="1"/>
      <c r="O23" s="1">
        <v>1</v>
      </c>
      <c r="P23" s="1">
        <v>0.7</v>
      </c>
      <c r="Q23" s="1">
        <v>0.8</v>
      </c>
      <c r="R23" s="1">
        <v>10</v>
      </c>
      <c r="S23" s="1">
        <v>-46.153846153846203</v>
      </c>
      <c r="T23" s="1">
        <v>-37.538467247886103</v>
      </c>
      <c r="U23" s="1">
        <v>0</v>
      </c>
      <c r="V23" s="1">
        <v>0</v>
      </c>
      <c r="W23" s="1">
        <v>35.569000000000003</v>
      </c>
      <c r="X23" s="1">
        <v>0.35899999999999999</v>
      </c>
      <c r="Y23" s="1">
        <v>1.42276</v>
      </c>
      <c r="Z23" s="1">
        <v>0.71799999999999997</v>
      </c>
      <c r="AA23" s="1">
        <v>20210222</v>
      </c>
      <c r="AB23" s="1"/>
      <c r="AC23" s="1">
        <v>68.33</v>
      </c>
      <c r="AD23" s="1"/>
      <c r="AE23" s="1">
        <v>62.5</v>
      </c>
      <c r="AF23" s="1"/>
      <c r="AG23" s="1">
        <v>69.23</v>
      </c>
      <c r="AH23" s="1"/>
      <c r="AI23" s="1"/>
      <c r="AJ23" s="1">
        <v>1.79538461538461</v>
      </c>
      <c r="AK23" s="1">
        <v>3.75</v>
      </c>
      <c r="AL23" s="1">
        <v>326</v>
      </c>
      <c r="AM23" s="1">
        <v>325</v>
      </c>
      <c r="AN23" s="1">
        <v>397.62099999999998</v>
      </c>
      <c r="AO23" s="1">
        <v>314</v>
      </c>
      <c r="AP23" s="1">
        <v>1</v>
      </c>
      <c r="AQ23" s="1">
        <v>2.5149577109860899</v>
      </c>
      <c r="AR23" s="1">
        <v>3.8216560509554101</v>
      </c>
      <c r="AS23" s="1">
        <v>0.38216560509553998</v>
      </c>
      <c r="AT23" s="1">
        <v>3.8</v>
      </c>
      <c r="AU23" s="1"/>
      <c r="AV23" s="1" t="s">
        <v>262</v>
      </c>
      <c r="AW23" s="1" t="s">
        <v>100</v>
      </c>
      <c r="AX23" s="1" t="s">
        <v>263</v>
      </c>
      <c r="AY23" s="1" t="s">
        <v>100</v>
      </c>
      <c r="AZ23" s="1" t="s">
        <v>99</v>
      </c>
      <c r="BA23" s="1" t="s">
        <v>100</v>
      </c>
      <c r="BB23" s="1" t="s">
        <v>119</v>
      </c>
      <c r="BC23" s="1" t="s">
        <v>96</v>
      </c>
      <c r="BD23" s="1" t="s">
        <v>136</v>
      </c>
      <c r="BE23" s="1" t="s">
        <v>100</v>
      </c>
      <c r="BF23" s="1" t="s">
        <v>137</v>
      </c>
      <c r="BG23" s="1" t="s">
        <v>100</v>
      </c>
      <c r="BH23" s="1" t="s">
        <v>147</v>
      </c>
      <c r="BI23" t="s">
        <v>96</v>
      </c>
      <c r="BJ23" t="s">
        <v>264</v>
      </c>
      <c r="BK23" t="s">
        <v>98</v>
      </c>
      <c r="BL23" t="s">
        <v>265</v>
      </c>
      <c r="BM23" t="s">
        <v>98</v>
      </c>
      <c r="BN23" t="s">
        <v>266</v>
      </c>
      <c r="BO23" t="s">
        <v>96</v>
      </c>
      <c r="BP23" t="s">
        <v>169</v>
      </c>
      <c r="BQ23" t="s">
        <v>100</v>
      </c>
      <c r="BR23" t="s">
        <v>105</v>
      </c>
      <c r="BT23" t="s">
        <v>105</v>
      </c>
      <c r="BV23" t="s">
        <v>125</v>
      </c>
      <c r="BW23" t="s">
        <v>96</v>
      </c>
      <c r="BX23" t="s">
        <v>126</v>
      </c>
      <c r="BY23" t="s">
        <v>100</v>
      </c>
      <c r="BZ23" t="s">
        <v>141</v>
      </c>
      <c r="CA23" t="s">
        <v>96</v>
      </c>
      <c r="CB23" t="s">
        <v>105</v>
      </c>
      <c r="CD23">
        <v>0</v>
      </c>
      <c r="CE23" t="s">
        <v>96</v>
      </c>
      <c r="CF23">
        <v>0</v>
      </c>
      <c r="CG23" t="s">
        <v>96</v>
      </c>
      <c r="CH23">
        <v>0</v>
      </c>
      <c r="CI23" t="s">
        <v>96</v>
      </c>
      <c r="CJ23" t="s">
        <v>105</v>
      </c>
      <c r="CL23" t="s">
        <v>130</v>
      </c>
      <c r="CM23" t="s">
        <v>96</v>
      </c>
      <c r="CN23">
        <v>4.5</v>
      </c>
      <c r="CO23">
        <v>0</v>
      </c>
    </row>
    <row r="24" spans="1:93" x14ac:dyDescent="0.2">
      <c r="A24" s="3">
        <v>22</v>
      </c>
      <c r="B24" s="3" t="s">
        <v>267</v>
      </c>
      <c r="C24" s="3" t="s">
        <v>268</v>
      </c>
      <c r="D24" s="1"/>
      <c r="E24" s="1">
        <f t="shared" si="0"/>
        <v>7.2234127881280834</v>
      </c>
      <c r="F24" s="1">
        <f t="shared" si="1"/>
        <v>7.25</v>
      </c>
      <c r="G24" s="1">
        <f t="shared" si="2"/>
        <v>7.1969230769230803</v>
      </c>
      <c r="H24" s="1"/>
      <c r="I24" s="1">
        <v>35.799999999999997</v>
      </c>
      <c r="J24" s="1">
        <v>6.84</v>
      </c>
      <c r="K24" s="1">
        <v>0</v>
      </c>
      <c r="L24" s="1">
        <v>0.1</v>
      </c>
      <c r="M24" s="1"/>
      <c r="N24" s="1"/>
      <c r="O24" s="1">
        <v>1</v>
      </c>
      <c r="P24" s="1">
        <v>0.8</v>
      </c>
      <c r="Q24" s="1">
        <v>0.5</v>
      </c>
      <c r="R24" s="1">
        <v>4.7619047619047397</v>
      </c>
      <c r="S24" s="1">
        <v>-23.568861428896501</v>
      </c>
      <c r="T24" s="1">
        <v>-46.478453484402202</v>
      </c>
      <c r="U24" s="1">
        <v>0</v>
      </c>
      <c r="V24" s="1">
        <v>0</v>
      </c>
      <c r="W24" s="1">
        <v>68.045000000000002</v>
      </c>
      <c r="X24" s="1">
        <v>2.9249999999999998</v>
      </c>
      <c r="Y24" s="1">
        <v>2.7218</v>
      </c>
      <c r="Z24" s="1">
        <v>5.85</v>
      </c>
      <c r="AA24" s="1">
        <v>20210222</v>
      </c>
      <c r="AB24" s="1"/>
      <c r="AC24" s="1">
        <v>33.22</v>
      </c>
      <c r="AD24" s="1"/>
      <c r="AE24" s="1">
        <v>50</v>
      </c>
      <c r="AF24" s="1"/>
      <c r="AG24" s="1">
        <v>30.64</v>
      </c>
      <c r="AH24" s="1"/>
      <c r="AI24" s="1"/>
      <c r="AJ24" s="1">
        <v>7.1969230769230803</v>
      </c>
      <c r="AK24" s="1">
        <v>5</v>
      </c>
      <c r="AL24" s="1">
        <v>12191</v>
      </c>
      <c r="AM24" s="1">
        <v>12165</v>
      </c>
      <c r="AN24" s="1">
        <v>11673.029</v>
      </c>
      <c r="AO24" s="1">
        <v>11417</v>
      </c>
      <c r="AP24" s="1">
        <v>26</v>
      </c>
      <c r="AQ24" s="1">
        <v>2.2273567554745202</v>
      </c>
      <c r="AR24" s="1">
        <v>6.7793641061574901</v>
      </c>
      <c r="AS24" s="1">
        <v>0.67793641061575005</v>
      </c>
      <c r="AT24" s="1">
        <v>4.9000000000000004</v>
      </c>
      <c r="AU24" s="1"/>
      <c r="AV24" s="1" t="s">
        <v>269</v>
      </c>
      <c r="AW24" s="1" t="s">
        <v>98</v>
      </c>
      <c r="AX24" s="1" t="s">
        <v>270</v>
      </c>
      <c r="AY24" s="1" t="s">
        <v>100</v>
      </c>
      <c r="AZ24" s="1" t="s">
        <v>99</v>
      </c>
      <c r="BA24" s="1" t="s">
        <v>100</v>
      </c>
      <c r="BB24" s="1" t="s">
        <v>146</v>
      </c>
      <c r="BC24" s="1" t="s">
        <v>100</v>
      </c>
      <c r="BD24" s="1" t="s">
        <v>120</v>
      </c>
      <c r="BE24" s="1" t="s">
        <v>100</v>
      </c>
      <c r="BF24" s="1" t="s">
        <v>137</v>
      </c>
      <c r="BG24" s="1" t="s">
        <v>100</v>
      </c>
      <c r="BH24" s="1" t="s">
        <v>103</v>
      </c>
      <c r="BI24" t="s">
        <v>98</v>
      </c>
      <c r="BJ24" t="s">
        <v>271</v>
      </c>
      <c r="BK24" t="s">
        <v>98</v>
      </c>
      <c r="BL24" t="s">
        <v>272</v>
      </c>
      <c r="BM24" t="s">
        <v>100</v>
      </c>
      <c r="BN24" t="s">
        <v>273</v>
      </c>
      <c r="BO24" t="s">
        <v>96</v>
      </c>
      <c r="BP24" t="s">
        <v>169</v>
      </c>
      <c r="BQ24" t="s">
        <v>100</v>
      </c>
      <c r="BR24" t="s">
        <v>105</v>
      </c>
      <c r="BT24" t="s">
        <v>274</v>
      </c>
      <c r="BU24" t="s">
        <v>98</v>
      </c>
      <c r="BV24" t="s">
        <v>125</v>
      </c>
      <c r="BW24" t="s">
        <v>96</v>
      </c>
      <c r="BX24" t="s">
        <v>200</v>
      </c>
      <c r="BY24" t="s">
        <v>100</v>
      </c>
      <c r="BZ24" t="s">
        <v>127</v>
      </c>
      <c r="CA24" t="s">
        <v>100</v>
      </c>
      <c r="CB24" t="s">
        <v>105</v>
      </c>
      <c r="CD24">
        <v>5.5</v>
      </c>
      <c r="CE24" t="s">
        <v>100</v>
      </c>
      <c r="CF24">
        <v>0</v>
      </c>
      <c r="CG24" t="s">
        <v>96</v>
      </c>
      <c r="CH24">
        <v>4.0999999999999996</v>
      </c>
      <c r="CI24" t="s">
        <v>100</v>
      </c>
      <c r="CJ24" t="s">
        <v>112</v>
      </c>
      <c r="CK24" t="s">
        <v>96</v>
      </c>
      <c r="CL24" t="s">
        <v>130</v>
      </c>
      <c r="CM24" t="s">
        <v>96</v>
      </c>
      <c r="CN24">
        <v>7.25</v>
      </c>
      <c r="CO24">
        <v>0</v>
      </c>
    </row>
    <row r="25" spans="1:93" x14ac:dyDescent="0.2">
      <c r="A25" s="3">
        <v>23</v>
      </c>
      <c r="B25" s="3" t="s">
        <v>275</v>
      </c>
      <c r="C25" s="3" t="s">
        <v>276</v>
      </c>
      <c r="D25" s="1"/>
      <c r="E25" s="1">
        <f t="shared" si="0"/>
        <v>6.1237243569579451</v>
      </c>
      <c r="F25" s="1">
        <f t="shared" si="1"/>
        <v>3.75</v>
      </c>
      <c r="G25" s="1">
        <f t="shared" si="2"/>
        <v>10</v>
      </c>
      <c r="H25" s="1"/>
      <c r="I25" s="1">
        <v>59.7</v>
      </c>
      <c r="J25" s="1">
        <v>2.06</v>
      </c>
      <c r="K25" s="1">
        <v>0</v>
      </c>
      <c r="L25" s="1">
        <v>0.2</v>
      </c>
      <c r="M25" s="1"/>
      <c r="N25" s="1"/>
      <c r="O25" s="1">
        <v>1</v>
      </c>
      <c r="P25" s="1">
        <v>0.5</v>
      </c>
      <c r="Q25" s="1">
        <v>0.4</v>
      </c>
      <c r="R25" s="1">
        <v>2.3809523809523698</v>
      </c>
      <c r="S25" s="1">
        <v>16.2297283119314</v>
      </c>
      <c r="T25" s="1">
        <v>6.0911026110003199</v>
      </c>
      <c r="U25" s="1">
        <v>1.0819818874620999</v>
      </c>
      <c r="V25" s="1">
        <v>0.40607350740002202</v>
      </c>
      <c r="W25" s="1">
        <v>224.24700000000001</v>
      </c>
      <c r="X25" s="1">
        <v>4.8789999999999996</v>
      </c>
      <c r="Y25" s="1">
        <v>8.9698799999999999</v>
      </c>
      <c r="Z25" s="1">
        <v>9.7579999999999991</v>
      </c>
      <c r="AA25" s="1">
        <v>20210222</v>
      </c>
      <c r="AB25" s="1"/>
      <c r="AC25" s="1"/>
      <c r="AD25" s="1"/>
      <c r="AE25" s="1"/>
      <c r="AF25" s="1"/>
      <c r="AG25" s="1"/>
      <c r="AH25" s="1"/>
      <c r="AI25" s="1"/>
      <c r="AJ25" s="1"/>
      <c r="AK25" s="1"/>
      <c r="AL25" s="1">
        <v>291329</v>
      </c>
      <c r="AM25" s="1">
        <v>287572</v>
      </c>
      <c r="AN25" s="1">
        <v>212559.40900000001</v>
      </c>
      <c r="AO25" s="1">
        <v>245977</v>
      </c>
      <c r="AP25" s="1">
        <v>3757</v>
      </c>
      <c r="AQ25" s="1">
        <v>17.675058552689102</v>
      </c>
      <c r="AR25" s="1">
        <v>18.437496188668099</v>
      </c>
      <c r="AS25" s="1">
        <v>1.8437496188668101</v>
      </c>
      <c r="AT25" s="1">
        <v>3.5</v>
      </c>
      <c r="AU25" s="1"/>
      <c r="AV25" s="1" t="s">
        <v>277</v>
      </c>
      <c r="AW25" s="1" t="s">
        <v>98</v>
      </c>
      <c r="AX25" s="1" t="s">
        <v>173</v>
      </c>
      <c r="AY25" s="1" t="s">
        <v>100</v>
      </c>
      <c r="AZ25" s="1" t="s">
        <v>99</v>
      </c>
      <c r="BA25" s="1" t="s">
        <v>100</v>
      </c>
      <c r="BB25" s="1" t="s">
        <v>119</v>
      </c>
      <c r="BC25" s="1" t="s">
        <v>96</v>
      </c>
      <c r="BD25" s="1" t="s">
        <v>136</v>
      </c>
      <c r="BE25" s="1" t="s">
        <v>100</v>
      </c>
      <c r="BF25" s="1" t="s">
        <v>137</v>
      </c>
      <c r="BG25" s="1" t="s">
        <v>100</v>
      </c>
      <c r="BH25" s="1" t="s">
        <v>121</v>
      </c>
      <c r="BI25" t="s">
        <v>100</v>
      </c>
      <c r="BJ25" t="s">
        <v>278</v>
      </c>
      <c r="BK25" t="s">
        <v>98</v>
      </c>
      <c r="BL25" t="s">
        <v>279</v>
      </c>
      <c r="BM25" t="s">
        <v>100</v>
      </c>
      <c r="BN25" t="s">
        <v>280</v>
      </c>
      <c r="BO25" t="s">
        <v>96</v>
      </c>
      <c r="BP25" t="s">
        <v>107</v>
      </c>
      <c r="BQ25" t="s">
        <v>96</v>
      </c>
      <c r="BR25" t="s">
        <v>105</v>
      </c>
      <c r="BT25" t="s">
        <v>281</v>
      </c>
      <c r="BU25" t="s">
        <v>98</v>
      </c>
      <c r="BV25" t="s">
        <v>125</v>
      </c>
      <c r="BW25" t="s">
        <v>96</v>
      </c>
      <c r="BX25" t="s">
        <v>126</v>
      </c>
      <c r="BY25" t="s">
        <v>100</v>
      </c>
      <c r="BZ25" t="s">
        <v>141</v>
      </c>
      <c r="CA25" t="s">
        <v>96</v>
      </c>
      <c r="CB25" t="s">
        <v>282</v>
      </c>
      <c r="CC25" t="s">
        <v>98</v>
      </c>
      <c r="CD25">
        <v>4.3</v>
      </c>
      <c r="CE25" t="s">
        <v>100</v>
      </c>
      <c r="CF25">
        <v>0</v>
      </c>
      <c r="CG25" t="s">
        <v>96</v>
      </c>
      <c r="CH25">
        <v>4.5</v>
      </c>
      <c r="CI25" t="s">
        <v>100</v>
      </c>
      <c r="CJ25" t="s">
        <v>105</v>
      </c>
      <c r="CL25" t="s">
        <v>98</v>
      </c>
      <c r="CM25" t="s">
        <v>98</v>
      </c>
      <c r="CN25">
        <v>3.75</v>
      </c>
      <c r="CO25">
        <v>10</v>
      </c>
    </row>
    <row r="26" spans="1:93" x14ac:dyDescent="0.2">
      <c r="A26" s="3">
        <v>51</v>
      </c>
      <c r="B26" s="3" t="s">
        <v>283</v>
      </c>
      <c r="C26" s="3" t="s">
        <v>284</v>
      </c>
      <c r="D26" s="1"/>
      <c r="E26" s="1">
        <f t="shared" si="0"/>
        <v>8.7292611371180779</v>
      </c>
      <c r="F26" s="1">
        <f t="shared" si="1"/>
        <v>7.62</v>
      </c>
      <c r="G26" s="1">
        <f t="shared" si="2"/>
        <v>10</v>
      </c>
      <c r="H26" s="1"/>
      <c r="I26" s="1">
        <v>31.9</v>
      </c>
      <c r="J26" s="1">
        <v>7.62</v>
      </c>
      <c r="K26" s="1">
        <v>0.9</v>
      </c>
      <c r="L26" s="1">
        <v>0.7</v>
      </c>
      <c r="M26" s="1"/>
      <c r="N26" s="1"/>
      <c r="O26" s="1">
        <v>0.2</v>
      </c>
      <c r="P26" s="1">
        <v>0.8</v>
      </c>
      <c r="Q26" s="1">
        <v>0.7</v>
      </c>
      <c r="R26" s="1">
        <v>9.5238095238094793</v>
      </c>
      <c r="S26" s="1">
        <v>74.996131741821401</v>
      </c>
      <c r="T26" s="1">
        <v>238.36832160097401</v>
      </c>
      <c r="U26" s="1">
        <v>4.9997421161214302</v>
      </c>
      <c r="V26" s="1">
        <v>10</v>
      </c>
      <c r="W26" s="1">
        <v>353.45100000000002</v>
      </c>
      <c r="X26" s="1">
        <v>3.9769999999999999</v>
      </c>
      <c r="Y26" s="1">
        <v>10</v>
      </c>
      <c r="Z26" s="1">
        <v>7.9539999999999997</v>
      </c>
      <c r="AA26" s="1">
        <v>20210222</v>
      </c>
      <c r="AB26" s="1"/>
      <c r="AC26" s="1">
        <v>65.56</v>
      </c>
      <c r="AD26" s="1"/>
      <c r="AE26" s="1">
        <v>37.5</v>
      </c>
      <c r="AF26" s="1"/>
      <c r="AG26" s="1">
        <v>69.87</v>
      </c>
      <c r="AH26" s="1"/>
      <c r="AI26" s="1"/>
      <c r="AJ26" s="1">
        <v>2.2215384615384601</v>
      </c>
      <c r="AK26" s="1">
        <v>6.25</v>
      </c>
      <c r="AL26" s="1">
        <v>188</v>
      </c>
      <c r="AM26" s="1">
        <v>151</v>
      </c>
      <c r="AN26" s="1">
        <v>287.37099999999998</v>
      </c>
      <c r="AO26" s="1">
        <v>31</v>
      </c>
      <c r="AP26" s="1">
        <v>37</v>
      </c>
      <c r="AQ26" s="1">
        <v>128.753423275139</v>
      </c>
      <c r="AR26" s="1">
        <v>506.45161290322602</v>
      </c>
      <c r="AS26" s="1">
        <v>10</v>
      </c>
      <c r="AT26" s="1">
        <v>4</v>
      </c>
      <c r="AU26" s="1"/>
      <c r="AV26" s="1" t="s">
        <v>285</v>
      </c>
      <c r="AW26" s="1" t="s">
        <v>100</v>
      </c>
      <c r="AX26" s="1" t="s">
        <v>211</v>
      </c>
      <c r="AY26" s="1" t="s">
        <v>100</v>
      </c>
      <c r="AZ26" s="1" t="s">
        <v>118</v>
      </c>
      <c r="BA26" s="1" t="s">
        <v>100</v>
      </c>
      <c r="BB26" s="1" t="s">
        <v>101</v>
      </c>
      <c r="BC26" s="1" t="s">
        <v>98</v>
      </c>
      <c r="BD26" s="1" t="s">
        <v>136</v>
      </c>
      <c r="BE26" s="1" t="s">
        <v>100</v>
      </c>
      <c r="BF26" s="1" t="s">
        <v>137</v>
      </c>
      <c r="BG26" s="1" t="s">
        <v>100</v>
      </c>
      <c r="BH26" s="1" t="s">
        <v>147</v>
      </c>
      <c r="BI26" t="s">
        <v>96</v>
      </c>
      <c r="BJ26" t="s">
        <v>286</v>
      </c>
      <c r="BK26" t="s">
        <v>98</v>
      </c>
      <c r="BL26" t="s">
        <v>287</v>
      </c>
      <c r="BM26" t="s">
        <v>100</v>
      </c>
      <c r="BN26" t="s">
        <v>288</v>
      </c>
      <c r="BO26" t="s">
        <v>96</v>
      </c>
      <c r="BP26" t="s">
        <v>169</v>
      </c>
      <c r="BQ26" t="s">
        <v>100</v>
      </c>
      <c r="BR26" t="s">
        <v>105</v>
      </c>
      <c r="BT26" t="s">
        <v>105</v>
      </c>
      <c r="BV26" t="s">
        <v>125</v>
      </c>
      <c r="BW26" t="s">
        <v>96</v>
      </c>
      <c r="BX26" t="s">
        <v>126</v>
      </c>
      <c r="BY26" t="s">
        <v>100</v>
      </c>
      <c r="BZ26" t="s">
        <v>141</v>
      </c>
      <c r="CA26" t="s">
        <v>96</v>
      </c>
      <c r="CB26" t="s">
        <v>105</v>
      </c>
      <c r="CD26">
        <v>0.1</v>
      </c>
      <c r="CE26" t="s">
        <v>96</v>
      </c>
      <c r="CF26">
        <v>0</v>
      </c>
      <c r="CG26" t="s">
        <v>96</v>
      </c>
      <c r="CH26">
        <v>0.5</v>
      </c>
      <c r="CI26" t="s">
        <v>96</v>
      </c>
      <c r="CJ26" t="s">
        <v>105</v>
      </c>
      <c r="CL26" t="s">
        <v>130</v>
      </c>
      <c r="CM26" t="s">
        <v>96</v>
      </c>
      <c r="CN26">
        <v>5</v>
      </c>
      <c r="CO26">
        <v>0</v>
      </c>
    </row>
    <row r="27" spans="1:93" x14ac:dyDescent="0.2">
      <c r="A27" s="3">
        <v>52</v>
      </c>
      <c r="B27" s="3" t="s">
        <v>289</v>
      </c>
      <c r="C27" s="3" t="s">
        <v>290</v>
      </c>
      <c r="D27" s="1"/>
      <c r="E27" s="1">
        <f t="shared" si="0"/>
        <v>6.3969800567262869</v>
      </c>
      <c r="F27" s="1">
        <f t="shared" si="1"/>
        <v>7.48</v>
      </c>
      <c r="G27" s="1">
        <f t="shared" si="2"/>
        <v>5.4707692307692302</v>
      </c>
      <c r="H27" s="1"/>
      <c r="I27" s="1">
        <v>32.6</v>
      </c>
      <c r="J27" s="1">
        <v>7.48</v>
      </c>
      <c r="K27" s="1"/>
      <c r="L27" s="1"/>
      <c r="M27" s="1"/>
      <c r="N27" s="1"/>
      <c r="O27" s="1"/>
      <c r="P27" s="1"/>
      <c r="Q27" s="1"/>
      <c r="R27" s="1"/>
      <c r="S27" s="1">
        <v>0.01</v>
      </c>
      <c r="T27" s="1">
        <v>0.01</v>
      </c>
      <c r="U27" s="1">
        <v>6.6666666666748099E-4</v>
      </c>
      <c r="V27" s="1">
        <v>6.6666666666748099E-4</v>
      </c>
      <c r="W27" s="1">
        <v>0.32700000000000001</v>
      </c>
      <c r="X27" s="1">
        <v>0</v>
      </c>
      <c r="Y27" s="1">
        <v>1.30800000000004E-2</v>
      </c>
      <c r="Z27" s="1">
        <v>0</v>
      </c>
      <c r="AA27" s="1">
        <v>20210222</v>
      </c>
      <c r="AB27" s="1"/>
      <c r="AC27" s="1">
        <v>44.44</v>
      </c>
      <c r="AD27" s="1"/>
      <c r="AE27" s="1">
        <v>50</v>
      </c>
      <c r="AF27" s="1"/>
      <c r="AG27" s="1">
        <v>43.59</v>
      </c>
      <c r="AH27" s="1"/>
      <c r="AI27" s="1"/>
      <c r="AJ27" s="1">
        <v>5.4707692307692302</v>
      </c>
      <c r="AK27" s="1">
        <v>5</v>
      </c>
      <c r="AL27" s="1">
        <v>3</v>
      </c>
      <c r="AM27" s="1">
        <v>3</v>
      </c>
      <c r="AN27" s="1">
        <v>437.483</v>
      </c>
      <c r="AO27" s="1">
        <v>3</v>
      </c>
      <c r="AP27" s="1">
        <v>0</v>
      </c>
      <c r="AQ27" s="1">
        <v>0</v>
      </c>
      <c r="AR27" s="1">
        <v>0</v>
      </c>
      <c r="AS27" s="1">
        <v>0</v>
      </c>
      <c r="AT27" s="1">
        <v>3.1</v>
      </c>
      <c r="AU27" s="1"/>
      <c r="AV27" s="1" t="s">
        <v>291</v>
      </c>
      <c r="AW27" s="1" t="s">
        <v>96</v>
      </c>
      <c r="AX27" s="1" t="s">
        <v>292</v>
      </c>
      <c r="AY27" s="1" t="s">
        <v>100</v>
      </c>
      <c r="AZ27" s="1" t="s">
        <v>118</v>
      </c>
      <c r="BA27" s="1" t="s">
        <v>100</v>
      </c>
      <c r="BB27" s="1" t="s">
        <v>101</v>
      </c>
      <c r="BC27" s="1" t="s">
        <v>98</v>
      </c>
      <c r="BD27" s="1" t="s">
        <v>101</v>
      </c>
      <c r="BE27" s="1" t="s">
        <v>98</v>
      </c>
      <c r="BF27" s="1" t="s">
        <v>102</v>
      </c>
      <c r="BG27" s="1" t="s">
        <v>98</v>
      </c>
      <c r="BH27" s="1" t="s">
        <v>147</v>
      </c>
      <c r="BI27" t="s">
        <v>96</v>
      </c>
      <c r="BJ27" t="s">
        <v>293</v>
      </c>
      <c r="BK27" t="s">
        <v>100</v>
      </c>
      <c r="BL27" t="s">
        <v>294</v>
      </c>
      <c r="BM27" t="s">
        <v>100</v>
      </c>
      <c r="BN27" t="s">
        <v>295</v>
      </c>
      <c r="BO27" t="s">
        <v>96</v>
      </c>
      <c r="BP27" t="s">
        <v>124</v>
      </c>
      <c r="BQ27" t="s">
        <v>96</v>
      </c>
      <c r="BR27" t="s">
        <v>105</v>
      </c>
      <c r="BT27" t="s">
        <v>105</v>
      </c>
      <c r="BV27" t="s">
        <v>125</v>
      </c>
      <c r="BW27" t="s">
        <v>96</v>
      </c>
      <c r="BX27" t="s">
        <v>110</v>
      </c>
      <c r="BY27" t="s">
        <v>96</v>
      </c>
      <c r="BZ27" t="s">
        <v>141</v>
      </c>
      <c r="CA27" t="s">
        <v>96</v>
      </c>
      <c r="CB27" t="s">
        <v>105</v>
      </c>
      <c r="CD27">
        <v>0</v>
      </c>
      <c r="CE27" t="s">
        <v>96</v>
      </c>
      <c r="CF27">
        <v>0</v>
      </c>
      <c r="CG27" t="s">
        <v>96</v>
      </c>
      <c r="CH27">
        <v>0</v>
      </c>
      <c r="CI27" t="s">
        <v>96</v>
      </c>
      <c r="CJ27" t="s">
        <v>105</v>
      </c>
      <c r="CL27" t="s">
        <v>130</v>
      </c>
      <c r="CM27" t="s">
        <v>96</v>
      </c>
      <c r="CN27">
        <v>2.75</v>
      </c>
      <c r="CO27">
        <v>0</v>
      </c>
    </row>
    <row r="28" spans="1:93" x14ac:dyDescent="0.2">
      <c r="A28" s="3">
        <v>53</v>
      </c>
      <c r="B28" s="3" t="s">
        <v>296</v>
      </c>
      <c r="C28" s="3" t="s">
        <v>297</v>
      </c>
      <c r="D28" s="1"/>
      <c r="E28" s="1">
        <f t="shared" si="0"/>
        <v>7.7071395471990778</v>
      </c>
      <c r="F28" s="1">
        <f t="shared" si="1"/>
        <v>5.94</v>
      </c>
      <c r="G28" s="1">
        <f t="shared" si="2"/>
        <v>10</v>
      </c>
      <c r="H28" s="1"/>
      <c r="I28" s="1">
        <v>40.299999999999997</v>
      </c>
      <c r="J28" s="1">
        <v>5.94</v>
      </c>
      <c r="K28" s="1">
        <v>1</v>
      </c>
      <c r="L28" s="1">
        <v>0.7</v>
      </c>
      <c r="M28" s="1"/>
      <c r="N28" s="1"/>
      <c r="O28" s="1">
        <v>1</v>
      </c>
      <c r="P28" s="1"/>
      <c r="Q28" s="1">
        <v>0.9</v>
      </c>
      <c r="R28" s="1">
        <v>10</v>
      </c>
      <c r="S28" s="1">
        <v>0.01</v>
      </c>
      <c r="T28" s="1">
        <v>0.01</v>
      </c>
      <c r="U28" s="1">
        <v>6.6666666666748099E-4</v>
      </c>
      <c r="V28" s="1">
        <v>6.6666666666748099E-4</v>
      </c>
      <c r="W28" s="1">
        <v>0.37</v>
      </c>
      <c r="X28" s="1">
        <v>0</v>
      </c>
      <c r="Y28" s="1">
        <v>1.4800000000001E-2</v>
      </c>
      <c r="Z28" s="1">
        <v>0</v>
      </c>
      <c r="AA28" s="1">
        <v>20210222</v>
      </c>
      <c r="AB28" s="1"/>
      <c r="AC28" s="1">
        <v>54.94</v>
      </c>
      <c r="AD28" s="1"/>
      <c r="AE28" s="1">
        <v>75</v>
      </c>
      <c r="AF28" s="1"/>
      <c r="AG28" s="1">
        <v>51.86</v>
      </c>
      <c r="AH28" s="1"/>
      <c r="AI28" s="1"/>
      <c r="AJ28" s="1">
        <v>3.8553846153846201</v>
      </c>
      <c r="AK28" s="1">
        <v>2.5</v>
      </c>
      <c r="AL28" s="1">
        <v>1</v>
      </c>
      <c r="AM28" s="1">
        <v>1</v>
      </c>
      <c r="AN28" s="1">
        <v>771.61199999999997</v>
      </c>
      <c r="AO28" s="1">
        <v>1</v>
      </c>
      <c r="AP28" s="1">
        <v>0</v>
      </c>
      <c r="AQ28" s="1">
        <v>0</v>
      </c>
      <c r="AR28" s="1">
        <v>0</v>
      </c>
      <c r="AS28" s="1">
        <v>0</v>
      </c>
      <c r="AT28" s="1">
        <v>4.2</v>
      </c>
      <c r="AU28" s="1"/>
      <c r="AV28" s="1" t="s">
        <v>298</v>
      </c>
      <c r="AW28" s="1" t="s">
        <v>96</v>
      </c>
      <c r="AX28" s="1" t="s">
        <v>299</v>
      </c>
      <c r="AY28" s="1" t="s">
        <v>96</v>
      </c>
      <c r="AZ28" s="1" t="s">
        <v>135</v>
      </c>
      <c r="BA28" s="1" t="s">
        <v>100</v>
      </c>
      <c r="BB28" s="1" t="s">
        <v>119</v>
      </c>
      <c r="BC28" s="1" t="s">
        <v>96</v>
      </c>
      <c r="BD28" s="1" t="s">
        <v>136</v>
      </c>
      <c r="BE28" s="1" t="s">
        <v>100</v>
      </c>
      <c r="BF28" s="1" t="s">
        <v>137</v>
      </c>
      <c r="BG28" s="1" t="s">
        <v>100</v>
      </c>
      <c r="BH28" s="1" t="s">
        <v>147</v>
      </c>
      <c r="BI28" t="s">
        <v>96</v>
      </c>
      <c r="BJ28" t="s">
        <v>207</v>
      </c>
      <c r="BK28" t="s">
        <v>100</v>
      </c>
      <c r="BL28" t="s">
        <v>105</v>
      </c>
      <c r="BN28" t="s">
        <v>300</v>
      </c>
      <c r="BO28" t="s">
        <v>100</v>
      </c>
      <c r="BP28" t="s">
        <v>124</v>
      </c>
      <c r="BQ28" t="s">
        <v>96</v>
      </c>
      <c r="BR28" t="s">
        <v>105</v>
      </c>
      <c r="BT28" t="s">
        <v>105</v>
      </c>
      <c r="BV28" t="s">
        <v>125</v>
      </c>
      <c r="BW28" t="s">
        <v>96</v>
      </c>
      <c r="BX28" t="s">
        <v>126</v>
      </c>
      <c r="BY28" t="s">
        <v>100</v>
      </c>
      <c r="BZ28" t="s">
        <v>141</v>
      </c>
      <c r="CA28" t="s">
        <v>96</v>
      </c>
      <c r="CB28" t="s">
        <v>105</v>
      </c>
      <c r="CD28">
        <v>0</v>
      </c>
      <c r="CE28" t="s">
        <v>96</v>
      </c>
      <c r="CF28">
        <v>0</v>
      </c>
      <c r="CG28" t="s">
        <v>96</v>
      </c>
      <c r="CH28">
        <v>0</v>
      </c>
      <c r="CI28" t="s">
        <v>96</v>
      </c>
      <c r="CJ28" t="s">
        <v>105</v>
      </c>
      <c r="CL28" t="s">
        <v>130</v>
      </c>
      <c r="CM28" t="s">
        <v>96</v>
      </c>
      <c r="CN28">
        <v>5.5</v>
      </c>
      <c r="CO28">
        <v>0</v>
      </c>
    </row>
    <row r="29" spans="1:93" x14ac:dyDescent="0.2">
      <c r="A29" s="3">
        <v>54</v>
      </c>
      <c r="B29" s="3" t="s">
        <v>301</v>
      </c>
      <c r="C29" s="3" t="s">
        <v>302</v>
      </c>
      <c r="D29" s="1"/>
      <c r="E29" s="1">
        <f t="shared" si="0"/>
        <v>8.6078590889510824</v>
      </c>
      <c r="F29" s="1">
        <f t="shared" si="1"/>
        <v>7.78</v>
      </c>
      <c r="G29" s="1">
        <f t="shared" si="2"/>
        <v>9.5238095238094793</v>
      </c>
      <c r="H29" s="1"/>
      <c r="I29" s="1">
        <v>31.1</v>
      </c>
      <c r="J29" s="1">
        <v>7.78</v>
      </c>
      <c r="K29" s="1">
        <v>0.8</v>
      </c>
      <c r="L29" s="1">
        <v>0.5</v>
      </c>
      <c r="M29" s="1"/>
      <c r="N29" s="1"/>
      <c r="O29" s="1">
        <v>1</v>
      </c>
      <c r="P29" s="1">
        <v>0.6</v>
      </c>
      <c r="Q29" s="1">
        <v>0.7</v>
      </c>
      <c r="R29" s="1">
        <v>9.5238095238094793</v>
      </c>
      <c r="S29" s="1">
        <v>46.8544026522477</v>
      </c>
      <c r="T29" s="1">
        <v>-40.437073255959</v>
      </c>
      <c r="U29" s="1">
        <v>3.12362684348318</v>
      </c>
      <c r="V29" s="1">
        <v>0</v>
      </c>
      <c r="W29" s="1">
        <v>97.075999999999993</v>
      </c>
      <c r="X29" s="1">
        <v>3.1589999999999998</v>
      </c>
      <c r="Y29" s="1">
        <v>3.8830399999999998</v>
      </c>
      <c r="Z29" s="1">
        <v>6.3179999999999996</v>
      </c>
      <c r="AA29" s="1">
        <v>20210222</v>
      </c>
      <c r="AB29" s="1">
        <v>51.67</v>
      </c>
      <c r="AC29" s="1">
        <v>51.67</v>
      </c>
      <c r="AD29" s="1">
        <v>0</v>
      </c>
      <c r="AE29" s="1">
        <v>0</v>
      </c>
      <c r="AF29" s="1">
        <v>59.62</v>
      </c>
      <c r="AG29" s="1">
        <v>59.62</v>
      </c>
      <c r="AH29" s="1">
        <v>0</v>
      </c>
      <c r="AI29" s="1"/>
      <c r="AJ29" s="1">
        <v>4.3584615384615404</v>
      </c>
      <c r="AK29" s="1">
        <v>10</v>
      </c>
      <c r="AL29" s="1">
        <v>461</v>
      </c>
      <c r="AM29" s="1">
        <v>438</v>
      </c>
      <c r="AN29" s="1">
        <v>2351.625</v>
      </c>
      <c r="AO29" s="1">
        <v>254</v>
      </c>
      <c r="AP29" s="1">
        <v>23</v>
      </c>
      <c r="AQ29" s="1">
        <v>9.7804709509381809</v>
      </c>
      <c r="AR29" s="1">
        <v>81.496062992125999</v>
      </c>
      <c r="AS29" s="1">
        <v>8.1496062992125999</v>
      </c>
      <c r="AT29" s="1">
        <v>4.7</v>
      </c>
      <c r="AU29" s="1"/>
      <c r="AV29" s="1" t="s">
        <v>303</v>
      </c>
      <c r="AW29" s="1" t="s">
        <v>98</v>
      </c>
      <c r="AX29" s="1" t="s">
        <v>304</v>
      </c>
      <c r="AY29" s="1" t="s">
        <v>100</v>
      </c>
      <c r="AZ29" s="1" t="s">
        <v>99</v>
      </c>
      <c r="BA29" s="1" t="s">
        <v>100</v>
      </c>
      <c r="BB29" s="1" t="s">
        <v>119</v>
      </c>
      <c r="BC29" s="1" t="s">
        <v>96</v>
      </c>
      <c r="BD29" s="1" t="s">
        <v>136</v>
      </c>
      <c r="BE29" s="1" t="s">
        <v>100</v>
      </c>
      <c r="BF29" s="1" t="s">
        <v>102</v>
      </c>
      <c r="BG29" s="1" t="s">
        <v>98</v>
      </c>
      <c r="BH29" s="1" t="s">
        <v>103</v>
      </c>
      <c r="BI29" t="s">
        <v>98</v>
      </c>
      <c r="BJ29" t="s">
        <v>305</v>
      </c>
      <c r="BK29" t="s">
        <v>98</v>
      </c>
      <c r="BL29" t="s">
        <v>105</v>
      </c>
      <c r="BN29" t="s">
        <v>306</v>
      </c>
      <c r="BO29" t="s">
        <v>96</v>
      </c>
      <c r="BP29" t="s">
        <v>124</v>
      </c>
      <c r="BQ29" t="s">
        <v>96</v>
      </c>
      <c r="BR29" t="s">
        <v>105</v>
      </c>
      <c r="BT29" t="s">
        <v>105</v>
      </c>
      <c r="BV29" t="s">
        <v>125</v>
      </c>
      <c r="BW29" t="s">
        <v>96</v>
      </c>
      <c r="BX29" t="s">
        <v>126</v>
      </c>
      <c r="BY29" t="s">
        <v>100</v>
      </c>
      <c r="BZ29" t="s">
        <v>141</v>
      </c>
      <c r="CA29" t="s">
        <v>96</v>
      </c>
      <c r="CB29" t="s">
        <v>105</v>
      </c>
      <c r="CD29">
        <v>4.8</v>
      </c>
      <c r="CE29" t="s">
        <v>100</v>
      </c>
      <c r="CF29">
        <v>0</v>
      </c>
      <c r="CG29" t="s">
        <v>96</v>
      </c>
      <c r="CH29">
        <v>6.2</v>
      </c>
      <c r="CI29" t="s">
        <v>100</v>
      </c>
      <c r="CJ29" t="s">
        <v>112</v>
      </c>
      <c r="CK29" t="s">
        <v>96</v>
      </c>
      <c r="CL29" t="s">
        <v>130</v>
      </c>
      <c r="CM29" t="s">
        <v>96</v>
      </c>
      <c r="CN29">
        <v>6.75</v>
      </c>
      <c r="CO29">
        <v>0</v>
      </c>
    </row>
    <row r="30" spans="1:93" x14ac:dyDescent="0.2">
      <c r="A30" s="3">
        <v>55</v>
      </c>
      <c r="B30" s="3" t="s">
        <v>307</v>
      </c>
      <c r="C30" s="3" t="s">
        <v>308</v>
      </c>
      <c r="D30" s="1"/>
      <c r="E30" s="1">
        <f t="shared" si="0"/>
        <v>10</v>
      </c>
      <c r="F30" s="1">
        <f t="shared" si="1"/>
        <v>10</v>
      </c>
      <c r="G30" s="1">
        <f t="shared" si="2"/>
        <v>10</v>
      </c>
      <c r="H30" s="1"/>
      <c r="I30" s="1">
        <v>27.3</v>
      </c>
      <c r="J30" s="1">
        <v>8.5399999999999991</v>
      </c>
      <c r="K30" s="1">
        <v>1</v>
      </c>
      <c r="L30" s="1">
        <v>0.2</v>
      </c>
      <c r="M30" s="1"/>
      <c r="N30" s="1"/>
      <c r="O30" s="1">
        <v>0.5</v>
      </c>
      <c r="P30" s="1"/>
      <c r="Q30" s="1">
        <v>0.6</v>
      </c>
      <c r="R30" s="1">
        <v>7.1428571428571104</v>
      </c>
      <c r="S30" s="1">
        <v>0.01</v>
      </c>
      <c r="T30" s="1">
        <v>0.01</v>
      </c>
      <c r="U30" s="1">
        <v>6.6666666666748099E-4</v>
      </c>
      <c r="V30" s="1">
        <v>6.6666666666748099E-4</v>
      </c>
      <c r="W30" s="1">
        <v>0.14799999999999999</v>
      </c>
      <c r="X30" s="1">
        <v>0</v>
      </c>
      <c r="Y30" s="1">
        <v>5.9199999999996998E-3</v>
      </c>
      <c r="Z30" s="1">
        <v>0</v>
      </c>
      <c r="AA30" s="1">
        <v>20210222</v>
      </c>
      <c r="AB30" s="1">
        <v>20.56</v>
      </c>
      <c r="AC30" s="1">
        <v>20.56</v>
      </c>
      <c r="AD30" s="1">
        <v>0</v>
      </c>
      <c r="AE30" s="1">
        <v>0</v>
      </c>
      <c r="AF30" s="1">
        <v>23.72</v>
      </c>
      <c r="AG30" s="1">
        <v>23.72</v>
      </c>
      <c r="AH30" s="1">
        <v>0</v>
      </c>
      <c r="AI30" s="1"/>
      <c r="AJ30" s="1">
        <v>9.1446153846153795</v>
      </c>
      <c r="AK30" s="1">
        <v>10</v>
      </c>
      <c r="AL30" s="1">
        <v>63</v>
      </c>
      <c r="AM30" s="1">
        <v>63</v>
      </c>
      <c r="AN30" s="1">
        <v>4829.7640000000001</v>
      </c>
      <c r="AO30" s="1">
        <v>63</v>
      </c>
      <c r="AP30" s="1">
        <v>0</v>
      </c>
      <c r="AQ30" s="1">
        <v>0</v>
      </c>
      <c r="AR30" s="1">
        <v>0</v>
      </c>
      <c r="AS30" s="1">
        <v>0</v>
      </c>
      <c r="AT30" s="1">
        <v>7.6</v>
      </c>
      <c r="AU30" s="1"/>
      <c r="AV30" s="1" t="s">
        <v>309</v>
      </c>
      <c r="AW30" s="1" t="s">
        <v>96</v>
      </c>
      <c r="AX30" s="1" t="s">
        <v>310</v>
      </c>
      <c r="AY30" s="1" t="s">
        <v>100</v>
      </c>
      <c r="AZ30" s="1" t="s">
        <v>118</v>
      </c>
      <c r="BA30" s="1" t="s">
        <v>100</v>
      </c>
      <c r="BB30" s="1" t="s">
        <v>101</v>
      </c>
      <c r="BC30" s="1" t="s">
        <v>98</v>
      </c>
      <c r="BD30" s="1" t="s">
        <v>101</v>
      </c>
      <c r="BE30" s="1" t="s">
        <v>98</v>
      </c>
      <c r="BF30" s="1" t="s">
        <v>137</v>
      </c>
      <c r="BG30" s="1" t="s">
        <v>100</v>
      </c>
      <c r="BH30" s="1" t="s">
        <v>103</v>
      </c>
      <c r="BI30" t="s">
        <v>98</v>
      </c>
      <c r="BJ30" t="s">
        <v>311</v>
      </c>
      <c r="BK30" t="s">
        <v>100</v>
      </c>
      <c r="BL30" t="s">
        <v>105</v>
      </c>
      <c r="BN30" t="s">
        <v>288</v>
      </c>
      <c r="BO30" t="s">
        <v>96</v>
      </c>
      <c r="BP30" t="s">
        <v>124</v>
      </c>
      <c r="BQ30" t="s">
        <v>96</v>
      </c>
      <c r="BR30" t="s">
        <v>312</v>
      </c>
      <c r="BS30" t="s">
        <v>98</v>
      </c>
      <c r="BT30" t="s">
        <v>105</v>
      </c>
      <c r="BV30" t="s">
        <v>125</v>
      </c>
      <c r="BW30" t="s">
        <v>96</v>
      </c>
      <c r="BX30" t="s">
        <v>200</v>
      </c>
      <c r="BY30" t="s">
        <v>100</v>
      </c>
      <c r="BZ30" t="s">
        <v>253</v>
      </c>
      <c r="CA30" t="s">
        <v>98</v>
      </c>
      <c r="CB30" t="s">
        <v>313</v>
      </c>
      <c r="CC30" t="s">
        <v>98</v>
      </c>
      <c r="CD30">
        <v>0</v>
      </c>
      <c r="CE30" t="s">
        <v>96</v>
      </c>
      <c r="CF30">
        <v>0</v>
      </c>
      <c r="CG30" t="s">
        <v>96</v>
      </c>
      <c r="CH30">
        <v>0.1</v>
      </c>
      <c r="CI30" t="s">
        <v>96</v>
      </c>
      <c r="CJ30" t="s">
        <v>112</v>
      </c>
      <c r="CK30" t="s">
        <v>96</v>
      </c>
      <c r="CL30" t="s">
        <v>98</v>
      </c>
      <c r="CM30" t="s">
        <v>98</v>
      </c>
      <c r="CN30">
        <v>10</v>
      </c>
      <c r="CO30">
        <v>10</v>
      </c>
    </row>
    <row r="31" spans="1:93" x14ac:dyDescent="0.2">
      <c r="A31" s="3">
        <v>56</v>
      </c>
      <c r="B31" s="3" t="s">
        <v>314</v>
      </c>
      <c r="C31" s="3" t="s">
        <v>315</v>
      </c>
      <c r="D31" s="1"/>
      <c r="E31" s="1">
        <f t="shared" si="0"/>
        <v>4.7619047619047397</v>
      </c>
      <c r="F31" s="1">
        <f t="shared" si="1"/>
        <v>0</v>
      </c>
      <c r="G31" s="1">
        <f t="shared" si="2"/>
        <v>4.7619047619047397</v>
      </c>
      <c r="H31" s="1"/>
      <c r="I31" s="1">
        <v>75.3</v>
      </c>
      <c r="J31" s="1">
        <v>0</v>
      </c>
      <c r="K31" s="1">
        <v>0</v>
      </c>
      <c r="L31" s="1">
        <v>0.7</v>
      </c>
      <c r="M31" s="1"/>
      <c r="N31" s="1"/>
      <c r="O31" s="1">
        <v>1</v>
      </c>
      <c r="P31" s="1">
        <v>0.5</v>
      </c>
      <c r="Q31" s="1">
        <v>0.5</v>
      </c>
      <c r="R31" s="1">
        <v>4.7619047619047397</v>
      </c>
      <c r="S31" s="1">
        <v>-42.585642564212499</v>
      </c>
      <c r="T31" s="1">
        <v>-25.922189198867599</v>
      </c>
      <c r="U31" s="1">
        <v>0</v>
      </c>
      <c r="V31" s="1">
        <v>0</v>
      </c>
      <c r="W31" s="1">
        <v>76.174999999999997</v>
      </c>
      <c r="X31" s="1">
        <v>1.5669999999999999</v>
      </c>
      <c r="Y31" s="1">
        <v>3.0470000000000002</v>
      </c>
      <c r="Z31" s="1">
        <v>3.1339999999999999</v>
      </c>
      <c r="AA31" s="1">
        <v>20210222</v>
      </c>
      <c r="AB31" s="1"/>
      <c r="AC31" s="1"/>
      <c r="AD31" s="1"/>
      <c r="AE31" s="1"/>
      <c r="AF31" s="1"/>
      <c r="AG31" s="1"/>
      <c r="AH31" s="1"/>
      <c r="AI31" s="1"/>
      <c r="AJ31" s="1"/>
      <c r="AK31" s="1"/>
      <c r="AL31" s="1">
        <v>23849</v>
      </c>
      <c r="AM31" s="1">
        <v>23633</v>
      </c>
      <c r="AN31" s="1">
        <v>37742.156999999999</v>
      </c>
      <c r="AO31" s="1">
        <v>21631</v>
      </c>
      <c r="AP31" s="1">
        <v>216</v>
      </c>
      <c r="AQ31" s="1">
        <v>5.7230433332148998</v>
      </c>
      <c r="AR31" s="1">
        <v>10.253802413203299</v>
      </c>
      <c r="AS31" s="1">
        <v>1.0253802413203299</v>
      </c>
      <c r="AT31" s="1">
        <v>2</v>
      </c>
      <c r="AU31" s="1"/>
      <c r="AV31" s="1" t="s">
        <v>316</v>
      </c>
      <c r="AW31" s="1" t="s">
        <v>98</v>
      </c>
      <c r="AX31" s="1" t="s">
        <v>317</v>
      </c>
      <c r="AY31" s="1" t="s">
        <v>100</v>
      </c>
      <c r="AZ31" s="1" t="s">
        <v>174</v>
      </c>
      <c r="BA31" s="1" t="s">
        <v>96</v>
      </c>
      <c r="BB31" s="1" t="s">
        <v>119</v>
      </c>
      <c r="BC31" s="1" t="s">
        <v>96</v>
      </c>
      <c r="BD31" s="1" t="s">
        <v>136</v>
      </c>
      <c r="BE31" s="1" t="s">
        <v>100</v>
      </c>
      <c r="BF31" s="1" t="s">
        <v>183</v>
      </c>
      <c r="BG31" s="1" t="s">
        <v>96</v>
      </c>
      <c r="BH31" s="1" t="s">
        <v>121</v>
      </c>
      <c r="BI31" t="s">
        <v>100</v>
      </c>
      <c r="BJ31" t="s">
        <v>318</v>
      </c>
      <c r="BK31" t="s">
        <v>98</v>
      </c>
      <c r="BL31" t="s">
        <v>319</v>
      </c>
      <c r="BM31" t="s">
        <v>100</v>
      </c>
      <c r="BN31" t="s">
        <v>207</v>
      </c>
      <c r="BO31" t="s">
        <v>96</v>
      </c>
      <c r="BP31" t="s">
        <v>169</v>
      </c>
      <c r="BQ31" t="s">
        <v>100</v>
      </c>
      <c r="BR31" t="s">
        <v>105</v>
      </c>
      <c r="BT31" t="s">
        <v>105</v>
      </c>
      <c r="BV31" t="s">
        <v>125</v>
      </c>
      <c r="BW31" t="s">
        <v>96</v>
      </c>
      <c r="BX31" t="s">
        <v>126</v>
      </c>
      <c r="BY31" t="s">
        <v>100</v>
      </c>
      <c r="BZ31" t="s">
        <v>127</v>
      </c>
      <c r="CA31" t="s">
        <v>100</v>
      </c>
      <c r="CB31" t="s">
        <v>105</v>
      </c>
      <c r="CD31">
        <v>0.6</v>
      </c>
      <c r="CE31" t="s">
        <v>96</v>
      </c>
      <c r="CF31">
        <v>0</v>
      </c>
      <c r="CG31" t="s">
        <v>96</v>
      </c>
      <c r="CH31">
        <v>1.2</v>
      </c>
      <c r="CI31" t="s">
        <v>96</v>
      </c>
      <c r="CJ31" t="s">
        <v>105</v>
      </c>
      <c r="CL31" t="s">
        <v>130</v>
      </c>
      <c r="CM31" t="s">
        <v>96</v>
      </c>
      <c r="CN31">
        <v>0</v>
      </c>
      <c r="CO31">
        <v>0</v>
      </c>
    </row>
    <row r="32" spans="1:93" x14ac:dyDescent="0.2">
      <c r="A32" s="3">
        <v>70</v>
      </c>
      <c r="B32" s="3" t="s">
        <v>320</v>
      </c>
      <c r="C32" s="3" t="s">
        <v>321</v>
      </c>
      <c r="D32" s="1"/>
      <c r="E32" s="1">
        <f t="shared" si="0"/>
        <v>1.6709613999132371</v>
      </c>
      <c r="F32" s="1">
        <f t="shared" si="1"/>
        <v>0.60000000000000098</v>
      </c>
      <c r="G32" s="1">
        <f t="shared" si="2"/>
        <v>4.6535200000000003</v>
      </c>
      <c r="H32" s="1"/>
      <c r="I32" s="1">
        <v>67</v>
      </c>
      <c r="J32" s="1">
        <v>0.60000000000000098</v>
      </c>
      <c r="K32" s="1">
        <v>0</v>
      </c>
      <c r="L32" s="1">
        <v>0.6</v>
      </c>
      <c r="M32" s="1"/>
      <c r="N32" s="1"/>
      <c r="O32" s="1">
        <v>0.8</v>
      </c>
      <c r="P32" s="1">
        <v>0.4</v>
      </c>
      <c r="Q32" s="1">
        <v>0.4</v>
      </c>
      <c r="R32" s="1">
        <v>2.3809523809523698</v>
      </c>
      <c r="S32" s="1">
        <v>-49.672472820319499</v>
      </c>
      <c r="T32" s="1">
        <v>-36.9355126806458</v>
      </c>
      <c r="U32" s="1">
        <v>0</v>
      </c>
      <c r="V32" s="1">
        <v>0</v>
      </c>
      <c r="W32" s="1">
        <v>116.33799999999999</v>
      </c>
      <c r="X32" s="1">
        <v>2.0139999999999998</v>
      </c>
      <c r="Y32" s="1">
        <v>4.6535200000000003</v>
      </c>
      <c r="Z32" s="1">
        <v>4.0279999999999996</v>
      </c>
      <c r="AA32" s="1">
        <v>20210222</v>
      </c>
      <c r="AB32" s="1"/>
      <c r="AC32" s="1">
        <v>59.89</v>
      </c>
      <c r="AD32" s="1"/>
      <c r="AE32" s="1">
        <v>37.5</v>
      </c>
      <c r="AF32" s="1"/>
      <c r="AG32" s="1">
        <v>63.33</v>
      </c>
      <c r="AH32" s="1"/>
      <c r="AI32" s="1"/>
      <c r="AJ32" s="1">
        <v>3.0938461538461501</v>
      </c>
      <c r="AK32" s="1">
        <v>6.25</v>
      </c>
      <c r="AL32" s="1">
        <v>10278</v>
      </c>
      <c r="AM32" s="1">
        <v>10262</v>
      </c>
      <c r="AN32" s="1">
        <v>8654.6180000000004</v>
      </c>
      <c r="AO32" s="1">
        <v>9886</v>
      </c>
      <c r="AP32" s="1">
        <v>16</v>
      </c>
      <c r="AQ32" s="1">
        <v>1.8487239991412701</v>
      </c>
      <c r="AR32" s="1">
        <v>3.9652033178231698</v>
      </c>
      <c r="AS32" s="1">
        <v>0.39652033178231599</v>
      </c>
      <c r="AT32" s="1">
        <v>1.9</v>
      </c>
      <c r="AU32" s="1"/>
      <c r="AV32" s="1" t="s">
        <v>322</v>
      </c>
      <c r="AW32" s="1" t="s">
        <v>98</v>
      </c>
      <c r="AX32" s="1" t="s">
        <v>182</v>
      </c>
      <c r="AY32" s="1" t="s">
        <v>100</v>
      </c>
      <c r="AZ32" s="1" t="s">
        <v>135</v>
      </c>
      <c r="BA32" s="1" t="s">
        <v>100</v>
      </c>
      <c r="BB32" s="1" t="s">
        <v>101</v>
      </c>
      <c r="BC32" s="1" t="s">
        <v>98</v>
      </c>
      <c r="BD32" s="1" t="s">
        <v>120</v>
      </c>
      <c r="BE32" s="1" t="s">
        <v>100</v>
      </c>
      <c r="BF32" s="1" t="s">
        <v>183</v>
      </c>
      <c r="BG32" s="1" t="s">
        <v>96</v>
      </c>
      <c r="BH32" s="1" t="s">
        <v>103</v>
      </c>
      <c r="BI32" t="s">
        <v>98</v>
      </c>
      <c r="BJ32" t="s">
        <v>323</v>
      </c>
      <c r="BK32" t="s">
        <v>98</v>
      </c>
      <c r="BL32" t="s">
        <v>324</v>
      </c>
      <c r="BM32" t="s">
        <v>96</v>
      </c>
      <c r="BN32" t="s">
        <v>252</v>
      </c>
      <c r="BO32" t="s">
        <v>100</v>
      </c>
      <c r="BP32" t="s">
        <v>124</v>
      </c>
      <c r="BQ32" t="s">
        <v>96</v>
      </c>
      <c r="BR32" t="s">
        <v>105</v>
      </c>
      <c r="BT32" t="s">
        <v>105</v>
      </c>
      <c r="BV32" t="s">
        <v>125</v>
      </c>
      <c r="BW32" t="s">
        <v>96</v>
      </c>
      <c r="BX32" t="s">
        <v>126</v>
      </c>
      <c r="BY32" t="s">
        <v>100</v>
      </c>
      <c r="BZ32" t="s">
        <v>141</v>
      </c>
      <c r="CA32" t="s">
        <v>96</v>
      </c>
      <c r="CB32" t="s">
        <v>105</v>
      </c>
      <c r="CD32">
        <v>0</v>
      </c>
      <c r="CE32" t="s">
        <v>96</v>
      </c>
      <c r="CF32">
        <v>0</v>
      </c>
      <c r="CG32" t="s">
        <v>96</v>
      </c>
      <c r="CH32">
        <v>0</v>
      </c>
      <c r="CI32" t="s">
        <v>96</v>
      </c>
      <c r="CJ32" t="s">
        <v>105</v>
      </c>
      <c r="CL32" t="s">
        <v>130</v>
      </c>
      <c r="CM32" t="s">
        <v>96</v>
      </c>
      <c r="CN32">
        <v>0</v>
      </c>
      <c r="CO32">
        <v>0</v>
      </c>
    </row>
    <row r="33" spans="1:93" x14ac:dyDescent="0.2">
      <c r="A33" s="3">
        <v>71</v>
      </c>
      <c r="B33" s="3" t="s">
        <v>325</v>
      </c>
      <c r="C33" s="3" t="s">
        <v>326</v>
      </c>
      <c r="D33" s="1"/>
      <c r="E33" s="1">
        <f t="shared" si="0"/>
        <v>5</v>
      </c>
      <c r="F33" s="1">
        <f t="shared" si="1"/>
        <v>2.5</v>
      </c>
      <c r="G33" s="1">
        <f t="shared" si="2"/>
        <v>10</v>
      </c>
      <c r="H33" s="1"/>
      <c r="I33" s="1">
        <v>58.3</v>
      </c>
      <c r="J33" s="1">
        <v>2.34</v>
      </c>
      <c r="K33" s="1">
        <v>0</v>
      </c>
      <c r="L33" s="1">
        <v>0.6</v>
      </c>
      <c r="M33" s="1"/>
      <c r="N33" s="1"/>
      <c r="O33" s="1">
        <v>0.8</v>
      </c>
      <c r="P33" s="1">
        <v>0.8</v>
      </c>
      <c r="Q33" s="1">
        <v>0.5</v>
      </c>
      <c r="R33" s="1">
        <v>4.7619047619047397</v>
      </c>
      <c r="S33" s="1">
        <v>0.46257072462920601</v>
      </c>
      <c r="T33" s="1">
        <v>-8.9490853144844191</v>
      </c>
      <c r="U33" s="1">
        <v>3.0838048308615001E-2</v>
      </c>
      <c r="V33" s="1">
        <v>0</v>
      </c>
      <c r="W33" s="1">
        <v>173.75700000000001</v>
      </c>
      <c r="X33" s="1">
        <v>3.7440000000000002</v>
      </c>
      <c r="Y33" s="1">
        <v>6.9502800000000002</v>
      </c>
      <c r="Z33" s="1">
        <v>7.4880000000000004</v>
      </c>
      <c r="AA33" s="1">
        <v>20210222</v>
      </c>
      <c r="AB33" s="1"/>
      <c r="AC33" s="1">
        <v>77.5</v>
      </c>
      <c r="AD33" s="1"/>
      <c r="AE33" s="1">
        <v>100</v>
      </c>
      <c r="AF33" s="1"/>
      <c r="AG33" s="1">
        <v>74.040000000000006</v>
      </c>
      <c r="AH33" s="1"/>
      <c r="AI33" s="1"/>
      <c r="AJ33" s="1">
        <v>0.38461538461538503</v>
      </c>
      <c r="AK33" s="1">
        <v>0</v>
      </c>
      <c r="AL33" s="1">
        <v>23633</v>
      </c>
      <c r="AM33" s="1">
        <v>23210</v>
      </c>
      <c r="AN33" s="1">
        <v>19116.208999999999</v>
      </c>
      <c r="AO33" s="1">
        <v>19974</v>
      </c>
      <c r="AP33" s="1">
        <v>423</v>
      </c>
      <c r="AQ33" s="1">
        <v>22.127818334691799</v>
      </c>
      <c r="AR33" s="1">
        <v>18.3188144587964</v>
      </c>
      <c r="AS33" s="1">
        <v>1.83188144587964</v>
      </c>
      <c r="AT33" s="1">
        <v>3</v>
      </c>
      <c r="AU33" s="1"/>
      <c r="AV33" s="1" t="s">
        <v>327</v>
      </c>
      <c r="AW33" s="1" t="s">
        <v>98</v>
      </c>
      <c r="AX33" s="1" t="s">
        <v>153</v>
      </c>
      <c r="AY33" s="1" t="s">
        <v>100</v>
      </c>
      <c r="AZ33" s="1" t="s">
        <v>135</v>
      </c>
      <c r="BA33" s="1" t="s">
        <v>100</v>
      </c>
      <c r="BB33" s="1" t="s">
        <v>119</v>
      </c>
      <c r="BC33" s="1" t="s">
        <v>96</v>
      </c>
      <c r="BD33" s="1" t="s">
        <v>175</v>
      </c>
      <c r="BE33" s="1" t="s">
        <v>96</v>
      </c>
      <c r="BF33" s="1" t="s">
        <v>183</v>
      </c>
      <c r="BG33" s="1" t="s">
        <v>96</v>
      </c>
      <c r="BH33" s="1" t="s">
        <v>147</v>
      </c>
      <c r="BI33" t="s">
        <v>96</v>
      </c>
      <c r="BJ33" t="s">
        <v>328</v>
      </c>
      <c r="BK33" t="s">
        <v>98</v>
      </c>
      <c r="BL33" t="s">
        <v>329</v>
      </c>
      <c r="BM33" t="s">
        <v>100</v>
      </c>
      <c r="BN33" t="s">
        <v>288</v>
      </c>
      <c r="BO33" t="s">
        <v>96</v>
      </c>
      <c r="BP33" t="s">
        <v>107</v>
      </c>
      <c r="BQ33" t="s">
        <v>96</v>
      </c>
      <c r="BR33" t="s">
        <v>105</v>
      </c>
      <c r="BT33" t="s">
        <v>193</v>
      </c>
      <c r="BU33" t="s">
        <v>98</v>
      </c>
      <c r="BV33" t="s">
        <v>125</v>
      </c>
      <c r="BW33" t="s">
        <v>96</v>
      </c>
      <c r="BX33" t="s">
        <v>110</v>
      </c>
      <c r="BY33" t="s">
        <v>96</v>
      </c>
      <c r="BZ33" t="s">
        <v>141</v>
      </c>
      <c r="CA33" t="s">
        <v>96</v>
      </c>
      <c r="CB33" t="s">
        <v>330</v>
      </c>
      <c r="CC33" t="s">
        <v>98</v>
      </c>
      <c r="CD33">
        <v>2.4</v>
      </c>
      <c r="CE33" t="s">
        <v>100</v>
      </c>
      <c r="CF33">
        <v>0</v>
      </c>
      <c r="CG33" t="s">
        <v>96</v>
      </c>
      <c r="CH33">
        <v>0.3</v>
      </c>
      <c r="CI33" t="s">
        <v>96</v>
      </c>
      <c r="CJ33" t="s">
        <v>105</v>
      </c>
      <c r="CL33" t="s">
        <v>130</v>
      </c>
      <c r="CM33" t="s">
        <v>96</v>
      </c>
      <c r="CN33">
        <v>2.5</v>
      </c>
      <c r="CO33">
        <v>10</v>
      </c>
    </row>
    <row r="34" spans="1:93" x14ac:dyDescent="0.2">
      <c r="A34" s="3">
        <v>72</v>
      </c>
      <c r="B34" s="3" t="s">
        <v>331</v>
      </c>
      <c r="C34" s="3" t="s">
        <v>332</v>
      </c>
      <c r="D34" s="1"/>
      <c r="E34" s="1">
        <f t="shared" si="0"/>
        <v>6.6030296076876711</v>
      </c>
      <c r="F34" s="1">
        <f t="shared" si="1"/>
        <v>4.3600000000000003</v>
      </c>
      <c r="G34" s="1">
        <f t="shared" si="2"/>
        <v>10</v>
      </c>
      <c r="H34" s="1"/>
      <c r="I34" s="1">
        <v>48.2</v>
      </c>
      <c r="J34" s="1">
        <v>4.3600000000000003</v>
      </c>
      <c r="K34" s="1">
        <v>0</v>
      </c>
      <c r="L34" s="1">
        <v>0.5</v>
      </c>
      <c r="M34" s="1"/>
      <c r="N34" s="1"/>
      <c r="O34" s="1">
        <v>0.8</v>
      </c>
      <c r="P34" s="1"/>
      <c r="Q34" s="1">
        <v>0.4</v>
      </c>
      <c r="R34" s="1">
        <v>2.3809523809523698</v>
      </c>
      <c r="S34" s="1">
        <v>-24.615384615384599</v>
      </c>
      <c r="T34" s="1">
        <v>-66.205342774380398</v>
      </c>
      <c r="U34" s="1">
        <v>0</v>
      </c>
      <c r="V34" s="1">
        <v>0</v>
      </c>
      <c r="W34" s="1">
        <v>1.6E-2</v>
      </c>
      <c r="X34" s="1">
        <v>0</v>
      </c>
      <c r="Y34" s="1">
        <v>6.3999999999886403E-4</v>
      </c>
      <c r="Z34" s="1">
        <v>0</v>
      </c>
      <c r="AA34" s="1">
        <v>20210222</v>
      </c>
      <c r="AB34" s="1">
        <v>62.17</v>
      </c>
      <c r="AC34" s="1">
        <v>62.17</v>
      </c>
      <c r="AD34" s="1">
        <v>62.5</v>
      </c>
      <c r="AE34" s="1">
        <v>62.5</v>
      </c>
      <c r="AF34" s="1">
        <v>62.12</v>
      </c>
      <c r="AG34" s="1">
        <v>62.12</v>
      </c>
      <c r="AH34" s="1">
        <v>1</v>
      </c>
      <c r="AI34" s="1">
        <v>0</v>
      </c>
      <c r="AJ34" s="1">
        <v>2.7430769230769201</v>
      </c>
      <c r="AK34" s="1">
        <v>3.75</v>
      </c>
      <c r="AL34" s="1">
        <v>4841</v>
      </c>
      <c r="AM34" s="1">
        <v>4841</v>
      </c>
      <c r="AN34" s="1">
        <v>1439323.774</v>
      </c>
      <c r="AO34" s="1">
        <v>4833</v>
      </c>
      <c r="AP34" s="1">
        <v>0</v>
      </c>
      <c r="AQ34" s="1">
        <v>0</v>
      </c>
      <c r="AR34" s="1">
        <v>0.165528657148755</v>
      </c>
      <c r="AS34" s="1">
        <v>1.6552865714874802E-2</v>
      </c>
      <c r="AT34" s="1">
        <v>3.4</v>
      </c>
      <c r="AU34" s="1"/>
      <c r="AV34" s="1" t="s">
        <v>333</v>
      </c>
      <c r="AW34" s="1" t="s">
        <v>96</v>
      </c>
      <c r="AX34" s="1" t="s">
        <v>334</v>
      </c>
      <c r="AY34" s="1" t="s">
        <v>100</v>
      </c>
      <c r="AZ34" s="1" t="s">
        <v>135</v>
      </c>
      <c r="BA34" s="1" t="s">
        <v>100</v>
      </c>
      <c r="BB34" s="1" t="s">
        <v>119</v>
      </c>
      <c r="BC34" s="1" t="s">
        <v>96</v>
      </c>
      <c r="BD34" s="1" t="s">
        <v>175</v>
      </c>
      <c r="BE34" s="1" t="s">
        <v>96</v>
      </c>
      <c r="BF34" s="1" t="s">
        <v>137</v>
      </c>
      <c r="BG34" s="1" t="s">
        <v>100</v>
      </c>
      <c r="BH34" s="1" t="s">
        <v>147</v>
      </c>
      <c r="BI34" t="s">
        <v>96</v>
      </c>
      <c r="BJ34" t="s">
        <v>335</v>
      </c>
      <c r="BK34" t="s">
        <v>96</v>
      </c>
      <c r="BL34" t="s">
        <v>225</v>
      </c>
      <c r="BM34" t="s">
        <v>96</v>
      </c>
      <c r="BN34" t="s">
        <v>288</v>
      </c>
      <c r="BO34" t="s">
        <v>96</v>
      </c>
      <c r="BP34" t="s">
        <v>107</v>
      </c>
      <c r="BQ34" t="s">
        <v>96</v>
      </c>
      <c r="BR34" t="s">
        <v>105</v>
      </c>
      <c r="BT34" t="s">
        <v>105</v>
      </c>
      <c r="BV34" t="s">
        <v>125</v>
      </c>
      <c r="BW34" t="s">
        <v>96</v>
      </c>
      <c r="BX34" t="s">
        <v>110</v>
      </c>
      <c r="BY34" t="s">
        <v>96</v>
      </c>
      <c r="BZ34" t="s">
        <v>141</v>
      </c>
      <c r="CA34" t="s">
        <v>96</v>
      </c>
      <c r="CB34" t="s">
        <v>336</v>
      </c>
      <c r="CC34" t="s">
        <v>98</v>
      </c>
      <c r="CD34">
        <v>0</v>
      </c>
      <c r="CE34" t="s">
        <v>96</v>
      </c>
      <c r="CF34">
        <v>0.2</v>
      </c>
      <c r="CG34" t="s">
        <v>96</v>
      </c>
      <c r="CH34">
        <v>4.5999999999999996</v>
      </c>
      <c r="CI34" t="s">
        <v>100</v>
      </c>
      <c r="CJ34" t="s">
        <v>105</v>
      </c>
      <c r="CL34" t="s">
        <v>130</v>
      </c>
      <c r="CM34" t="s">
        <v>96</v>
      </c>
      <c r="CN34">
        <v>3.5</v>
      </c>
      <c r="CO34">
        <v>10</v>
      </c>
    </row>
    <row r="35" spans="1:93" x14ac:dyDescent="0.2">
      <c r="A35" s="3">
        <v>73</v>
      </c>
      <c r="B35" s="3" t="s">
        <v>337</v>
      </c>
      <c r="C35" s="3" t="s">
        <v>338</v>
      </c>
      <c r="D35" s="1"/>
      <c r="E35" s="1">
        <f t="shared" ref="E35:E66" si="3">IFERROR(GEOMEAN(F35, G35), MAX(F35, G35))</f>
        <v>7.4420840753525042</v>
      </c>
      <c r="F35" s="1">
        <f t="shared" ref="F35:F66" si="4">MAX(J35, CN35)</f>
        <v>9</v>
      </c>
      <c r="G35" s="1">
        <f t="shared" ref="G35:G66" si="5">MAX(R35, U35, V35, Y35, Z35, AJ35, CO35)</f>
        <v>6.1538461538461497</v>
      </c>
      <c r="H35" s="1"/>
      <c r="I35" s="1">
        <v>35.5</v>
      </c>
      <c r="J35" s="1">
        <v>6.9</v>
      </c>
      <c r="K35" s="1"/>
      <c r="L35" s="1"/>
      <c r="M35" s="1"/>
      <c r="N35" s="1"/>
      <c r="O35" s="1"/>
      <c r="P35" s="1"/>
      <c r="Q35" s="1"/>
      <c r="R35" s="1"/>
      <c r="S35" s="1">
        <v>19.028340080971699</v>
      </c>
      <c r="T35" s="1">
        <v>-22.765663010798001</v>
      </c>
      <c r="U35" s="1">
        <v>1.26855600539811</v>
      </c>
      <c r="V35" s="1">
        <v>0</v>
      </c>
      <c r="W35" s="1">
        <v>4.798</v>
      </c>
      <c r="X35" s="1">
        <v>6.5000000000000002E-2</v>
      </c>
      <c r="Y35" s="1">
        <v>0.19192000000000001</v>
      </c>
      <c r="Z35" s="1">
        <v>0.130000000000001</v>
      </c>
      <c r="AA35" s="1">
        <v>20210222</v>
      </c>
      <c r="AB35" s="1"/>
      <c r="AC35" s="1">
        <v>40</v>
      </c>
      <c r="AD35" s="1"/>
      <c r="AE35" s="1">
        <v>50</v>
      </c>
      <c r="AF35" s="1"/>
      <c r="AG35" s="1">
        <v>38.46</v>
      </c>
      <c r="AH35" s="1"/>
      <c r="AI35" s="1"/>
      <c r="AJ35" s="1">
        <v>6.1538461538461497</v>
      </c>
      <c r="AK35" s="1">
        <v>5</v>
      </c>
      <c r="AL35" s="1">
        <v>232</v>
      </c>
      <c r="AM35" s="1">
        <v>230</v>
      </c>
      <c r="AN35" s="1">
        <v>26378.275000000001</v>
      </c>
      <c r="AO35" s="1">
        <v>185</v>
      </c>
      <c r="AP35" s="1">
        <v>2</v>
      </c>
      <c r="AQ35" s="1">
        <v>7.5819969273957399E-2</v>
      </c>
      <c r="AR35" s="1">
        <v>25.4054054054054</v>
      </c>
      <c r="AS35" s="1">
        <v>2.5405405405405399</v>
      </c>
      <c r="AT35" s="1">
        <v>5.6</v>
      </c>
      <c r="AU35" s="1"/>
      <c r="AV35" s="1" t="s">
        <v>339</v>
      </c>
      <c r="AW35" s="1" t="s">
        <v>96</v>
      </c>
      <c r="AX35" s="1" t="s">
        <v>340</v>
      </c>
      <c r="AY35" s="1" t="s">
        <v>100</v>
      </c>
      <c r="AZ35" s="1" t="s">
        <v>99</v>
      </c>
      <c r="BA35" s="1" t="s">
        <v>100</v>
      </c>
      <c r="BB35" s="1" t="s">
        <v>101</v>
      </c>
      <c r="BC35" s="1" t="s">
        <v>98</v>
      </c>
      <c r="BD35" s="1" t="s">
        <v>120</v>
      </c>
      <c r="BE35" s="1" t="s">
        <v>100</v>
      </c>
      <c r="BF35" s="1" t="s">
        <v>137</v>
      </c>
      <c r="BG35" s="1" t="s">
        <v>100</v>
      </c>
      <c r="BH35" s="1" t="s">
        <v>147</v>
      </c>
      <c r="BI35" t="s">
        <v>96</v>
      </c>
      <c r="BJ35" t="s">
        <v>245</v>
      </c>
      <c r="BK35" t="s">
        <v>96</v>
      </c>
      <c r="BL35" t="s">
        <v>105</v>
      </c>
      <c r="BN35" t="s">
        <v>186</v>
      </c>
      <c r="BO35" t="s">
        <v>96</v>
      </c>
      <c r="BP35" t="s">
        <v>124</v>
      </c>
      <c r="BQ35" t="s">
        <v>96</v>
      </c>
      <c r="BR35" t="s">
        <v>341</v>
      </c>
      <c r="BS35" t="s">
        <v>100</v>
      </c>
      <c r="BT35" t="s">
        <v>105</v>
      </c>
      <c r="BV35" t="s">
        <v>125</v>
      </c>
      <c r="BW35" t="s">
        <v>96</v>
      </c>
      <c r="BX35" t="s">
        <v>126</v>
      </c>
      <c r="BY35" t="s">
        <v>100</v>
      </c>
      <c r="BZ35" t="s">
        <v>127</v>
      </c>
      <c r="CA35" t="s">
        <v>100</v>
      </c>
      <c r="CB35" t="s">
        <v>342</v>
      </c>
      <c r="CC35" t="s">
        <v>96</v>
      </c>
      <c r="CD35">
        <v>0</v>
      </c>
      <c r="CE35" t="s">
        <v>96</v>
      </c>
      <c r="CF35">
        <v>0</v>
      </c>
      <c r="CG35" t="s">
        <v>96</v>
      </c>
      <c r="CH35">
        <v>0.3</v>
      </c>
      <c r="CI35" t="s">
        <v>96</v>
      </c>
      <c r="CJ35" t="s">
        <v>112</v>
      </c>
      <c r="CK35" t="s">
        <v>96</v>
      </c>
      <c r="CL35" t="s">
        <v>130</v>
      </c>
      <c r="CM35" t="s">
        <v>96</v>
      </c>
      <c r="CN35">
        <v>9</v>
      </c>
      <c r="CO35">
        <v>0</v>
      </c>
    </row>
    <row r="36" spans="1:93" x14ac:dyDescent="0.2">
      <c r="A36" s="3">
        <v>74</v>
      </c>
      <c r="B36" s="3" t="s">
        <v>343</v>
      </c>
      <c r="C36" s="3" t="s">
        <v>344</v>
      </c>
      <c r="D36" s="1"/>
      <c r="E36" s="1">
        <f t="shared" si="3"/>
        <v>9.6176920308356717</v>
      </c>
      <c r="F36" s="1">
        <f t="shared" si="4"/>
        <v>9.25</v>
      </c>
      <c r="G36" s="1">
        <f t="shared" si="5"/>
        <v>10</v>
      </c>
      <c r="H36" s="1"/>
      <c r="I36" s="1">
        <v>34.4</v>
      </c>
      <c r="J36" s="1">
        <v>7.12</v>
      </c>
      <c r="K36" s="1">
        <v>0</v>
      </c>
      <c r="L36" s="1">
        <v>0.6</v>
      </c>
      <c r="M36" s="1"/>
      <c r="N36" s="1"/>
      <c r="O36" s="1">
        <v>1</v>
      </c>
      <c r="P36" s="1">
        <v>0.2</v>
      </c>
      <c r="Q36" s="1">
        <v>0.4</v>
      </c>
      <c r="R36" s="1">
        <v>2.3809523809523698</v>
      </c>
      <c r="S36" s="1">
        <v>339.82300884955799</v>
      </c>
      <c r="T36" s="1">
        <v>42.719938223441297</v>
      </c>
      <c r="U36" s="1">
        <v>10</v>
      </c>
      <c r="V36" s="1">
        <v>2.84799588156275</v>
      </c>
      <c r="W36" s="1">
        <v>8.8849999999999998</v>
      </c>
      <c r="X36" s="1">
        <v>0.23699999999999999</v>
      </c>
      <c r="Y36" s="1">
        <v>0.35539999999999899</v>
      </c>
      <c r="Z36" s="1">
        <v>0.47399999999999998</v>
      </c>
      <c r="AA36" s="1">
        <v>20210222</v>
      </c>
      <c r="AB36" s="1"/>
      <c r="AC36" s="1">
        <v>28.33</v>
      </c>
      <c r="AD36" s="1"/>
      <c r="AE36" s="1">
        <v>0</v>
      </c>
      <c r="AF36" s="1"/>
      <c r="AG36" s="1">
        <v>32.69</v>
      </c>
      <c r="AH36" s="1"/>
      <c r="AI36" s="1"/>
      <c r="AJ36" s="1">
        <v>7.9492307692307698</v>
      </c>
      <c r="AK36" s="1">
        <v>10</v>
      </c>
      <c r="AL36" s="1">
        <v>533</v>
      </c>
      <c r="AM36" s="1">
        <v>533</v>
      </c>
      <c r="AN36" s="1">
        <v>26545.864000000001</v>
      </c>
      <c r="AO36" s="1">
        <v>523</v>
      </c>
      <c r="AP36" s="1">
        <v>0</v>
      </c>
      <c r="AQ36" s="1">
        <v>0</v>
      </c>
      <c r="AR36" s="1">
        <v>1.9120458891013501</v>
      </c>
      <c r="AS36" s="1">
        <v>0.191204588910136</v>
      </c>
      <c r="AT36" s="1">
        <v>5.7</v>
      </c>
      <c r="AU36" s="1"/>
      <c r="AV36" s="1" t="s">
        <v>345</v>
      </c>
      <c r="AW36" s="1" t="s">
        <v>96</v>
      </c>
      <c r="AX36" s="1" t="s">
        <v>346</v>
      </c>
      <c r="AY36" s="1" t="s">
        <v>100</v>
      </c>
      <c r="AZ36" s="1" t="s">
        <v>99</v>
      </c>
      <c r="BA36" s="1" t="s">
        <v>100</v>
      </c>
      <c r="BB36" s="1" t="s">
        <v>101</v>
      </c>
      <c r="BC36" s="1" t="s">
        <v>98</v>
      </c>
      <c r="BD36" s="1" t="s">
        <v>101</v>
      </c>
      <c r="BE36" s="1" t="s">
        <v>98</v>
      </c>
      <c r="BF36" s="1" t="s">
        <v>102</v>
      </c>
      <c r="BG36" s="1" t="s">
        <v>98</v>
      </c>
      <c r="BH36" s="1" t="s">
        <v>103</v>
      </c>
      <c r="BI36" t="s">
        <v>98</v>
      </c>
      <c r="BJ36" t="s">
        <v>347</v>
      </c>
      <c r="BK36" t="s">
        <v>98</v>
      </c>
      <c r="BL36" t="s">
        <v>105</v>
      </c>
      <c r="BN36" t="s">
        <v>348</v>
      </c>
      <c r="BO36" t="s">
        <v>96</v>
      </c>
      <c r="BP36" t="s">
        <v>124</v>
      </c>
      <c r="BQ36" t="s">
        <v>96</v>
      </c>
      <c r="BR36" t="s">
        <v>349</v>
      </c>
      <c r="BS36" t="s">
        <v>98</v>
      </c>
      <c r="BT36" t="s">
        <v>105</v>
      </c>
      <c r="BV36" t="s">
        <v>350</v>
      </c>
      <c r="BW36" t="s">
        <v>98</v>
      </c>
      <c r="BX36" t="s">
        <v>200</v>
      </c>
      <c r="BY36" t="s">
        <v>100</v>
      </c>
      <c r="BZ36" t="s">
        <v>253</v>
      </c>
      <c r="CA36" t="s">
        <v>98</v>
      </c>
      <c r="CB36" t="s">
        <v>351</v>
      </c>
      <c r="CC36" t="s">
        <v>98</v>
      </c>
      <c r="CD36">
        <v>0</v>
      </c>
      <c r="CE36" t="s">
        <v>96</v>
      </c>
      <c r="CF36">
        <v>0</v>
      </c>
      <c r="CG36" t="s">
        <v>96</v>
      </c>
      <c r="CH36">
        <v>2.1</v>
      </c>
      <c r="CI36" t="s">
        <v>100</v>
      </c>
      <c r="CJ36" t="s">
        <v>112</v>
      </c>
      <c r="CK36" t="s">
        <v>96</v>
      </c>
      <c r="CL36" t="s">
        <v>98</v>
      </c>
      <c r="CM36" t="s">
        <v>98</v>
      </c>
      <c r="CN36">
        <v>9.25</v>
      </c>
      <c r="CO36">
        <v>0</v>
      </c>
    </row>
    <row r="37" spans="1:93" x14ac:dyDescent="0.2">
      <c r="A37" s="3">
        <v>75</v>
      </c>
      <c r="B37" s="3" t="s">
        <v>352</v>
      </c>
      <c r="C37" s="3" t="s">
        <v>353</v>
      </c>
      <c r="D37" s="1"/>
      <c r="E37" s="1">
        <f t="shared" si="3"/>
        <v>10</v>
      </c>
      <c r="F37" s="1">
        <f t="shared" si="4"/>
        <v>10</v>
      </c>
      <c r="G37" s="1">
        <f t="shared" si="5"/>
        <v>10</v>
      </c>
      <c r="H37" s="1"/>
      <c r="I37" s="1">
        <v>26.5</v>
      </c>
      <c r="J37" s="1">
        <v>8.6999999999999993</v>
      </c>
      <c r="K37" s="1"/>
      <c r="L37" s="1"/>
      <c r="M37" s="1"/>
      <c r="N37" s="1"/>
      <c r="O37" s="1"/>
      <c r="P37" s="1"/>
      <c r="Q37" s="1"/>
      <c r="R37" s="1"/>
      <c r="S37" s="1">
        <v>2.3562023562023402</v>
      </c>
      <c r="T37" s="1">
        <v>-11.628728005071</v>
      </c>
      <c r="U37" s="1">
        <v>0.15708015708015599</v>
      </c>
      <c r="V37" s="1">
        <v>0</v>
      </c>
      <c r="W37" s="1">
        <v>1.252</v>
      </c>
      <c r="X37" s="1">
        <v>1.0999999999999999E-2</v>
      </c>
      <c r="Y37" s="1">
        <v>5.00799999999995E-2</v>
      </c>
      <c r="Z37" s="1">
        <v>2.20000000000002E-2</v>
      </c>
      <c r="AA37" s="1">
        <v>20210222</v>
      </c>
      <c r="AB37" s="1"/>
      <c r="AC37" s="1">
        <v>38.89</v>
      </c>
      <c r="AD37" s="1"/>
      <c r="AE37" s="1">
        <v>0</v>
      </c>
      <c r="AF37" s="1"/>
      <c r="AG37" s="1">
        <v>44.87</v>
      </c>
      <c r="AH37" s="1"/>
      <c r="AI37" s="1"/>
      <c r="AJ37" s="1">
        <v>6.3246153846153801</v>
      </c>
      <c r="AK37" s="1">
        <v>10</v>
      </c>
      <c r="AL37" s="1">
        <v>737</v>
      </c>
      <c r="AM37" s="1">
        <v>732</v>
      </c>
      <c r="AN37" s="1">
        <v>89561.403999999995</v>
      </c>
      <c r="AO37" s="1">
        <v>700</v>
      </c>
      <c r="AP37" s="1">
        <v>5</v>
      </c>
      <c r="AQ37" s="1">
        <v>5.5827619674206998E-2</v>
      </c>
      <c r="AR37" s="1">
        <v>5.28571428571429</v>
      </c>
      <c r="AS37" s="1">
        <v>0.52857142857142803</v>
      </c>
      <c r="AT37" s="1">
        <v>6.8</v>
      </c>
      <c r="AU37" s="1"/>
      <c r="AV37" s="1" t="s">
        <v>354</v>
      </c>
      <c r="AW37" s="1" t="s">
        <v>96</v>
      </c>
      <c r="AX37" s="1" t="s">
        <v>355</v>
      </c>
      <c r="AY37" s="1" t="s">
        <v>100</v>
      </c>
      <c r="AZ37" s="1" t="s">
        <v>99</v>
      </c>
      <c r="BA37" s="1" t="s">
        <v>100</v>
      </c>
      <c r="BB37" s="1" t="s">
        <v>101</v>
      </c>
      <c r="BC37" s="1" t="s">
        <v>98</v>
      </c>
      <c r="BD37" s="1" t="s">
        <v>120</v>
      </c>
      <c r="BE37" s="1" t="s">
        <v>100</v>
      </c>
      <c r="BF37" s="1" t="s">
        <v>102</v>
      </c>
      <c r="BG37" s="1" t="s">
        <v>98</v>
      </c>
      <c r="BH37" s="1" t="s">
        <v>103</v>
      </c>
      <c r="BI37" t="s">
        <v>98</v>
      </c>
      <c r="BJ37" t="s">
        <v>356</v>
      </c>
      <c r="BK37" t="s">
        <v>98</v>
      </c>
      <c r="BL37" t="s">
        <v>105</v>
      </c>
      <c r="BN37" t="s">
        <v>357</v>
      </c>
      <c r="BO37" t="s">
        <v>98</v>
      </c>
      <c r="BP37" t="s">
        <v>227</v>
      </c>
      <c r="BQ37" t="s">
        <v>98</v>
      </c>
      <c r="BR37" t="s">
        <v>358</v>
      </c>
      <c r="BS37" t="s">
        <v>98</v>
      </c>
      <c r="BT37" t="s">
        <v>105</v>
      </c>
      <c r="BV37" t="s">
        <v>125</v>
      </c>
      <c r="BW37" t="s">
        <v>96</v>
      </c>
      <c r="BX37" t="s">
        <v>200</v>
      </c>
      <c r="BY37" t="s">
        <v>100</v>
      </c>
      <c r="BZ37" t="s">
        <v>127</v>
      </c>
      <c r="CA37" t="s">
        <v>100</v>
      </c>
      <c r="CB37" t="s">
        <v>359</v>
      </c>
      <c r="CC37" t="s">
        <v>98</v>
      </c>
      <c r="CD37">
        <v>1.9</v>
      </c>
      <c r="CE37" t="s">
        <v>96</v>
      </c>
      <c r="CF37">
        <v>0</v>
      </c>
      <c r="CG37" t="s">
        <v>96</v>
      </c>
      <c r="CH37">
        <v>1.5</v>
      </c>
      <c r="CI37" t="s">
        <v>96</v>
      </c>
      <c r="CJ37" t="s">
        <v>112</v>
      </c>
      <c r="CK37" t="s">
        <v>96</v>
      </c>
      <c r="CL37" t="s">
        <v>98</v>
      </c>
      <c r="CM37" t="s">
        <v>98</v>
      </c>
      <c r="CN37">
        <v>10</v>
      </c>
      <c r="CO37">
        <v>10</v>
      </c>
    </row>
    <row r="38" spans="1:93" x14ac:dyDescent="0.2">
      <c r="A38" s="3">
        <v>76</v>
      </c>
      <c r="B38" s="3" t="s">
        <v>360</v>
      </c>
      <c r="C38" s="3" t="s">
        <v>361</v>
      </c>
      <c r="D38" s="1"/>
      <c r="E38" s="1">
        <f t="shared" si="3"/>
        <v>9.633275663033837</v>
      </c>
      <c r="F38" s="1">
        <f t="shared" si="4"/>
        <v>9.2799999999999994</v>
      </c>
      <c r="G38" s="1">
        <f t="shared" si="5"/>
        <v>10</v>
      </c>
      <c r="H38" s="1"/>
      <c r="I38" s="1">
        <v>23.6</v>
      </c>
      <c r="J38" s="1">
        <v>9.2799999999999994</v>
      </c>
      <c r="K38" s="1">
        <v>0</v>
      </c>
      <c r="L38" s="1">
        <v>0.2</v>
      </c>
      <c r="M38" s="1"/>
      <c r="N38" s="1"/>
      <c r="O38" s="1">
        <v>1</v>
      </c>
      <c r="P38" s="1"/>
      <c r="Q38" s="1">
        <v>0.4</v>
      </c>
      <c r="R38" s="1">
        <v>2.3809523809523698</v>
      </c>
      <c r="S38" s="1">
        <v>7.6923076923076996</v>
      </c>
      <c r="T38" s="1">
        <v>251.71494959061499</v>
      </c>
      <c r="U38" s="1">
        <v>0.512820512820515</v>
      </c>
      <c r="V38" s="1">
        <v>10</v>
      </c>
      <c r="W38" s="1">
        <v>5.3330000000000002</v>
      </c>
      <c r="X38" s="1">
        <v>0.104</v>
      </c>
      <c r="Y38" s="1">
        <v>0.21332000000000001</v>
      </c>
      <c r="Z38" s="1">
        <v>0.20799999999999999</v>
      </c>
      <c r="AA38" s="1">
        <v>20210222</v>
      </c>
      <c r="AB38" s="1"/>
      <c r="AC38" s="1">
        <v>35</v>
      </c>
      <c r="AD38" s="1"/>
      <c r="AE38" s="1">
        <v>12.5</v>
      </c>
      <c r="AF38" s="1"/>
      <c r="AG38" s="1">
        <v>38.46</v>
      </c>
      <c r="AH38" s="1"/>
      <c r="AI38" s="1"/>
      <c r="AJ38" s="1">
        <v>6.9230769230769198</v>
      </c>
      <c r="AK38" s="1">
        <v>8.75</v>
      </c>
      <c r="AL38" s="1">
        <v>135</v>
      </c>
      <c r="AM38" s="1">
        <v>134</v>
      </c>
      <c r="AN38" s="1">
        <v>5518.0919999999996</v>
      </c>
      <c r="AO38" s="1">
        <v>123</v>
      </c>
      <c r="AP38" s="1">
        <v>1</v>
      </c>
      <c r="AQ38" s="1">
        <v>0.181222060088886</v>
      </c>
      <c r="AR38" s="1">
        <v>9.7560975609756202</v>
      </c>
      <c r="AS38" s="1">
        <v>0.97560975609756195</v>
      </c>
      <c r="AT38" s="1">
        <v>5.7</v>
      </c>
      <c r="AU38" s="1"/>
      <c r="AV38" s="1" t="s">
        <v>362</v>
      </c>
      <c r="AW38" s="1" t="s">
        <v>96</v>
      </c>
      <c r="AX38" s="1" t="s">
        <v>363</v>
      </c>
      <c r="AY38" s="1" t="s">
        <v>100</v>
      </c>
      <c r="AZ38" s="1" t="s">
        <v>118</v>
      </c>
      <c r="BA38" s="1" t="s">
        <v>100</v>
      </c>
      <c r="BB38" s="1" t="s">
        <v>101</v>
      </c>
      <c r="BC38" s="1" t="s">
        <v>98</v>
      </c>
      <c r="BD38" s="1" t="s">
        <v>136</v>
      </c>
      <c r="BE38" s="1" t="s">
        <v>100</v>
      </c>
      <c r="BF38" s="1" t="s">
        <v>102</v>
      </c>
      <c r="BG38" s="1" t="s">
        <v>98</v>
      </c>
      <c r="BH38" s="1" t="s">
        <v>103</v>
      </c>
      <c r="BI38" t="s">
        <v>98</v>
      </c>
      <c r="BJ38" t="s">
        <v>364</v>
      </c>
      <c r="BK38" t="s">
        <v>98</v>
      </c>
      <c r="BL38" t="s">
        <v>105</v>
      </c>
      <c r="BN38" t="s">
        <v>213</v>
      </c>
      <c r="BO38" t="s">
        <v>96</v>
      </c>
      <c r="BP38" t="s">
        <v>124</v>
      </c>
      <c r="BQ38" t="s">
        <v>96</v>
      </c>
      <c r="BR38" t="s">
        <v>105</v>
      </c>
      <c r="BT38" t="s">
        <v>105</v>
      </c>
      <c r="BV38" t="s">
        <v>125</v>
      </c>
      <c r="BW38" t="s">
        <v>96</v>
      </c>
      <c r="BX38" t="s">
        <v>200</v>
      </c>
      <c r="BY38" t="s">
        <v>100</v>
      </c>
      <c r="BZ38" t="s">
        <v>253</v>
      </c>
      <c r="CA38" t="s">
        <v>98</v>
      </c>
      <c r="CB38" t="s">
        <v>105</v>
      </c>
      <c r="CD38">
        <v>0</v>
      </c>
      <c r="CE38" t="s">
        <v>96</v>
      </c>
      <c r="CF38">
        <v>0</v>
      </c>
      <c r="CG38" t="s">
        <v>96</v>
      </c>
      <c r="CH38">
        <v>0.3</v>
      </c>
      <c r="CI38" t="s">
        <v>96</v>
      </c>
      <c r="CJ38" t="s">
        <v>112</v>
      </c>
      <c r="CK38" t="s">
        <v>96</v>
      </c>
      <c r="CL38" t="s">
        <v>100</v>
      </c>
      <c r="CM38" t="s">
        <v>98</v>
      </c>
      <c r="CN38">
        <v>9.25</v>
      </c>
      <c r="CO38">
        <v>0</v>
      </c>
    </row>
    <row r="39" spans="1:93" x14ac:dyDescent="0.2">
      <c r="A39" s="3">
        <v>77</v>
      </c>
      <c r="B39" s="3" t="s">
        <v>365</v>
      </c>
      <c r="C39" s="3" t="s">
        <v>366</v>
      </c>
      <c r="D39" s="1"/>
      <c r="E39" s="1">
        <f t="shared" si="3"/>
        <v>6.4086994446165431</v>
      </c>
      <c r="F39" s="1">
        <f t="shared" si="4"/>
        <v>5.75</v>
      </c>
      <c r="G39" s="1">
        <f t="shared" si="5"/>
        <v>7.1428571428571104</v>
      </c>
      <c r="H39" s="1"/>
      <c r="I39" s="1">
        <v>44.2</v>
      </c>
      <c r="J39" s="1">
        <v>5.16</v>
      </c>
      <c r="K39" s="1">
        <v>0</v>
      </c>
      <c r="L39" s="1">
        <v>0.6</v>
      </c>
      <c r="M39" s="1"/>
      <c r="N39" s="1"/>
      <c r="O39" s="1">
        <v>1</v>
      </c>
      <c r="P39" s="1">
        <v>0.7</v>
      </c>
      <c r="Q39" s="1">
        <v>0.6</v>
      </c>
      <c r="R39" s="1">
        <v>7.1428571428571104</v>
      </c>
      <c r="S39" s="1">
        <v>-39.693031390404997</v>
      </c>
      <c r="T39" s="1">
        <v>-47.8113466030902</v>
      </c>
      <c r="U39" s="1">
        <v>0</v>
      </c>
      <c r="V39" s="1">
        <v>0</v>
      </c>
      <c r="W39" s="1">
        <v>87.661000000000001</v>
      </c>
      <c r="X39" s="1">
        <v>3.4510000000000001</v>
      </c>
      <c r="Y39" s="1">
        <v>3.50644</v>
      </c>
      <c r="Z39" s="1">
        <v>6.9020000000000001</v>
      </c>
      <c r="AA39" s="1">
        <v>20210222</v>
      </c>
      <c r="AB39" s="1"/>
      <c r="AC39" s="1">
        <v>74.06</v>
      </c>
      <c r="AD39" s="1"/>
      <c r="AE39" s="1">
        <v>75</v>
      </c>
      <c r="AF39" s="1"/>
      <c r="AG39" s="1">
        <v>73.91</v>
      </c>
      <c r="AH39" s="1"/>
      <c r="AI39" s="1"/>
      <c r="AJ39" s="1">
        <v>0.91384615384615497</v>
      </c>
      <c r="AK39" s="1">
        <v>2.5</v>
      </c>
      <c r="AL39" s="1">
        <v>62515</v>
      </c>
      <c r="AM39" s="1">
        <v>62367</v>
      </c>
      <c r="AN39" s="1">
        <v>50882.883999999998</v>
      </c>
      <c r="AO39" s="1">
        <v>58685</v>
      </c>
      <c r="AP39" s="1">
        <v>148</v>
      </c>
      <c r="AQ39" s="1">
        <v>2.90864016277065</v>
      </c>
      <c r="AR39" s="1">
        <v>6.5263696004089597</v>
      </c>
      <c r="AS39" s="1">
        <v>0.652636960040896</v>
      </c>
      <c r="AT39" s="1">
        <v>4.3</v>
      </c>
      <c r="AU39" s="1"/>
      <c r="AV39" s="1" t="s">
        <v>367</v>
      </c>
      <c r="AW39" s="1" t="s">
        <v>98</v>
      </c>
      <c r="AX39" s="1" t="s">
        <v>368</v>
      </c>
      <c r="AY39" s="1" t="s">
        <v>100</v>
      </c>
      <c r="AZ39" s="1" t="s">
        <v>118</v>
      </c>
      <c r="BA39" s="1" t="s">
        <v>100</v>
      </c>
      <c r="BB39" s="1" t="s">
        <v>101</v>
      </c>
      <c r="BC39" s="1" t="s">
        <v>98</v>
      </c>
      <c r="BD39" s="1" t="s">
        <v>101</v>
      </c>
      <c r="BE39" s="1" t="s">
        <v>98</v>
      </c>
      <c r="BF39" s="1" t="s">
        <v>137</v>
      </c>
      <c r="BG39" s="1" t="s">
        <v>100</v>
      </c>
      <c r="BH39" s="1" t="s">
        <v>147</v>
      </c>
      <c r="BI39" t="s">
        <v>96</v>
      </c>
      <c r="BJ39" t="s">
        <v>369</v>
      </c>
      <c r="BK39" t="s">
        <v>98</v>
      </c>
      <c r="BL39" t="s">
        <v>370</v>
      </c>
      <c r="BM39" t="s">
        <v>100</v>
      </c>
      <c r="BN39" t="s">
        <v>371</v>
      </c>
      <c r="BO39" t="s">
        <v>96</v>
      </c>
      <c r="BP39" t="s">
        <v>169</v>
      </c>
      <c r="BQ39" t="s">
        <v>100</v>
      </c>
      <c r="BR39" t="s">
        <v>105</v>
      </c>
      <c r="BT39" t="s">
        <v>128</v>
      </c>
      <c r="BU39" t="s">
        <v>100</v>
      </c>
      <c r="BV39" t="s">
        <v>125</v>
      </c>
      <c r="BW39" t="s">
        <v>96</v>
      </c>
      <c r="BX39" t="s">
        <v>126</v>
      </c>
      <c r="BY39" t="s">
        <v>100</v>
      </c>
      <c r="BZ39" t="s">
        <v>141</v>
      </c>
      <c r="CA39" t="s">
        <v>96</v>
      </c>
      <c r="CB39" t="s">
        <v>372</v>
      </c>
      <c r="CC39" t="s">
        <v>98</v>
      </c>
      <c r="CD39">
        <v>4.0999999999999996</v>
      </c>
      <c r="CE39" t="s">
        <v>100</v>
      </c>
      <c r="CF39">
        <v>0</v>
      </c>
      <c r="CG39" t="s">
        <v>96</v>
      </c>
      <c r="CH39">
        <v>1.7</v>
      </c>
      <c r="CI39" t="s">
        <v>96</v>
      </c>
      <c r="CJ39" t="s">
        <v>112</v>
      </c>
      <c r="CK39" t="s">
        <v>96</v>
      </c>
      <c r="CL39" t="s">
        <v>98</v>
      </c>
      <c r="CM39" t="s">
        <v>98</v>
      </c>
      <c r="CN39">
        <v>5.75</v>
      </c>
      <c r="CO39">
        <v>0</v>
      </c>
    </row>
    <row r="40" spans="1:93" x14ac:dyDescent="0.2">
      <c r="A40" s="3">
        <v>78</v>
      </c>
      <c r="B40" s="3" t="s">
        <v>373</v>
      </c>
      <c r="C40" s="3" t="s">
        <v>374</v>
      </c>
      <c r="D40" s="1"/>
      <c r="E40" s="1">
        <f t="shared" si="3"/>
        <v>6.7823299831252681</v>
      </c>
      <c r="F40" s="1">
        <f t="shared" si="4"/>
        <v>10</v>
      </c>
      <c r="G40" s="1">
        <f t="shared" si="5"/>
        <v>4.5999999999999996</v>
      </c>
      <c r="H40" s="1"/>
      <c r="I40" s="1">
        <v>27.2</v>
      </c>
      <c r="J40" s="1">
        <v>8.56</v>
      </c>
      <c r="K40" s="1"/>
      <c r="L40" s="1"/>
      <c r="M40" s="1"/>
      <c r="N40" s="1"/>
      <c r="O40" s="1"/>
      <c r="P40" s="1"/>
      <c r="Q40" s="1"/>
      <c r="R40" s="1"/>
      <c r="S40" s="1">
        <v>-7.2649572649572498</v>
      </c>
      <c r="T40" s="1">
        <v>-39.587532956467001</v>
      </c>
      <c r="U40" s="1">
        <v>0</v>
      </c>
      <c r="V40" s="1">
        <v>0</v>
      </c>
      <c r="W40" s="1">
        <v>27.599</v>
      </c>
      <c r="X40" s="1">
        <v>2.2999999999999998</v>
      </c>
      <c r="Y40" s="1">
        <v>1.1039600000000001</v>
      </c>
      <c r="Z40" s="1">
        <v>4.5999999999999996</v>
      </c>
      <c r="AA40" s="1">
        <v>20210222</v>
      </c>
      <c r="AB40" s="1"/>
      <c r="AC40" s="1"/>
      <c r="AD40" s="1"/>
      <c r="AE40" s="1"/>
      <c r="AF40" s="1"/>
      <c r="AG40" s="1"/>
      <c r="AH40" s="1"/>
      <c r="AI40" s="1"/>
      <c r="AJ40" s="1"/>
      <c r="AK40" s="1"/>
      <c r="AL40" s="1"/>
      <c r="AM40" s="1"/>
      <c r="AN40" s="1"/>
      <c r="AO40" s="1"/>
      <c r="AP40" s="1"/>
      <c r="AQ40" s="1"/>
      <c r="AR40" s="1"/>
      <c r="AS40" s="1"/>
      <c r="AT40" s="1">
        <v>6</v>
      </c>
      <c r="AU40" s="1"/>
      <c r="AV40" s="1" t="s">
        <v>375</v>
      </c>
      <c r="AW40" s="1" t="s">
        <v>100</v>
      </c>
      <c r="AX40" s="1" t="s">
        <v>105</v>
      </c>
      <c r="AY40" s="1"/>
      <c r="AZ40" s="1" t="s">
        <v>105</v>
      </c>
      <c r="BA40" s="1"/>
      <c r="BB40" s="1" t="s">
        <v>105</v>
      </c>
      <c r="BC40" s="1"/>
      <c r="BD40" s="1" t="s">
        <v>105</v>
      </c>
      <c r="BE40" s="1"/>
      <c r="BF40" s="1" t="s">
        <v>105</v>
      </c>
      <c r="BG40" s="1"/>
      <c r="BH40" s="1" t="s">
        <v>105</v>
      </c>
      <c r="BJ40" t="s">
        <v>376</v>
      </c>
      <c r="BK40" t="s">
        <v>98</v>
      </c>
      <c r="BL40" t="s">
        <v>105</v>
      </c>
      <c r="BN40" t="s">
        <v>192</v>
      </c>
      <c r="BO40" t="s">
        <v>96</v>
      </c>
      <c r="BP40" t="s">
        <v>227</v>
      </c>
      <c r="BQ40" t="s">
        <v>98</v>
      </c>
      <c r="BR40" t="s">
        <v>105</v>
      </c>
      <c r="BT40" t="s">
        <v>105</v>
      </c>
      <c r="BV40" t="s">
        <v>105</v>
      </c>
      <c r="BX40" t="s">
        <v>105</v>
      </c>
      <c r="BZ40" t="s">
        <v>105</v>
      </c>
      <c r="CB40" t="s">
        <v>105</v>
      </c>
      <c r="CD40">
        <v>0.1</v>
      </c>
      <c r="CE40" t="s">
        <v>96</v>
      </c>
      <c r="CF40">
        <v>2.9</v>
      </c>
      <c r="CG40" t="s">
        <v>100</v>
      </c>
      <c r="CH40">
        <v>0</v>
      </c>
      <c r="CI40" t="s">
        <v>96</v>
      </c>
      <c r="CJ40" t="s">
        <v>105</v>
      </c>
      <c r="CL40" t="s">
        <v>130</v>
      </c>
      <c r="CM40" t="s">
        <v>96</v>
      </c>
      <c r="CN40">
        <v>10</v>
      </c>
      <c r="CO40">
        <v>0</v>
      </c>
    </row>
    <row r="41" spans="1:93" x14ac:dyDescent="0.2">
      <c r="A41" s="3">
        <v>79</v>
      </c>
      <c r="B41" s="3" t="s">
        <v>377</v>
      </c>
      <c r="C41" s="3" t="s">
        <v>378</v>
      </c>
      <c r="D41" s="1"/>
      <c r="E41" s="1">
        <f t="shared" si="3"/>
        <v>5.0679042611320115</v>
      </c>
      <c r="F41" s="1">
        <f t="shared" si="4"/>
        <v>8.14</v>
      </c>
      <c r="G41" s="1">
        <f t="shared" si="5"/>
        <v>3.15524</v>
      </c>
      <c r="H41" s="1"/>
      <c r="I41" s="1">
        <v>29.3</v>
      </c>
      <c r="J41" s="1">
        <v>8.14</v>
      </c>
      <c r="K41" s="1"/>
      <c r="L41" s="1"/>
      <c r="M41" s="1"/>
      <c r="N41" s="1"/>
      <c r="O41" s="1"/>
      <c r="P41" s="1"/>
      <c r="Q41" s="1"/>
      <c r="R41" s="1"/>
      <c r="S41" s="1">
        <v>-4.25576400372546</v>
      </c>
      <c r="T41" s="1">
        <v>-28.084595540881399</v>
      </c>
      <c r="U41" s="1">
        <v>0</v>
      </c>
      <c r="V41" s="1">
        <v>0</v>
      </c>
      <c r="W41" s="1">
        <v>78.881</v>
      </c>
      <c r="X41" s="1">
        <v>1.2849999999999999</v>
      </c>
      <c r="Y41" s="1">
        <v>3.15524</v>
      </c>
      <c r="Z41" s="1">
        <v>2.57</v>
      </c>
      <c r="AA41" s="1">
        <v>20210222</v>
      </c>
      <c r="AB41" s="1"/>
      <c r="AC41" s="1">
        <v>63.89</v>
      </c>
      <c r="AD41" s="1"/>
      <c r="AE41" s="1">
        <v>75</v>
      </c>
      <c r="AF41" s="1"/>
      <c r="AG41" s="1">
        <v>62.18</v>
      </c>
      <c r="AH41" s="1"/>
      <c r="AI41" s="1"/>
      <c r="AJ41" s="1">
        <v>2.47846153846154</v>
      </c>
      <c r="AK41" s="1">
        <v>2.5</v>
      </c>
      <c r="AL41" s="1">
        <v>163</v>
      </c>
      <c r="AM41" s="1">
        <v>161</v>
      </c>
      <c r="AN41" s="1">
        <v>555.98800000000006</v>
      </c>
      <c r="AO41" s="1">
        <v>143</v>
      </c>
      <c r="AP41" s="1">
        <v>2</v>
      </c>
      <c r="AQ41" s="1">
        <v>3.59719993956704</v>
      </c>
      <c r="AR41" s="1">
        <v>13.986013986013999</v>
      </c>
      <c r="AS41" s="1">
        <v>1.3986013986014001</v>
      </c>
      <c r="AT41" s="1">
        <v>4.5</v>
      </c>
      <c r="AU41" s="1"/>
      <c r="AV41" s="1" t="s">
        <v>379</v>
      </c>
      <c r="AW41" s="1" t="s">
        <v>98</v>
      </c>
      <c r="AX41" s="1" t="s">
        <v>380</v>
      </c>
      <c r="AY41" s="1" t="s">
        <v>100</v>
      </c>
      <c r="AZ41" s="1" t="s">
        <v>99</v>
      </c>
      <c r="BA41" s="1" t="s">
        <v>100</v>
      </c>
      <c r="BB41" s="1" t="s">
        <v>119</v>
      </c>
      <c r="BC41" s="1" t="s">
        <v>96</v>
      </c>
      <c r="BD41" s="1" t="s">
        <v>120</v>
      </c>
      <c r="BE41" s="1" t="s">
        <v>100</v>
      </c>
      <c r="BF41" s="1" t="s">
        <v>137</v>
      </c>
      <c r="BG41" s="1" t="s">
        <v>100</v>
      </c>
      <c r="BH41" s="1" t="s">
        <v>103</v>
      </c>
      <c r="BI41" t="s">
        <v>98</v>
      </c>
      <c r="BJ41" t="s">
        <v>381</v>
      </c>
      <c r="BK41" t="s">
        <v>98</v>
      </c>
      <c r="BL41" t="s">
        <v>382</v>
      </c>
      <c r="BM41" t="s">
        <v>100</v>
      </c>
      <c r="BN41" t="s">
        <v>168</v>
      </c>
      <c r="BO41" t="s">
        <v>96</v>
      </c>
      <c r="BP41" t="s">
        <v>124</v>
      </c>
      <c r="BQ41" t="s">
        <v>96</v>
      </c>
      <c r="BR41" t="s">
        <v>105</v>
      </c>
      <c r="BT41" t="s">
        <v>105</v>
      </c>
      <c r="BV41" t="s">
        <v>125</v>
      </c>
      <c r="BW41" t="s">
        <v>96</v>
      </c>
      <c r="BX41" t="s">
        <v>110</v>
      </c>
      <c r="BY41" t="s">
        <v>96</v>
      </c>
      <c r="BZ41" t="s">
        <v>141</v>
      </c>
      <c r="CA41" t="s">
        <v>96</v>
      </c>
      <c r="CB41" t="s">
        <v>105</v>
      </c>
      <c r="CD41">
        <v>0.1</v>
      </c>
      <c r="CE41" t="s">
        <v>96</v>
      </c>
      <c r="CF41">
        <v>0</v>
      </c>
      <c r="CG41" t="s">
        <v>96</v>
      </c>
      <c r="CH41">
        <v>1.6</v>
      </c>
      <c r="CI41" t="s">
        <v>96</v>
      </c>
      <c r="CJ41" t="s">
        <v>105</v>
      </c>
      <c r="CL41" t="s">
        <v>130</v>
      </c>
      <c r="CM41" t="s">
        <v>96</v>
      </c>
      <c r="CN41">
        <v>6.25</v>
      </c>
      <c r="CO41">
        <v>0</v>
      </c>
    </row>
    <row r="42" spans="1:93" x14ac:dyDescent="0.2">
      <c r="A42" s="3">
        <v>80</v>
      </c>
      <c r="B42" s="3" t="s">
        <v>383</v>
      </c>
      <c r="C42" s="3" t="s">
        <v>384</v>
      </c>
      <c r="D42" s="1"/>
      <c r="E42" s="1">
        <f t="shared" si="3"/>
        <v>4.8697315854455061</v>
      </c>
      <c r="F42" s="1">
        <f t="shared" si="4"/>
        <v>4.9800000000000004</v>
      </c>
      <c r="G42" s="1">
        <f t="shared" si="5"/>
        <v>4.7619047619047397</v>
      </c>
      <c r="H42" s="1"/>
      <c r="I42" s="1">
        <v>45.1</v>
      </c>
      <c r="J42" s="1">
        <v>4.9800000000000004</v>
      </c>
      <c r="K42" s="1">
        <v>0</v>
      </c>
      <c r="L42" s="1">
        <v>0.3</v>
      </c>
      <c r="M42" s="1"/>
      <c r="N42" s="1"/>
      <c r="O42" s="1">
        <v>1</v>
      </c>
      <c r="P42" s="1">
        <v>0.8</v>
      </c>
      <c r="Q42" s="1">
        <v>0.5</v>
      </c>
      <c r="R42" s="1">
        <v>4.7619047619047397</v>
      </c>
      <c r="S42" s="1">
        <v>-42.944282965570899</v>
      </c>
      <c r="T42" s="1">
        <v>-31.698436797121001</v>
      </c>
      <c r="U42" s="1">
        <v>0</v>
      </c>
      <c r="V42" s="1">
        <v>0</v>
      </c>
      <c r="W42" s="1">
        <v>69.856999999999999</v>
      </c>
      <c r="X42" s="1">
        <v>1.3740000000000001</v>
      </c>
      <c r="Y42" s="1">
        <v>2.7942800000000001</v>
      </c>
      <c r="Z42" s="1">
        <v>2.7480000000000002</v>
      </c>
      <c r="AA42" s="1">
        <v>20210222</v>
      </c>
      <c r="AB42" s="1"/>
      <c r="AC42" s="1">
        <v>55.11</v>
      </c>
      <c r="AD42" s="1"/>
      <c r="AE42" s="1">
        <v>50</v>
      </c>
      <c r="AF42" s="1"/>
      <c r="AG42" s="1">
        <v>55.9</v>
      </c>
      <c r="AH42" s="1"/>
      <c r="AI42" s="1"/>
      <c r="AJ42" s="1">
        <v>3.8292307692307701</v>
      </c>
      <c r="AK42" s="1">
        <v>5</v>
      </c>
      <c r="AL42" s="1">
        <v>2960</v>
      </c>
      <c r="AM42" s="1">
        <v>2940</v>
      </c>
      <c r="AN42" s="1">
        <v>5094.1139999999996</v>
      </c>
      <c r="AO42" s="1">
        <v>2763</v>
      </c>
      <c r="AP42" s="1">
        <v>20</v>
      </c>
      <c r="AQ42" s="1">
        <v>3.9260998085241101</v>
      </c>
      <c r="AR42" s="1">
        <v>7.1299312341657703</v>
      </c>
      <c r="AS42" s="1">
        <v>0.71299312341657695</v>
      </c>
      <c r="AT42" s="1">
        <v>3.4</v>
      </c>
      <c r="AU42" s="1"/>
      <c r="AV42" s="1" t="s">
        <v>385</v>
      </c>
      <c r="AW42" s="1" t="s">
        <v>98</v>
      </c>
      <c r="AX42" s="1" t="s">
        <v>386</v>
      </c>
      <c r="AY42" s="1" t="s">
        <v>100</v>
      </c>
      <c r="AZ42" s="1" t="s">
        <v>99</v>
      </c>
      <c r="BA42" s="1" t="s">
        <v>100</v>
      </c>
      <c r="BB42" s="1" t="s">
        <v>119</v>
      </c>
      <c r="BC42" s="1" t="s">
        <v>96</v>
      </c>
      <c r="BD42" s="1" t="s">
        <v>120</v>
      </c>
      <c r="BE42" s="1" t="s">
        <v>100</v>
      </c>
      <c r="BF42" s="1" t="s">
        <v>137</v>
      </c>
      <c r="BG42" s="1" t="s">
        <v>100</v>
      </c>
      <c r="BH42" s="1" t="s">
        <v>121</v>
      </c>
      <c r="BI42" t="s">
        <v>100</v>
      </c>
      <c r="BJ42" t="s">
        <v>387</v>
      </c>
      <c r="BK42" t="s">
        <v>98</v>
      </c>
      <c r="BL42" t="s">
        <v>388</v>
      </c>
      <c r="BM42" t="s">
        <v>98</v>
      </c>
      <c r="BN42" t="s">
        <v>266</v>
      </c>
      <c r="BO42" t="s">
        <v>96</v>
      </c>
      <c r="BP42" t="s">
        <v>169</v>
      </c>
      <c r="BQ42" t="s">
        <v>100</v>
      </c>
      <c r="BR42" t="s">
        <v>105</v>
      </c>
      <c r="BT42" t="s">
        <v>105</v>
      </c>
      <c r="BV42" t="s">
        <v>125</v>
      </c>
      <c r="BW42" t="s">
        <v>96</v>
      </c>
      <c r="BX42" t="s">
        <v>200</v>
      </c>
      <c r="BY42" t="s">
        <v>100</v>
      </c>
      <c r="BZ42" t="s">
        <v>127</v>
      </c>
      <c r="CA42" t="s">
        <v>100</v>
      </c>
      <c r="CB42" t="s">
        <v>128</v>
      </c>
      <c r="CC42" t="s">
        <v>100</v>
      </c>
      <c r="CD42">
        <v>0</v>
      </c>
      <c r="CE42" t="s">
        <v>96</v>
      </c>
      <c r="CF42">
        <v>0</v>
      </c>
      <c r="CG42" t="s">
        <v>96</v>
      </c>
      <c r="CH42">
        <v>1</v>
      </c>
      <c r="CI42" t="s">
        <v>96</v>
      </c>
      <c r="CJ42" t="s">
        <v>105</v>
      </c>
      <c r="CL42" t="s">
        <v>389</v>
      </c>
      <c r="CM42" t="s">
        <v>100</v>
      </c>
      <c r="CN42">
        <v>3.5</v>
      </c>
      <c r="CO42">
        <v>0</v>
      </c>
    </row>
    <row r="43" spans="1:93" x14ac:dyDescent="0.2">
      <c r="A43" s="3">
        <v>81</v>
      </c>
      <c r="B43" s="3" t="s">
        <v>390</v>
      </c>
      <c r="C43" s="3" t="s">
        <v>391</v>
      </c>
      <c r="D43" s="1"/>
      <c r="E43" s="1">
        <f t="shared" si="3"/>
        <v>5.7569833370313823</v>
      </c>
      <c r="F43" s="1">
        <f t="shared" si="4"/>
        <v>6.96</v>
      </c>
      <c r="G43" s="1">
        <f t="shared" si="5"/>
        <v>4.7619047619047397</v>
      </c>
      <c r="H43" s="1"/>
      <c r="I43" s="1">
        <v>35.200000000000003</v>
      </c>
      <c r="J43" s="1">
        <v>6.96</v>
      </c>
      <c r="K43" s="1">
        <v>0.6</v>
      </c>
      <c r="L43" s="1">
        <v>0.7</v>
      </c>
      <c r="M43" s="1"/>
      <c r="N43" s="1"/>
      <c r="O43" s="1">
        <v>0.2</v>
      </c>
      <c r="P43" s="1"/>
      <c r="Q43" s="1">
        <v>0.5</v>
      </c>
      <c r="R43" s="1">
        <v>4.7619047619047397</v>
      </c>
      <c r="S43" s="1">
        <v>40.138976114746498</v>
      </c>
      <c r="T43" s="1">
        <v>1.99166306998336</v>
      </c>
      <c r="U43" s="1">
        <v>2.6759317409831</v>
      </c>
      <c r="V43" s="1">
        <v>0.132777537998891</v>
      </c>
      <c r="W43" s="1">
        <v>78.626000000000005</v>
      </c>
      <c r="X43" s="1">
        <v>0.378</v>
      </c>
      <c r="Y43" s="1">
        <v>3.1450399999999998</v>
      </c>
      <c r="Z43" s="1">
        <v>0.75600000000000001</v>
      </c>
      <c r="AA43" s="1">
        <v>20210222</v>
      </c>
      <c r="AB43" s="1">
        <v>70.56</v>
      </c>
      <c r="AC43" s="1">
        <v>70.56</v>
      </c>
      <c r="AD43" s="1">
        <v>50</v>
      </c>
      <c r="AE43" s="1">
        <v>50</v>
      </c>
      <c r="AF43" s="1">
        <v>73.72</v>
      </c>
      <c r="AG43" s="1">
        <v>73.72</v>
      </c>
      <c r="AH43" s="1">
        <v>0</v>
      </c>
      <c r="AI43" s="1"/>
      <c r="AJ43" s="1">
        <v>1.4523076923076901</v>
      </c>
      <c r="AK43" s="1">
        <v>5</v>
      </c>
      <c r="AL43" s="1">
        <v>560</v>
      </c>
      <c r="AM43" s="1">
        <v>523</v>
      </c>
      <c r="AN43" s="1">
        <v>11326.616</v>
      </c>
      <c r="AO43" s="1">
        <v>291</v>
      </c>
      <c r="AP43" s="1">
        <v>37</v>
      </c>
      <c r="AQ43" s="1">
        <v>3.2666420403057699</v>
      </c>
      <c r="AR43" s="1">
        <v>92.439862542955296</v>
      </c>
      <c r="AS43" s="1">
        <v>9.24398625429553</v>
      </c>
      <c r="AT43" s="1">
        <v>3.4</v>
      </c>
      <c r="AU43" s="1"/>
      <c r="AV43" s="1" t="s">
        <v>392</v>
      </c>
      <c r="AW43" s="1" t="s">
        <v>100</v>
      </c>
      <c r="AX43" s="1" t="s">
        <v>117</v>
      </c>
      <c r="AY43" s="1" t="s">
        <v>100</v>
      </c>
      <c r="AZ43" s="1" t="s">
        <v>99</v>
      </c>
      <c r="BA43" s="1" t="s">
        <v>100</v>
      </c>
      <c r="BB43" s="1" t="s">
        <v>119</v>
      </c>
      <c r="BC43" s="1" t="s">
        <v>96</v>
      </c>
      <c r="BD43" s="1" t="s">
        <v>101</v>
      </c>
      <c r="BE43" s="1" t="s">
        <v>98</v>
      </c>
      <c r="BF43" s="1" t="s">
        <v>102</v>
      </c>
      <c r="BG43" s="1" t="s">
        <v>98</v>
      </c>
      <c r="BH43" s="1" t="s">
        <v>147</v>
      </c>
      <c r="BI43" t="s">
        <v>96</v>
      </c>
      <c r="BJ43" t="s">
        <v>105</v>
      </c>
      <c r="BL43" t="s">
        <v>105</v>
      </c>
      <c r="BN43" t="s">
        <v>105</v>
      </c>
      <c r="BP43" t="s">
        <v>124</v>
      </c>
      <c r="BQ43" t="s">
        <v>96</v>
      </c>
      <c r="BR43" t="s">
        <v>105</v>
      </c>
      <c r="BT43" t="s">
        <v>105</v>
      </c>
      <c r="BV43" t="s">
        <v>125</v>
      </c>
      <c r="BW43" t="s">
        <v>96</v>
      </c>
      <c r="BX43" t="s">
        <v>200</v>
      </c>
      <c r="BY43" t="s">
        <v>100</v>
      </c>
      <c r="BZ43" t="s">
        <v>141</v>
      </c>
      <c r="CA43" t="s">
        <v>96</v>
      </c>
      <c r="CB43" t="s">
        <v>393</v>
      </c>
      <c r="CC43" t="s">
        <v>98</v>
      </c>
      <c r="CD43">
        <v>0</v>
      </c>
      <c r="CE43" t="s">
        <v>96</v>
      </c>
      <c r="CF43">
        <v>0</v>
      </c>
      <c r="CG43" t="s">
        <v>96</v>
      </c>
      <c r="CH43">
        <v>3.2</v>
      </c>
      <c r="CI43" t="s">
        <v>100</v>
      </c>
      <c r="CJ43" t="s">
        <v>112</v>
      </c>
      <c r="CK43" t="s">
        <v>96</v>
      </c>
      <c r="CL43" t="s">
        <v>130</v>
      </c>
      <c r="CM43" t="s">
        <v>96</v>
      </c>
      <c r="CN43">
        <v>3.5</v>
      </c>
      <c r="CO43">
        <v>0</v>
      </c>
    </row>
    <row r="44" spans="1:93" x14ac:dyDescent="0.2">
      <c r="A44" s="3">
        <v>82</v>
      </c>
      <c r="B44" s="3" t="s">
        <v>394</v>
      </c>
      <c r="C44" s="3" t="s">
        <v>395</v>
      </c>
      <c r="D44" s="1"/>
      <c r="E44" s="1">
        <f t="shared" si="3"/>
        <v>7.3484692283495345</v>
      </c>
      <c r="F44" s="1">
        <f t="shared" si="4"/>
        <v>5.4</v>
      </c>
      <c r="G44" s="1">
        <f t="shared" si="5"/>
        <v>10</v>
      </c>
      <c r="H44" s="1"/>
      <c r="I44" s="1">
        <v>43</v>
      </c>
      <c r="J44" s="1">
        <v>5.4</v>
      </c>
      <c r="K44" s="1">
        <v>0.7</v>
      </c>
      <c r="L44" s="1">
        <v>0.8</v>
      </c>
      <c r="M44" s="1"/>
      <c r="N44" s="1"/>
      <c r="O44" s="1">
        <v>0.8</v>
      </c>
      <c r="P44" s="1"/>
      <c r="Q44" s="1">
        <v>0.8</v>
      </c>
      <c r="R44" s="1">
        <v>10</v>
      </c>
      <c r="S44" s="1">
        <v>-37.861868616846202</v>
      </c>
      <c r="T44" s="1">
        <v>-12.644845005308101</v>
      </c>
      <c r="U44" s="1">
        <v>0</v>
      </c>
      <c r="V44" s="1">
        <v>0</v>
      </c>
      <c r="W44" s="1">
        <v>121.834</v>
      </c>
      <c r="X44" s="1">
        <v>1.3049999999999999</v>
      </c>
      <c r="Y44" s="1">
        <v>4.8733599999999999</v>
      </c>
      <c r="Z44" s="1">
        <v>2.61</v>
      </c>
      <c r="AA44" s="1">
        <v>20210222</v>
      </c>
      <c r="AB44" s="1"/>
      <c r="AC44" s="1">
        <v>84</v>
      </c>
      <c r="AD44" s="1"/>
      <c r="AE44" s="1">
        <v>100</v>
      </c>
      <c r="AF44" s="1"/>
      <c r="AG44" s="1">
        <v>81.540000000000006</v>
      </c>
      <c r="AH44" s="1"/>
      <c r="AI44" s="1"/>
      <c r="AJ44" s="1">
        <v>0</v>
      </c>
      <c r="AK44" s="1">
        <v>0</v>
      </c>
      <c r="AL44" s="1">
        <v>284</v>
      </c>
      <c r="AM44" s="1">
        <v>277</v>
      </c>
      <c r="AN44" s="1">
        <v>1207.3610000000001</v>
      </c>
      <c r="AO44" s="1">
        <v>229</v>
      </c>
      <c r="AP44" s="1">
        <v>7</v>
      </c>
      <c r="AQ44" s="1">
        <v>5.7977688528948699</v>
      </c>
      <c r="AR44" s="1">
        <v>24.0174672489083</v>
      </c>
      <c r="AS44" s="1">
        <v>2.4017467248908302</v>
      </c>
      <c r="AT44" s="1">
        <v>3.3</v>
      </c>
      <c r="AU44" s="1"/>
      <c r="AV44" s="1" t="s">
        <v>396</v>
      </c>
      <c r="AW44" s="1" t="s">
        <v>98</v>
      </c>
      <c r="AX44" s="1" t="s">
        <v>397</v>
      </c>
      <c r="AY44" s="1" t="s">
        <v>100</v>
      </c>
      <c r="AZ44" s="1" t="s">
        <v>135</v>
      </c>
      <c r="BA44" s="1" t="s">
        <v>100</v>
      </c>
      <c r="BB44" s="1" t="s">
        <v>101</v>
      </c>
      <c r="BC44" s="1" t="s">
        <v>98</v>
      </c>
      <c r="BD44" s="1" t="s">
        <v>136</v>
      </c>
      <c r="BE44" s="1" t="s">
        <v>100</v>
      </c>
      <c r="BF44" s="1" t="s">
        <v>183</v>
      </c>
      <c r="BG44" s="1" t="s">
        <v>96</v>
      </c>
      <c r="BH44" s="1" t="s">
        <v>147</v>
      </c>
      <c r="BI44" t="s">
        <v>96</v>
      </c>
      <c r="BJ44" t="s">
        <v>398</v>
      </c>
      <c r="BK44" t="s">
        <v>98</v>
      </c>
      <c r="BL44" t="s">
        <v>272</v>
      </c>
      <c r="BM44" t="s">
        <v>100</v>
      </c>
      <c r="BN44" t="s">
        <v>399</v>
      </c>
      <c r="BO44" t="s">
        <v>100</v>
      </c>
      <c r="BP44" t="s">
        <v>169</v>
      </c>
      <c r="BQ44" t="s">
        <v>100</v>
      </c>
      <c r="BR44" t="s">
        <v>105</v>
      </c>
      <c r="BT44" t="s">
        <v>400</v>
      </c>
      <c r="BU44" t="s">
        <v>98</v>
      </c>
      <c r="BV44" t="s">
        <v>125</v>
      </c>
      <c r="BW44" t="s">
        <v>96</v>
      </c>
      <c r="BX44" t="s">
        <v>110</v>
      </c>
      <c r="BY44" t="s">
        <v>96</v>
      </c>
      <c r="BZ44" t="s">
        <v>141</v>
      </c>
      <c r="CA44" t="s">
        <v>96</v>
      </c>
      <c r="CB44" t="s">
        <v>105</v>
      </c>
      <c r="CD44">
        <v>0</v>
      </c>
      <c r="CE44" t="s">
        <v>96</v>
      </c>
      <c r="CF44">
        <v>0</v>
      </c>
      <c r="CG44" t="s">
        <v>96</v>
      </c>
      <c r="CH44">
        <v>2.6</v>
      </c>
      <c r="CI44" t="s">
        <v>100</v>
      </c>
      <c r="CJ44" t="s">
        <v>105</v>
      </c>
      <c r="CL44" t="s">
        <v>130</v>
      </c>
      <c r="CM44" t="s">
        <v>96</v>
      </c>
      <c r="CN44">
        <v>3.25</v>
      </c>
      <c r="CO44">
        <v>0</v>
      </c>
    </row>
    <row r="45" spans="1:93" x14ac:dyDescent="0.2">
      <c r="A45" s="3">
        <v>83</v>
      </c>
      <c r="B45" s="3" t="s">
        <v>401</v>
      </c>
      <c r="C45" s="3" t="s">
        <v>402</v>
      </c>
      <c r="D45" s="1"/>
      <c r="E45" s="1">
        <f t="shared" si="3"/>
        <v>6</v>
      </c>
      <c r="F45" s="1">
        <f t="shared" si="4"/>
        <v>3.6</v>
      </c>
      <c r="G45" s="1">
        <f t="shared" si="5"/>
        <v>10</v>
      </c>
      <c r="H45" s="1"/>
      <c r="I45" s="1">
        <v>52</v>
      </c>
      <c r="J45" s="1">
        <v>3.6</v>
      </c>
      <c r="K45" s="1">
        <v>0</v>
      </c>
      <c r="L45" s="1">
        <v>0.7</v>
      </c>
      <c r="M45" s="1"/>
      <c r="N45" s="1"/>
      <c r="O45" s="1">
        <v>0.8</v>
      </c>
      <c r="P45" s="1">
        <v>0.3</v>
      </c>
      <c r="Q45" s="1">
        <v>0.5</v>
      </c>
      <c r="R45" s="1">
        <v>4.7619047619047397</v>
      </c>
      <c r="S45" s="1">
        <v>7.7481309717544598</v>
      </c>
      <c r="T45" s="1">
        <v>27.9844824701037</v>
      </c>
      <c r="U45" s="1">
        <v>0.51654206478362896</v>
      </c>
      <c r="V45" s="1">
        <v>1.8656321646735801</v>
      </c>
      <c r="W45" s="1">
        <v>869.09699999999998</v>
      </c>
      <c r="X45" s="1">
        <v>14.287000000000001</v>
      </c>
      <c r="Y45" s="1">
        <v>10</v>
      </c>
      <c r="Z45" s="1">
        <v>10</v>
      </c>
      <c r="AA45" s="1">
        <v>20210222</v>
      </c>
      <c r="AB45" s="1"/>
      <c r="AC45" s="1">
        <v>70.44</v>
      </c>
      <c r="AD45" s="1"/>
      <c r="AE45" s="1">
        <v>62.5</v>
      </c>
      <c r="AF45" s="1"/>
      <c r="AG45" s="1">
        <v>71.67</v>
      </c>
      <c r="AH45" s="1"/>
      <c r="AI45" s="1"/>
      <c r="AJ45" s="1">
        <v>1.4707692307692299</v>
      </c>
      <c r="AK45" s="1">
        <v>3.75</v>
      </c>
      <c r="AL45" s="1">
        <v>28892</v>
      </c>
      <c r="AM45" s="1">
        <v>27705</v>
      </c>
      <c r="AN45" s="1">
        <v>10708.982</v>
      </c>
      <c r="AO45" s="1">
        <v>19097</v>
      </c>
      <c r="AP45" s="1">
        <v>1187</v>
      </c>
      <c r="AQ45" s="1">
        <v>110.841534704232</v>
      </c>
      <c r="AR45" s="1">
        <v>51.290778656333501</v>
      </c>
      <c r="AS45" s="1">
        <v>5.1290778656333504</v>
      </c>
      <c r="AT45" s="1">
        <v>3.4</v>
      </c>
      <c r="AU45" s="1"/>
      <c r="AV45" s="1" t="s">
        <v>403</v>
      </c>
      <c r="AW45" s="1" t="s">
        <v>98</v>
      </c>
      <c r="AX45" s="1" t="s">
        <v>397</v>
      </c>
      <c r="AY45" s="1" t="s">
        <v>100</v>
      </c>
      <c r="AZ45" s="1" t="s">
        <v>135</v>
      </c>
      <c r="BA45" s="1" t="s">
        <v>100</v>
      </c>
      <c r="BB45" s="1" t="s">
        <v>119</v>
      </c>
      <c r="BC45" s="1" t="s">
        <v>96</v>
      </c>
      <c r="BD45" s="1" t="s">
        <v>120</v>
      </c>
      <c r="BE45" s="1" t="s">
        <v>100</v>
      </c>
      <c r="BF45" s="1" t="s">
        <v>183</v>
      </c>
      <c r="BG45" s="1" t="s">
        <v>96</v>
      </c>
      <c r="BH45" s="1" t="s">
        <v>121</v>
      </c>
      <c r="BI45" t="s">
        <v>100</v>
      </c>
      <c r="BJ45" t="s">
        <v>250</v>
      </c>
      <c r="BK45" t="s">
        <v>98</v>
      </c>
      <c r="BL45" t="s">
        <v>404</v>
      </c>
      <c r="BM45" t="s">
        <v>96</v>
      </c>
      <c r="BN45" t="s">
        <v>405</v>
      </c>
      <c r="BO45" t="s">
        <v>100</v>
      </c>
      <c r="BP45" t="s">
        <v>169</v>
      </c>
      <c r="BQ45" t="s">
        <v>100</v>
      </c>
      <c r="BR45" t="s">
        <v>105</v>
      </c>
      <c r="BT45" t="s">
        <v>105</v>
      </c>
      <c r="BV45" t="s">
        <v>125</v>
      </c>
      <c r="BW45" t="s">
        <v>96</v>
      </c>
      <c r="BX45" t="s">
        <v>126</v>
      </c>
      <c r="BY45" t="s">
        <v>100</v>
      </c>
      <c r="BZ45" t="s">
        <v>141</v>
      </c>
      <c r="CA45" t="s">
        <v>96</v>
      </c>
      <c r="CB45" t="s">
        <v>105</v>
      </c>
      <c r="CD45">
        <v>0</v>
      </c>
      <c r="CE45" t="s">
        <v>96</v>
      </c>
      <c r="CF45">
        <v>0</v>
      </c>
      <c r="CG45" t="s">
        <v>96</v>
      </c>
      <c r="CH45">
        <v>0</v>
      </c>
      <c r="CI45" t="s">
        <v>96</v>
      </c>
      <c r="CJ45" t="s">
        <v>105</v>
      </c>
      <c r="CL45" t="s">
        <v>130</v>
      </c>
      <c r="CM45" t="s">
        <v>96</v>
      </c>
      <c r="CN45">
        <v>3.5</v>
      </c>
      <c r="CO45">
        <v>0</v>
      </c>
    </row>
    <row r="46" spans="1:93" x14ac:dyDescent="0.2">
      <c r="A46" s="3">
        <v>84</v>
      </c>
      <c r="B46" s="3" t="s">
        <v>406</v>
      </c>
      <c r="C46" s="3" t="s">
        <v>407</v>
      </c>
      <c r="D46" s="1"/>
      <c r="E46" s="1">
        <f t="shared" si="3"/>
        <v>2.7830918058878313</v>
      </c>
      <c r="F46" s="1">
        <f t="shared" si="4"/>
        <v>0.79999999999999905</v>
      </c>
      <c r="G46" s="1">
        <f t="shared" si="5"/>
        <v>9.6820000000000004</v>
      </c>
      <c r="H46" s="1"/>
      <c r="I46" s="1">
        <v>66</v>
      </c>
      <c r="J46" s="1">
        <v>0.79999999999999905</v>
      </c>
      <c r="K46" s="1">
        <v>0</v>
      </c>
      <c r="L46" s="1">
        <v>0.7</v>
      </c>
      <c r="M46" s="1"/>
      <c r="N46" s="1"/>
      <c r="O46" s="1">
        <v>0.8</v>
      </c>
      <c r="P46" s="1">
        <v>0.3</v>
      </c>
      <c r="Q46" s="1">
        <v>0.4</v>
      </c>
      <c r="R46" s="1">
        <v>2.3809523809523698</v>
      </c>
      <c r="S46" s="1">
        <v>-31.622920349325899</v>
      </c>
      <c r="T46" s="1">
        <v>-25.3564522346954</v>
      </c>
      <c r="U46" s="1">
        <v>0</v>
      </c>
      <c r="V46" s="1">
        <v>0</v>
      </c>
      <c r="W46" s="1">
        <v>89.977999999999994</v>
      </c>
      <c r="X46" s="1">
        <v>4.8410000000000002</v>
      </c>
      <c r="Y46" s="1">
        <v>3.5991200000000001</v>
      </c>
      <c r="Z46" s="1">
        <v>9.6820000000000004</v>
      </c>
      <c r="AA46" s="1">
        <v>20210222</v>
      </c>
      <c r="AB46" s="1"/>
      <c r="AC46" s="1">
        <v>66.56</v>
      </c>
      <c r="AD46" s="1"/>
      <c r="AE46" s="1">
        <v>37.5</v>
      </c>
      <c r="AF46" s="1"/>
      <c r="AG46" s="1">
        <v>71.03</v>
      </c>
      <c r="AH46" s="1"/>
      <c r="AI46" s="1"/>
      <c r="AJ46" s="1">
        <v>2.0676923076923099</v>
      </c>
      <c r="AK46" s="1">
        <v>6.25</v>
      </c>
      <c r="AL46" s="1">
        <v>82605</v>
      </c>
      <c r="AM46" s="1">
        <v>80921</v>
      </c>
      <c r="AN46" s="1">
        <v>83783.945000000007</v>
      </c>
      <c r="AO46" s="1">
        <v>67883</v>
      </c>
      <c r="AP46" s="1">
        <v>1684</v>
      </c>
      <c r="AQ46" s="1">
        <v>20.0993161637352</v>
      </c>
      <c r="AR46" s="1">
        <v>21.6873149389391</v>
      </c>
      <c r="AS46" s="1">
        <v>2.1687314938939002</v>
      </c>
      <c r="AT46" s="1">
        <v>2.2000000000000002</v>
      </c>
      <c r="AU46" s="1"/>
      <c r="AV46" s="1" t="s">
        <v>408</v>
      </c>
      <c r="AW46" s="1" t="s">
        <v>98</v>
      </c>
      <c r="AX46" s="1" t="s">
        <v>409</v>
      </c>
      <c r="AY46" s="1" t="s">
        <v>96</v>
      </c>
      <c r="AZ46" s="1" t="s">
        <v>135</v>
      </c>
      <c r="BA46" s="1" t="s">
        <v>100</v>
      </c>
      <c r="BB46" s="1" t="s">
        <v>146</v>
      </c>
      <c r="BC46" s="1" t="s">
        <v>100</v>
      </c>
      <c r="BD46" s="1" t="s">
        <v>136</v>
      </c>
      <c r="BE46" s="1" t="s">
        <v>100</v>
      </c>
      <c r="BF46" s="1" t="s">
        <v>183</v>
      </c>
      <c r="BG46" s="1" t="s">
        <v>96</v>
      </c>
      <c r="BH46" s="1" t="s">
        <v>103</v>
      </c>
      <c r="BI46" t="s">
        <v>98</v>
      </c>
      <c r="BJ46" t="s">
        <v>328</v>
      </c>
      <c r="BK46" t="s">
        <v>98</v>
      </c>
      <c r="BL46" t="s">
        <v>410</v>
      </c>
      <c r="BM46" t="s">
        <v>96</v>
      </c>
      <c r="BN46" t="s">
        <v>411</v>
      </c>
      <c r="BO46" t="s">
        <v>96</v>
      </c>
      <c r="BP46" t="s">
        <v>227</v>
      </c>
      <c r="BQ46" t="s">
        <v>98</v>
      </c>
      <c r="BR46" t="s">
        <v>105</v>
      </c>
      <c r="BT46" t="s">
        <v>105</v>
      </c>
      <c r="BV46" t="s">
        <v>125</v>
      </c>
      <c r="BW46" t="s">
        <v>96</v>
      </c>
      <c r="BX46" t="s">
        <v>110</v>
      </c>
      <c r="BY46" t="s">
        <v>96</v>
      </c>
      <c r="BZ46" t="s">
        <v>127</v>
      </c>
      <c r="CA46" t="s">
        <v>100</v>
      </c>
      <c r="CB46" t="s">
        <v>105</v>
      </c>
      <c r="CD46">
        <v>0</v>
      </c>
      <c r="CE46" t="s">
        <v>96</v>
      </c>
      <c r="CF46">
        <v>0</v>
      </c>
      <c r="CG46" t="s">
        <v>96</v>
      </c>
      <c r="CH46">
        <v>0</v>
      </c>
      <c r="CI46" t="s">
        <v>96</v>
      </c>
      <c r="CJ46" t="s">
        <v>105</v>
      </c>
      <c r="CL46" t="s">
        <v>130</v>
      </c>
      <c r="CM46" t="s">
        <v>96</v>
      </c>
      <c r="CN46">
        <v>0.5</v>
      </c>
      <c r="CO46">
        <v>0</v>
      </c>
    </row>
    <row r="47" spans="1:93" x14ac:dyDescent="0.2">
      <c r="A47" s="3">
        <v>85</v>
      </c>
      <c r="B47" s="3" t="s">
        <v>412</v>
      </c>
      <c r="C47" s="3" t="s">
        <v>413</v>
      </c>
      <c r="D47" s="1"/>
      <c r="E47" s="1">
        <f t="shared" si="3"/>
        <v>9.674709297958259</v>
      </c>
      <c r="F47" s="1">
        <f t="shared" si="4"/>
        <v>9.36</v>
      </c>
      <c r="G47" s="1">
        <f t="shared" si="5"/>
        <v>10</v>
      </c>
      <c r="H47" s="1"/>
      <c r="I47" s="1">
        <v>23.2</v>
      </c>
      <c r="J47" s="1">
        <v>9.36</v>
      </c>
      <c r="K47" s="1">
        <v>0.5</v>
      </c>
      <c r="L47" s="1">
        <v>0.8</v>
      </c>
      <c r="M47" s="1"/>
      <c r="N47" s="1"/>
      <c r="O47" s="1">
        <v>0.2</v>
      </c>
      <c r="P47" s="1"/>
      <c r="Q47" s="1">
        <v>0.5</v>
      </c>
      <c r="R47" s="1">
        <v>4.7619047619047397</v>
      </c>
      <c r="S47" s="1">
        <v>-100</v>
      </c>
      <c r="T47" s="1">
        <v>165.65544987915101</v>
      </c>
      <c r="U47" s="1">
        <v>0</v>
      </c>
      <c r="V47" s="1">
        <v>10</v>
      </c>
      <c r="W47" s="1">
        <v>7.6630000000000003</v>
      </c>
      <c r="X47" s="1">
        <v>0</v>
      </c>
      <c r="Y47" s="1">
        <v>0.30652000000000101</v>
      </c>
      <c r="Z47" s="1">
        <v>0</v>
      </c>
      <c r="AA47" s="1">
        <v>20210222</v>
      </c>
      <c r="AB47" s="1"/>
      <c r="AC47" s="1">
        <v>36.67</v>
      </c>
      <c r="AD47" s="1"/>
      <c r="AE47" s="1">
        <v>12.5</v>
      </c>
      <c r="AF47" s="1"/>
      <c r="AG47" s="1">
        <v>40.380000000000003</v>
      </c>
      <c r="AH47" s="1"/>
      <c r="AI47" s="1"/>
      <c r="AJ47" s="1">
        <v>6.6661538461538496</v>
      </c>
      <c r="AK47" s="1">
        <v>8.75</v>
      </c>
      <c r="AL47" s="1">
        <v>63</v>
      </c>
      <c r="AM47" s="1">
        <v>63</v>
      </c>
      <c r="AN47" s="1">
        <v>988.00199999999995</v>
      </c>
      <c r="AO47" s="1">
        <v>63</v>
      </c>
      <c r="AP47" s="1">
        <v>0</v>
      </c>
      <c r="AQ47" s="1">
        <v>0</v>
      </c>
      <c r="AR47" s="1">
        <v>0</v>
      </c>
      <c r="AS47" s="1">
        <v>0</v>
      </c>
      <c r="AT47" s="1">
        <v>5.5</v>
      </c>
      <c r="AU47" s="1"/>
      <c r="AV47" s="1" t="s">
        <v>414</v>
      </c>
      <c r="AW47" s="1" t="s">
        <v>96</v>
      </c>
      <c r="AX47" s="1" t="s">
        <v>415</v>
      </c>
      <c r="AY47" s="1" t="s">
        <v>100</v>
      </c>
      <c r="AZ47" s="1" t="s">
        <v>99</v>
      </c>
      <c r="BA47" s="1" t="s">
        <v>100</v>
      </c>
      <c r="BB47" s="1" t="s">
        <v>101</v>
      </c>
      <c r="BC47" s="1" t="s">
        <v>98</v>
      </c>
      <c r="BD47" s="1" t="s">
        <v>101</v>
      </c>
      <c r="BE47" s="1" t="s">
        <v>98</v>
      </c>
      <c r="BF47" s="1" t="s">
        <v>137</v>
      </c>
      <c r="BG47" s="1" t="s">
        <v>100</v>
      </c>
      <c r="BH47" s="1" t="s">
        <v>103</v>
      </c>
      <c r="BI47" t="s">
        <v>98</v>
      </c>
      <c r="BJ47" t="s">
        <v>311</v>
      </c>
      <c r="BK47" t="s">
        <v>98</v>
      </c>
      <c r="BL47" t="s">
        <v>105</v>
      </c>
      <c r="BN47" t="s">
        <v>288</v>
      </c>
      <c r="BO47" t="s">
        <v>96</v>
      </c>
      <c r="BP47" t="s">
        <v>124</v>
      </c>
      <c r="BQ47" t="s">
        <v>96</v>
      </c>
      <c r="BR47" t="s">
        <v>105</v>
      </c>
      <c r="BT47" t="s">
        <v>105</v>
      </c>
      <c r="BV47" t="s">
        <v>125</v>
      </c>
      <c r="BW47" t="s">
        <v>96</v>
      </c>
      <c r="BX47" t="s">
        <v>200</v>
      </c>
      <c r="BY47" t="s">
        <v>100</v>
      </c>
      <c r="BZ47" t="s">
        <v>141</v>
      </c>
      <c r="CA47" t="s">
        <v>96</v>
      </c>
      <c r="CB47" t="s">
        <v>105</v>
      </c>
      <c r="CD47">
        <v>0</v>
      </c>
      <c r="CE47" t="s">
        <v>96</v>
      </c>
      <c r="CF47">
        <v>0</v>
      </c>
      <c r="CG47" t="s">
        <v>96</v>
      </c>
      <c r="CH47">
        <v>4.0999999999999996</v>
      </c>
      <c r="CI47" t="s">
        <v>100</v>
      </c>
      <c r="CJ47" t="s">
        <v>112</v>
      </c>
      <c r="CK47" t="s">
        <v>96</v>
      </c>
      <c r="CL47" t="s">
        <v>100</v>
      </c>
      <c r="CM47" t="s">
        <v>100</v>
      </c>
      <c r="CN47">
        <v>8.75</v>
      </c>
      <c r="CO47">
        <v>0</v>
      </c>
    </row>
    <row r="48" spans="1:93" x14ac:dyDescent="0.2">
      <c r="A48" s="3">
        <v>86</v>
      </c>
      <c r="B48" s="3" t="s">
        <v>416</v>
      </c>
      <c r="C48" s="3" t="s">
        <v>417</v>
      </c>
      <c r="D48" s="1"/>
      <c r="E48" s="1">
        <f t="shared" si="3"/>
        <v>9.3605046668994945</v>
      </c>
      <c r="F48" s="1">
        <f t="shared" si="4"/>
        <v>9.1999999999999993</v>
      </c>
      <c r="G48" s="1">
        <f t="shared" si="5"/>
        <v>9.5238095238094793</v>
      </c>
      <c r="H48" s="1"/>
      <c r="I48" s="1">
        <v>24</v>
      </c>
      <c r="J48" s="1">
        <v>9.1999999999999993</v>
      </c>
      <c r="K48" s="1">
        <v>1</v>
      </c>
      <c r="L48" s="1">
        <v>0.8</v>
      </c>
      <c r="M48" s="1"/>
      <c r="N48" s="1"/>
      <c r="O48" s="1">
        <v>0.2</v>
      </c>
      <c r="P48" s="1"/>
      <c r="Q48" s="1">
        <v>0.7</v>
      </c>
      <c r="R48" s="1">
        <v>9.5238095238094793</v>
      </c>
      <c r="S48" s="1"/>
      <c r="T48" s="1"/>
      <c r="U48" s="1"/>
      <c r="V48" s="1"/>
      <c r="W48" s="1">
        <v>25.797000000000001</v>
      </c>
      <c r="X48" s="1">
        <v>0</v>
      </c>
      <c r="Y48" s="1">
        <v>1.0318799999999999</v>
      </c>
      <c r="Z48" s="1">
        <v>0</v>
      </c>
      <c r="AA48" s="1">
        <v>20210222</v>
      </c>
      <c r="AB48" s="1">
        <v>43.11</v>
      </c>
      <c r="AC48" s="1">
        <v>43.11</v>
      </c>
      <c r="AD48" s="1">
        <v>25</v>
      </c>
      <c r="AE48" s="1">
        <v>25</v>
      </c>
      <c r="AF48" s="1">
        <v>45.9</v>
      </c>
      <c r="AG48" s="1">
        <v>45.9</v>
      </c>
      <c r="AH48" s="1">
        <v>1</v>
      </c>
      <c r="AI48" s="1">
        <v>1</v>
      </c>
      <c r="AJ48" s="1">
        <v>5.6753846153846199</v>
      </c>
      <c r="AK48" s="1">
        <v>7.5</v>
      </c>
      <c r="AL48" s="1">
        <v>0</v>
      </c>
      <c r="AM48" s="1">
        <v>0</v>
      </c>
      <c r="AN48" s="1"/>
      <c r="AO48" s="1">
        <v>0</v>
      </c>
      <c r="AP48" s="1">
        <v>0</v>
      </c>
      <c r="AQ48" s="1"/>
      <c r="AR48" s="1"/>
      <c r="AS48" s="1"/>
      <c r="AT48" s="1">
        <v>4.2</v>
      </c>
      <c r="AU48" s="1"/>
      <c r="AV48" s="1" t="s">
        <v>418</v>
      </c>
      <c r="AW48" s="1" t="s">
        <v>96</v>
      </c>
      <c r="AX48" s="1" t="s">
        <v>419</v>
      </c>
      <c r="AY48" s="1" t="s">
        <v>100</v>
      </c>
      <c r="AZ48" s="1" t="s">
        <v>118</v>
      </c>
      <c r="BA48" s="1" t="s">
        <v>100</v>
      </c>
      <c r="BB48" s="1" t="s">
        <v>101</v>
      </c>
      <c r="BC48" s="1" t="s">
        <v>98</v>
      </c>
      <c r="BD48" s="1" t="s">
        <v>120</v>
      </c>
      <c r="BE48" s="1" t="s">
        <v>100</v>
      </c>
      <c r="BF48" s="1" t="s">
        <v>137</v>
      </c>
      <c r="BG48" s="1" t="s">
        <v>100</v>
      </c>
      <c r="BH48" s="1" t="s">
        <v>103</v>
      </c>
      <c r="BI48" t="s">
        <v>98</v>
      </c>
      <c r="BJ48" t="s">
        <v>420</v>
      </c>
      <c r="BK48" t="s">
        <v>98</v>
      </c>
      <c r="BL48" t="s">
        <v>105</v>
      </c>
      <c r="BN48" t="s">
        <v>245</v>
      </c>
      <c r="BO48" t="s">
        <v>96</v>
      </c>
      <c r="BP48" t="s">
        <v>124</v>
      </c>
      <c r="BQ48" t="s">
        <v>96</v>
      </c>
      <c r="BR48" t="s">
        <v>105</v>
      </c>
      <c r="BT48" t="s">
        <v>105</v>
      </c>
      <c r="BV48" t="s">
        <v>125</v>
      </c>
      <c r="BW48" t="s">
        <v>96</v>
      </c>
      <c r="BX48" t="s">
        <v>126</v>
      </c>
      <c r="BY48" t="s">
        <v>100</v>
      </c>
      <c r="BZ48" t="s">
        <v>141</v>
      </c>
      <c r="CA48" t="s">
        <v>96</v>
      </c>
      <c r="CB48" t="s">
        <v>105</v>
      </c>
      <c r="CD48">
        <v>0.1</v>
      </c>
      <c r="CE48" t="s">
        <v>96</v>
      </c>
      <c r="CF48">
        <v>0</v>
      </c>
      <c r="CG48" t="s">
        <v>96</v>
      </c>
      <c r="CH48">
        <v>0</v>
      </c>
      <c r="CI48" t="s">
        <v>96</v>
      </c>
      <c r="CJ48" t="s">
        <v>105</v>
      </c>
      <c r="CL48" t="s">
        <v>130</v>
      </c>
      <c r="CM48" t="s">
        <v>96</v>
      </c>
      <c r="CN48">
        <v>5.5</v>
      </c>
      <c r="CO48">
        <v>0</v>
      </c>
    </row>
    <row r="49" spans="1:93" x14ac:dyDescent="0.2">
      <c r="A49" s="3">
        <v>87</v>
      </c>
      <c r="B49" s="3" t="s">
        <v>421</v>
      </c>
      <c r="C49" s="3" t="s">
        <v>422</v>
      </c>
      <c r="D49" s="1"/>
      <c r="E49" s="1">
        <f t="shared" si="3"/>
        <v>1.5811388300841898</v>
      </c>
      <c r="F49" s="1">
        <f t="shared" si="4"/>
        <v>0.25</v>
      </c>
      <c r="G49" s="1">
        <f t="shared" si="5"/>
        <v>10</v>
      </c>
      <c r="H49" s="1"/>
      <c r="I49" s="1">
        <v>70.400000000000006</v>
      </c>
      <c r="J49" s="1">
        <v>0</v>
      </c>
      <c r="K49" s="1">
        <v>0</v>
      </c>
      <c r="L49" s="1">
        <v>0.9</v>
      </c>
      <c r="M49" s="1"/>
      <c r="N49" s="1"/>
      <c r="O49" s="1">
        <v>0.8</v>
      </c>
      <c r="P49" s="1">
        <v>0.3</v>
      </c>
      <c r="Q49" s="1">
        <v>0.5</v>
      </c>
      <c r="R49" s="1">
        <v>4.7619047619047397</v>
      </c>
      <c r="S49" s="1">
        <v>-36.220354929760198</v>
      </c>
      <c r="T49" s="1">
        <v>-11.9213356423842</v>
      </c>
      <c r="U49" s="1">
        <v>0</v>
      </c>
      <c r="V49" s="1">
        <v>0</v>
      </c>
      <c r="W49" s="1">
        <v>79.317999999999998</v>
      </c>
      <c r="X49" s="1">
        <v>1.135</v>
      </c>
      <c r="Y49" s="1">
        <v>3.17272</v>
      </c>
      <c r="Z49" s="1">
        <v>2.27</v>
      </c>
      <c r="AA49" s="1">
        <v>20210222</v>
      </c>
      <c r="AB49" s="1"/>
      <c r="AC49" s="1">
        <v>64</v>
      </c>
      <c r="AD49" s="1"/>
      <c r="AE49" s="1">
        <v>50</v>
      </c>
      <c r="AF49" s="1"/>
      <c r="AG49" s="1">
        <v>66.150000000000006</v>
      </c>
      <c r="AH49" s="1"/>
      <c r="AI49" s="1"/>
      <c r="AJ49" s="1">
        <v>2.4615384615384599</v>
      </c>
      <c r="AK49" s="1">
        <v>5</v>
      </c>
      <c r="AL49" s="1">
        <v>2677</v>
      </c>
      <c r="AM49" s="1">
        <v>2633</v>
      </c>
      <c r="AN49" s="1">
        <v>5792.2030000000004</v>
      </c>
      <c r="AO49" s="1">
        <v>2334</v>
      </c>
      <c r="AP49" s="1">
        <v>44</v>
      </c>
      <c r="AQ49" s="1">
        <v>7.5964188409832998</v>
      </c>
      <c r="AR49" s="1">
        <v>14.6958011996572</v>
      </c>
      <c r="AS49" s="1">
        <v>1.4695801199657299</v>
      </c>
      <c r="AT49" s="1">
        <v>2.1</v>
      </c>
      <c r="AU49" s="1"/>
      <c r="AV49" s="1" t="s">
        <v>423</v>
      </c>
      <c r="AW49" s="1" t="s">
        <v>100</v>
      </c>
      <c r="AX49" s="1" t="s">
        <v>424</v>
      </c>
      <c r="AY49" s="1" t="s">
        <v>100</v>
      </c>
      <c r="AZ49" s="1" t="s">
        <v>135</v>
      </c>
      <c r="BA49" s="1" t="s">
        <v>100</v>
      </c>
      <c r="BB49" s="1" t="s">
        <v>101</v>
      </c>
      <c r="BC49" s="1" t="s">
        <v>98</v>
      </c>
      <c r="BD49" s="1" t="s">
        <v>120</v>
      </c>
      <c r="BE49" s="1" t="s">
        <v>100</v>
      </c>
      <c r="BF49" s="1" t="s">
        <v>183</v>
      </c>
      <c r="BG49" s="1" t="s">
        <v>96</v>
      </c>
      <c r="BH49" s="1" t="s">
        <v>103</v>
      </c>
      <c r="BI49" t="s">
        <v>98</v>
      </c>
      <c r="BJ49" t="s">
        <v>161</v>
      </c>
      <c r="BK49" t="s">
        <v>98</v>
      </c>
      <c r="BL49" t="s">
        <v>425</v>
      </c>
      <c r="BM49" t="s">
        <v>100</v>
      </c>
      <c r="BN49" t="s">
        <v>426</v>
      </c>
      <c r="BO49" t="s">
        <v>96</v>
      </c>
      <c r="BP49" t="s">
        <v>169</v>
      </c>
      <c r="BQ49" t="s">
        <v>100</v>
      </c>
      <c r="BR49" t="s">
        <v>105</v>
      </c>
      <c r="BT49" t="s">
        <v>105</v>
      </c>
      <c r="BV49" t="s">
        <v>125</v>
      </c>
      <c r="BW49" t="s">
        <v>96</v>
      </c>
      <c r="BX49" t="s">
        <v>110</v>
      </c>
      <c r="BY49" t="s">
        <v>96</v>
      </c>
      <c r="BZ49" t="s">
        <v>127</v>
      </c>
      <c r="CA49" t="s">
        <v>100</v>
      </c>
      <c r="CB49" t="s">
        <v>105</v>
      </c>
      <c r="CD49">
        <v>0</v>
      </c>
      <c r="CE49" t="s">
        <v>96</v>
      </c>
      <c r="CF49">
        <v>0</v>
      </c>
      <c r="CG49" t="s">
        <v>96</v>
      </c>
      <c r="CH49">
        <v>0.3</v>
      </c>
      <c r="CI49" t="s">
        <v>96</v>
      </c>
      <c r="CJ49" t="s">
        <v>105</v>
      </c>
      <c r="CL49" t="s">
        <v>130</v>
      </c>
      <c r="CM49" t="s">
        <v>96</v>
      </c>
      <c r="CN49">
        <v>0.25</v>
      </c>
      <c r="CO49">
        <v>10</v>
      </c>
    </row>
    <row r="50" spans="1:93" x14ac:dyDescent="0.2">
      <c r="A50" s="3">
        <v>88</v>
      </c>
      <c r="B50" s="3" t="s">
        <v>427</v>
      </c>
      <c r="C50" s="3" t="s">
        <v>428</v>
      </c>
      <c r="D50" s="1"/>
      <c r="E50" s="1">
        <f t="shared" si="3"/>
        <v>4.5974541450007509</v>
      </c>
      <c r="F50" s="1">
        <f t="shared" si="4"/>
        <v>6.34</v>
      </c>
      <c r="G50" s="1">
        <f t="shared" si="5"/>
        <v>3.3338461538461499</v>
      </c>
      <c r="H50" s="1"/>
      <c r="I50" s="1">
        <v>38.299999999999997</v>
      </c>
      <c r="J50" s="1">
        <v>6.34</v>
      </c>
      <c r="K50" s="1">
        <v>0</v>
      </c>
      <c r="L50" s="1">
        <v>0.6</v>
      </c>
      <c r="M50" s="1"/>
      <c r="N50" s="1"/>
      <c r="O50" s="1">
        <v>0.5</v>
      </c>
      <c r="P50" s="1">
        <v>0.6</v>
      </c>
      <c r="Q50" s="1">
        <v>0.4</v>
      </c>
      <c r="R50" s="1">
        <v>2.3809523809523698</v>
      </c>
      <c r="S50" s="1">
        <v>-29.530161877000399</v>
      </c>
      <c r="T50" s="1">
        <v>-35.561789035702098</v>
      </c>
      <c r="U50" s="1">
        <v>0</v>
      </c>
      <c r="V50" s="1">
        <v>0</v>
      </c>
      <c r="W50" s="1">
        <v>74.984999999999999</v>
      </c>
      <c r="X50" s="1">
        <v>1.238</v>
      </c>
      <c r="Y50" s="1">
        <v>2.9994000000000001</v>
      </c>
      <c r="Z50" s="1">
        <v>2.476</v>
      </c>
      <c r="AA50" s="1">
        <v>20210222</v>
      </c>
      <c r="AB50" s="1"/>
      <c r="AC50" s="1">
        <v>58.33</v>
      </c>
      <c r="AD50" s="1"/>
      <c r="AE50" s="1">
        <v>25</v>
      </c>
      <c r="AF50" s="1"/>
      <c r="AG50" s="1">
        <v>63.46</v>
      </c>
      <c r="AH50" s="1"/>
      <c r="AI50" s="1"/>
      <c r="AJ50" s="1">
        <v>3.3338461538461499</v>
      </c>
      <c r="AK50" s="1">
        <v>7.5</v>
      </c>
      <c r="AL50" s="1">
        <v>3424</v>
      </c>
      <c r="AM50" s="1">
        <v>3397</v>
      </c>
      <c r="AN50" s="1">
        <v>10847.904</v>
      </c>
      <c r="AO50" s="1">
        <v>3028</v>
      </c>
      <c r="AP50" s="1">
        <v>27</v>
      </c>
      <c r="AQ50" s="1">
        <v>2.48896007929274</v>
      </c>
      <c r="AR50" s="1">
        <v>13.0779392338177</v>
      </c>
      <c r="AS50" s="1">
        <v>1.3077939233817699</v>
      </c>
      <c r="AT50" s="1">
        <v>4.3</v>
      </c>
      <c r="AU50" s="1"/>
      <c r="AV50" s="1" t="s">
        <v>429</v>
      </c>
      <c r="AW50" s="1" t="s">
        <v>98</v>
      </c>
      <c r="AX50" s="1" t="s">
        <v>430</v>
      </c>
      <c r="AY50" s="1" t="s">
        <v>100</v>
      </c>
      <c r="AZ50" s="1" t="s">
        <v>99</v>
      </c>
      <c r="BA50" s="1" t="s">
        <v>100</v>
      </c>
      <c r="BB50" s="1" t="s">
        <v>101</v>
      </c>
      <c r="BC50" s="1" t="s">
        <v>98</v>
      </c>
      <c r="BD50" s="1" t="s">
        <v>136</v>
      </c>
      <c r="BE50" s="1" t="s">
        <v>100</v>
      </c>
      <c r="BF50" s="1" t="s">
        <v>137</v>
      </c>
      <c r="BG50" s="1" t="s">
        <v>100</v>
      </c>
      <c r="BH50" s="1" t="s">
        <v>103</v>
      </c>
      <c r="BI50" t="s">
        <v>98</v>
      </c>
      <c r="BJ50" t="s">
        <v>328</v>
      </c>
      <c r="BK50" t="s">
        <v>98</v>
      </c>
      <c r="BL50" t="s">
        <v>431</v>
      </c>
      <c r="BM50" t="s">
        <v>100</v>
      </c>
      <c r="BN50" t="s">
        <v>405</v>
      </c>
      <c r="BO50" t="s">
        <v>100</v>
      </c>
      <c r="BP50" t="s">
        <v>227</v>
      </c>
      <c r="BQ50" t="s">
        <v>98</v>
      </c>
      <c r="BR50" t="s">
        <v>105</v>
      </c>
      <c r="BT50" t="s">
        <v>105</v>
      </c>
      <c r="BV50" t="s">
        <v>125</v>
      </c>
      <c r="BW50" t="s">
        <v>96</v>
      </c>
      <c r="BX50" t="s">
        <v>126</v>
      </c>
      <c r="BY50" t="s">
        <v>100</v>
      </c>
      <c r="BZ50" t="s">
        <v>127</v>
      </c>
      <c r="CA50" t="s">
        <v>100</v>
      </c>
      <c r="CB50" t="s">
        <v>105</v>
      </c>
      <c r="CD50">
        <v>2.2999999999999998</v>
      </c>
      <c r="CE50" t="s">
        <v>100</v>
      </c>
      <c r="CF50">
        <v>0</v>
      </c>
      <c r="CG50" t="s">
        <v>96</v>
      </c>
      <c r="CH50">
        <v>0</v>
      </c>
      <c r="CI50" t="s">
        <v>96</v>
      </c>
      <c r="CJ50" t="s">
        <v>105</v>
      </c>
      <c r="CL50" t="s">
        <v>130</v>
      </c>
      <c r="CM50" t="s">
        <v>96</v>
      </c>
      <c r="CN50">
        <v>5.75</v>
      </c>
      <c r="CO50">
        <v>0</v>
      </c>
    </row>
    <row r="51" spans="1:93" x14ac:dyDescent="0.2">
      <c r="A51" s="3">
        <v>89</v>
      </c>
      <c r="B51" s="3" t="s">
        <v>432</v>
      </c>
      <c r="C51" s="3" t="s">
        <v>433</v>
      </c>
      <c r="D51" s="1"/>
      <c r="E51" s="1">
        <f t="shared" si="3"/>
        <v>5.2682386488786221</v>
      </c>
      <c r="F51" s="1">
        <f t="shared" si="4"/>
        <v>9.2799999999999994</v>
      </c>
      <c r="G51" s="1">
        <f t="shared" si="5"/>
        <v>2.9907692307692302</v>
      </c>
      <c r="H51" s="1"/>
      <c r="I51" s="1">
        <v>23.6</v>
      </c>
      <c r="J51" s="1">
        <v>9.2799999999999994</v>
      </c>
      <c r="K51" s="1">
        <v>0</v>
      </c>
      <c r="L51" s="1">
        <v>0.3</v>
      </c>
      <c r="M51" s="1"/>
      <c r="N51" s="1"/>
      <c r="O51" s="1">
        <v>1</v>
      </c>
      <c r="P51" s="1"/>
      <c r="Q51" s="1">
        <v>0.4</v>
      </c>
      <c r="R51" s="1">
        <v>2.3809523809523698</v>
      </c>
      <c r="S51" s="1">
        <v>-10.8627858627859</v>
      </c>
      <c r="T51" s="1">
        <v>-18.928707605321701</v>
      </c>
      <c r="U51" s="1">
        <v>0</v>
      </c>
      <c r="V51" s="1">
        <v>0</v>
      </c>
      <c r="W51" s="1">
        <v>3.9289999999999998</v>
      </c>
      <c r="X51" s="1">
        <v>7.1999999999999995E-2</v>
      </c>
      <c r="Y51" s="1">
        <v>0.15716000000000099</v>
      </c>
      <c r="Z51" s="1">
        <v>0.14399999999999999</v>
      </c>
      <c r="AA51" s="1">
        <v>20210222</v>
      </c>
      <c r="AB51" s="1"/>
      <c r="AC51" s="1">
        <v>60.56</v>
      </c>
      <c r="AD51" s="1"/>
      <c r="AE51" s="1">
        <v>25</v>
      </c>
      <c r="AF51" s="1"/>
      <c r="AG51" s="1">
        <v>66.03</v>
      </c>
      <c r="AH51" s="1"/>
      <c r="AI51" s="1"/>
      <c r="AJ51" s="1">
        <v>2.9907692307692302</v>
      </c>
      <c r="AK51" s="1">
        <v>7.5</v>
      </c>
      <c r="AL51" s="1">
        <v>3086</v>
      </c>
      <c r="AM51" s="1">
        <v>3072</v>
      </c>
      <c r="AN51" s="1">
        <v>43851.042999999998</v>
      </c>
      <c r="AO51" s="1">
        <v>2958</v>
      </c>
      <c r="AP51" s="1">
        <v>14</v>
      </c>
      <c r="AQ51" s="1">
        <v>0.319262645588612</v>
      </c>
      <c r="AR51" s="1">
        <v>4.3272481406355601</v>
      </c>
      <c r="AS51" s="1">
        <v>0.43272481406355601</v>
      </c>
      <c r="AT51" s="1">
        <v>3.9</v>
      </c>
      <c r="AU51" s="1"/>
      <c r="AV51" s="1" t="s">
        <v>434</v>
      </c>
      <c r="AW51" s="1" t="s">
        <v>96</v>
      </c>
      <c r="AX51" s="1" t="s">
        <v>263</v>
      </c>
      <c r="AY51" s="1" t="s">
        <v>100</v>
      </c>
      <c r="AZ51" s="1" t="s">
        <v>174</v>
      </c>
      <c r="BA51" s="1" t="s">
        <v>96</v>
      </c>
      <c r="BB51" s="1" t="s">
        <v>119</v>
      </c>
      <c r="BC51" s="1" t="s">
        <v>96</v>
      </c>
      <c r="BD51" s="1" t="s">
        <v>136</v>
      </c>
      <c r="BE51" s="1" t="s">
        <v>100</v>
      </c>
      <c r="BF51" s="1" t="s">
        <v>102</v>
      </c>
      <c r="BG51" s="1" t="s">
        <v>98</v>
      </c>
      <c r="BH51" s="1" t="s">
        <v>147</v>
      </c>
      <c r="BI51" t="s">
        <v>96</v>
      </c>
      <c r="BJ51" t="s">
        <v>387</v>
      </c>
      <c r="BK51" t="s">
        <v>98</v>
      </c>
      <c r="BL51" t="s">
        <v>435</v>
      </c>
      <c r="BM51" t="s">
        <v>100</v>
      </c>
      <c r="BN51" t="s">
        <v>436</v>
      </c>
      <c r="BO51" t="s">
        <v>100</v>
      </c>
      <c r="BP51" t="s">
        <v>124</v>
      </c>
      <c r="BQ51" t="s">
        <v>96</v>
      </c>
      <c r="BR51" t="s">
        <v>105</v>
      </c>
      <c r="BT51" t="s">
        <v>437</v>
      </c>
      <c r="BU51" t="s">
        <v>96</v>
      </c>
      <c r="BV51" t="s">
        <v>125</v>
      </c>
      <c r="BW51" t="s">
        <v>96</v>
      </c>
      <c r="BX51" t="s">
        <v>200</v>
      </c>
      <c r="BY51" t="s">
        <v>100</v>
      </c>
      <c r="BZ51" t="s">
        <v>141</v>
      </c>
      <c r="CA51" t="s">
        <v>96</v>
      </c>
      <c r="CB51" t="s">
        <v>393</v>
      </c>
      <c r="CC51" t="s">
        <v>98</v>
      </c>
      <c r="CD51">
        <v>1.5</v>
      </c>
      <c r="CE51" t="s">
        <v>96</v>
      </c>
      <c r="CF51">
        <v>0</v>
      </c>
      <c r="CG51" t="s">
        <v>96</v>
      </c>
      <c r="CH51">
        <v>3.8</v>
      </c>
      <c r="CI51" t="s">
        <v>100</v>
      </c>
      <c r="CJ51" t="s">
        <v>112</v>
      </c>
      <c r="CK51" t="s">
        <v>96</v>
      </c>
      <c r="CL51" t="s">
        <v>96</v>
      </c>
      <c r="CM51" t="s">
        <v>100</v>
      </c>
      <c r="CN51">
        <v>4.75</v>
      </c>
      <c r="CO51">
        <v>0</v>
      </c>
    </row>
    <row r="52" spans="1:93" x14ac:dyDescent="0.2">
      <c r="A52" s="3">
        <v>90</v>
      </c>
      <c r="B52" s="3" t="s">
        <v>438</v>
      </c>
      <c r="C52" s="3" t="s">
        <v>439</v>
      </c>
      <c r="D52" s="1"/>
      <c r="E52" s="1">
        <f t="shared" si="3"/>
        <v>4.7559486560566979</v>
      </c>
      <c r="F52" s="1">
        <f t="shared" si="4"/>
        <v>4.75</v>
      </c>
      <c r="G52" s="1">
        <f t="shared" si="5"/>
        <v>4.7619047619047397</v>
      </c>
      <c r="H52" s="1"/>
      <c r="I52" s="1">
        <v>50.1</v>
      </c>
      <c r="J52" s="1">
        <v>3.98</v>
      </c>
      <c r="K52" s="1">
        <v>0</v>
      </c>
      <c r="L52" s="1">
        <v>0.4</v>
      </c>
      <c r="M52" s="1"/>
      <c r="N52" s="1"/>
      <c r="O52" s="1">
        <v>1</v>
      </c>
      <c r="P52" s="1">
        <v>0.6</v>
      </c>
      <c r="Q52" s="1">
        <v>0.5</v>
      </c>
      <c r="R52" s="1">
        <v>4.7619047619047397</v>
      </c>
      <c r="S52" s="1">
        <v>50.597508355681697</v>
      </c>
      <c r="T52" s="1">
        <v>1.53652774723596</v>
      </c>
      <c r="U52" s="1">
        <v>3.3731672237121102</v>
      </c>
      <c r="V52" s="1">
        <v>0.102435183149064</v>
      </c>
      <c r="W52" s="1">
        <v>60.323</v>
      </c>
      <c r="X52" s="1">
        <v>1.7410000000000001</v>
      </c>
      <c r="Y52" s="1">
        <v>2.4129200000000002</v>
      </c>
      <c r="Z52" s="1">
        <v>3.4820000000000002</v>
      </c>
      <c r="AA52" s="1">
        <v>20210222</v>
      </c>
      <c r="AB52" s="1"/>
      <c r="AC52" s="1">
        <v>69.33</v>
      </c>
      <c r="AD52" s="1"/>
      <c r="AE52" s="1">
        <v>75</v>
      </c>
      <c r="AF52" s="1"/>
      <c r="AG52" s="1">
        <v>68.459999999999994</v>
      </c>
      <c r="AH52" s="1"/>
      <c r="AI52" s="1"/>
      <c r="AJ52" s="1">
        <v>1.6415384615384601</v>
      </c>
      <c r="AK52" s="1">
        <v>2.5</v>
      </c>
      <c r="AL52" s="1">
        <v>17236</v>
      </c>
      <c r="AM52" s="1">
        <v>17027</v>
      </c>
      <c r="AN52" s="1">
        <v>17643.060000000001</v>
      </c>
      <c r="AO52" s="1">
        <v>15513</v>
      </c>
      <c r="AP52" s="1">
        <v>209</v>
      </c>
      <c r="AQ52" s="1">
        <v>11.8460176409308</v>
      </c>
      <c r="AR52" s="1">
        <v>11.106813640172801</v>
      </c>
      <c r="AS52" s="1">
        <v>1.1106813640172799</v>
      </c>
      <c r="AT52" s="1">
        <v>3.9</v>
      </c>
      <c r="AU52" s="1"/>
      <c r="AV52" s="1" t="s">
        <v>440</v>
      </c>
      <c r="AW52" s="1" t="s">
        <v>100</v>
      </c>
      <c r="AX52" s="1" t="s">
        <v>380</v>
      </c>
      <c r="AY52" s="1" t="s">
        <v>100</v>
      </c>
      <c r="AZ52" s="1" t="s">
        <v>99</v>
      </c>
      <c r="BA52" s="1" t="s">
        <v>100</v>
      </c>
      <c r="BB52" s="1" t="s">
        <v>146</v>
      </c>
      <c r="BC52" s="1" t="s">
        <v>100</v>
      </c>
      <c r="BD52" s="1" t="s">
        <v>120</v>
      </c>
      <c r="BE52" s="1" t="s">
        <v>100</v>
      </c>
      <c r="BF52" s="1" t="s">
        <v>137</v>
      </c>
      <c r="BG52" s="1" t="s">
        <v>100</v>
      </c>
      <c r="BH52" s="1" t="s">
        <v>147</v>
      </c>
      <c r="BI52" t="s">
        <v>96</v>
      </c>
      <c r="BJ52" t="s">
        <v>441</v>
      </c>
      <c r="BK52" t="s">
        <v>98</v>
      </c>
      <c r="BL52" t="s">
        <v>442</v>
      </c>
      <c r="BM52" t="s">
        <v>100</v>
      </c>
      <c r="BN52" t="s">
        <v>156</v>
      </c>
      <c r="BO52" t="s">
        <v>100</v>
      </c>
      <c r="BP52" t="s">
        <v>169</v>
      </c>
      <c r="BQ52" t="s">
        <v>100</v>
      </c>
      <c r="BR52" t="s">
        <v>105</v>
      </c>
      <c r="BT52" t="s">
        <v>157</v>
      </c>
      <c r="BU52" t="s">
        <v>96</v>
      </c>
      <c r="BV52" t="s">
        <v>125</v>
      </c>
      <c r="BW52" t="s">
        <v>96</v>
      </c>
      <c r="BX52" t="s">
        <v>110</v>
      </c>
      <c r="BY52" t="s">
        <v>96</v>
      </c>
      <c r="BZ52" t="s">
        <v>127</v>
      </c>
      <c r="CA52" t="s">
        <v>100</v>
      </c>
      <c r="CB52" t="s">
        <v>105</v>
      </c>
      <c r="CD52">
        <v>3.4</v>
      </c>
      <c r="CE52" t="s">
        <v>100</v>
      </c>
      <c r="CF52">
        <v>0</v>
      </c>
      <c r="CG52" t="s">
        <v>96</v>
      </c>
      <c r="CH52">
        <v>2.5</v>
      </c>
      <c r="CI52" t="s">
        <v>100</v>
      </c>
      <c r="CJ52" t="s">
        <v>112</v>
      </c>
      <c r="CK52" t="s">
        <v>96</v>
      </c>
      <c r="CL52" t="s">
        <v>98</v>
      </c>
      <c r="CM52" t="s">
        <v>98</v>
      </c>
      <c r="CN52">
        <v>4.75</v>
      </c>
      <c r="CO52">
        <v>0</v>
      </c>
    </row>
    <row r="53" spans="1:93" x14ac:dyDescent="0.2">
      <c r="A53" s="3">
        <v>91</v>
      </c>
      <c r="B53" s="3" t="s">
        <v>443</v>
      </c>
      <c r="C53" s="3" t="s">
        <v>444</v>
      </c>
      <c r="D53" s="1"/>
      <c r="E53" s="1">
        <f t="shared" si="3"/>
        <v>4.0954421194598973</v>
      </c>
      <c r="F53" s="1">
        <f t="shared" si="4"/>
        <v>6.02</v>
      </c>
      <c r="G53" s="1">
        <f t="shared" si="5"/>
        <v>2.7861538461538502</v>
      </c>
      <c r="H53" s="1"/>
      <c r="I53" s="1">
        <v>39.9</v>
      </c>
      <c r="J53" s="1">
        <v>6.02</v>
      </c>
      <c r="K53" s="1">
        <v>0</v>
      </c>
      <c r="L53" s="1">
        <v>0.7</v>
      </c>
      <c r="M53" s="1"/>
      <c r="N53" s="1"/>
      <c r="O53" s="1">
        <v>0</v>
      </c>
      <c r="P53" s="1">
        <v>0.4</v>
      </c>
      <c r="Q53" s="1">
        <v>0.3</v>
      </c>
      <c r="R53" s="1">
        <v>0</v>
      </c>
      <c r="S53" s="1">
        <v>2.51062805807332</v>
      </c>
      <c r="T53" s="1">
        <v>10.8010811174538</v>
      </c>
      <c r="U53" s="1">
        <v>0.167375203871554</v>
      </c>
      <c r="V53" s="1">
        <v>0.72007207449691901</v>
      </c>
      <c r="W53" s="1">
        <v>6.056</v>
      </c>
      <c r="X53" s="1">
        <v>0.501</v>
      </c>
      <c r="Y53" s="1">
        <v>0.24224000000000101</v>
      </c>
      <c r="Z53" s="1">
        <v>1.002</v>
      </c>
      <c r="AA53" s="1">
        <v>20210222</v>
      </c>
      <c r="AB53" s="1"/>
      <c r="AC53" s="1">
        <v>61.89</v>
      </c>
      <c r="AD53" s="1"/>
      <c r="AE53" s="1">
        <v>75</v>
      </c>
      <c r="AF53" s="1"/>
      <c r="AG53" s="1">
        <v>59.87</v>
      </c>
      <c r="AH53" s="1"/>
      <c r="AI53" s="1"/>
      <c r="AJ53" s="1">
        <v>2.7861538461538502</v>
      </c>
      <c r="AK53" s="1">
        <v>2.5</v>
      </c>
      <c r="AL53" s="1">
        <v>13649</v>
      </c>
      <c r="AM53" s="1">
        <v>13178</v>
      </c>
      <c r="AN53" s="1">
        <v>102334.40300000001</v>
      </c>
      <c r="AO53" s="1">
        <v>10298</v>
      </c>
      <c r="AP53" s="1">
        <v>471</v>
      </c>
      <c r="AQ53" s="1">
        <v>4.6025577537204203</v>
      </c>
      <c r="AR53" s="1">
        <v>32.540299087201397</v>
      </c>
      <c r="AS53" s="1">
        <v>3.2540299087201401</v>
      </c>
      <c r="AT53" s="1">
        <v>3.6</v>
      </c>
      <c r="AU53" s="1"/>
      <c r="AV53" s="1" t="s">
        <v>445</v>
      </c>
      <c r="AW53" s="1" t="s">
        <v>96</v>
      </c>
      <c r="AX53" s="1" t="s">
        <v>368</v>
      </c>
      <c r="AY53" s="1" t="s">
        <v>100</v>
      </c>
      <c r="AZ53" s="1" t="s">
        <v>99</v>
      </c>
      <c r="BA53" s="1" t="s">
        <v>100</v>
      </c>
      <c r="BB53" s="1" t="s">
        <v>119</v>
      </c>
      <c r="BC53" s="1" t="s">
        <v>96</v>
      </c>
      <c r="BD53" s="1" t="s">
        <v>120</v>
      </c>
      <c r="BE53" s="1" t="s">
        <v>100</v>
      </c>
      <c r="BF53" s="1" t="s">
        <v>137</v>
      </c>
      <c r="BG53" s="1" t="s">
        <v>100</v>
      </c>
      <c r="BH53" s="1" t="s">
        <v>147</v>
      </c>
      <c r="BI53" t="s">
        <v>96</v>
      </c>
      <c r="BJ53" t="s">
        <v>436</v>
      </c>
      <c r="BK53" t="s">
        <v>96</v>
      </c>
      <c r="BL53" t="s">
        <v>446</v>
      </c>
      <c r="BM53" t="s">
        <v>100</v>
      </c>
      <c r="BN53" t="s">
        <v>447</v>
      </c>
      <c r="BO53" t="s">
        <v>98</v>
      </c>
      <c r="BP53" t="s">
        <v>107</v>
      </c>
      <c r="BQ53" t="s">
        <v>96</v>
      </c>
      <c r="BR53" t="s">
        <v>105</v>
      </c>
      <c r="BT53" t="s">
        <v>105</v>
      </c>
      <c r="BV53" t="s">
        <v>125</v>
      </c>
      <c r="BW53" t="s">
        <v>96</v>
      </c>
      <c r="BX53" t="s">
        <v>126</v>
      </c>
      <c r="BY53" t="s">
        <v>100</v>
      </c>
      <c r="BZ53" t="s">
        <v>141</v>
      </c>
      <c r="CA53" t="s">
        <v>96</v>
      </c>
      <c r="CB53" t="s">
        <v>448</v>
      </c>
      <c r="CC53" t="s">
        <v>98</v>
      </c>
      <c r="CD53">
        <v>0</v>
      </c>
      <c r="CE53" t="s">
        <v>96</v>
      </c>
      <c r="CF53">
        <v>0</v>
      </c>
      <c r="CG53" t="s">
        <v>96</v>
      </c>
      <c r="CH53">
        <v>1.1000000000000001</v>
      </c>
      <c r="CI53" t="s">
        <v>96</v>
      </c>
      <c r="CJ53" t="s">
        <v>112</v>
      </c>
      <c r="CK53" t="s">
        <v>96</v>
      </c>
      <c r="CL53" t="s">
        <v>98</v>
      </c>
      <c r="CM53" t="s">
        <v>98</v>
      </c>
      <c r="CN53">
        <v>4</v>
      </c>
      <c r="CO53">
        <v>0</v>
      </c>
    </row>
    <row r="54" spans="1:93" x14ac:dyDescent="0.2">
      <c r="A54" s="3">
        <v>92</v>
      </c>
      <c r="B54" s="3" t="s">
        <v>449</v>
      </c>
      <c r="C54" s="3" t="s">
        <v>450</v>
      </c>
      <c r="D54" s="1"/>
      <c r="E54" s="1">
        <f t="shared" si="3"/>
        <v>9.6362411165942934</v>
      </c>
      <c r="F54" s="1">
        <f t="shared" si="4"/>
        <v>9.75</v>
      </c>
      <c r="G54" s="1">
        <f t="shared" si="5"/>
        <v>9.5238095238094793</v>
      </c>
      <c r="H54" s="1"/>
      <c r="I54" s="1">
        <v>22.4</v>
      </c>
      <c r="J54" s="1">
        <v>9.52</v>
      </c>
      <c r="K54" s="1">
        <v>1</v>
      </c>
      <c r="L54" s="1">
        <v>0.5</v>
      </c>
      <c r="M54" s="1"/>
      <c r="N54" s="1"/>
      <c r="O54" s="1">
        <v>0.8</v>
      </c>
      <c r="P54" s="1"/>
      <c r="Q54" s="1">
        <v>0.7</v>
      </c>
      <c r="R54" s="1">
        <v>9.5238095238094793</v>
      </c>
      <c r="S54" s="1">
        <v>0.01</v>
      </c>
      <c r="T54" s="1">
        <v>0.01</v>
      </c>
      <c r="U54" s="1">
        <v>6.6666666666748099E-4</v>
      </c>
      <c r="V54" s="1">
        <v>6.6666666666748099E-4</v>
      </c>
      <c r="W54" s="1">
        <v>10.311999999999999</v>
      </c>
      <c r="X54" s="1">
        <v>0</v>
      </c>
      <c r="Y54" s="1">
        <v>0.41248000000000001</v>
      </c>
      <c r="Z54" s="1">
        <v>0</v>
      </c>
      <c r="AA54" s="1">
        <v>20210222</v>
      </c>
      <c r="AB54" s="1">
        <v>73.33</v>
      </c>
      <c r="AC54" s="1">
        <v>73.33</v>
      </c>
      <c r="AD54" s="1">
        <v>50</v>
      </c>
      <c r="AE54" s="1">
        <v>50</v>
      </c>
      <c r="AF54" s="1">
        <v>76.92</v>
      </c>
      <c r="AG54" s="1">
        <v>76.92</v>
      </c>
      <c r="AH54" s="1">
        <v>0</v>
      </c>
      <c r="AI54" s="1"/>
      <c r="AJ54" s="1">
        <v>1.02615384615385</v>
      </c>
      <c r="AK54" s="1">
        <v>5</v>
      </c>
      <c r="AL54" s="1">
        <v>7</v>
      </c>
      <c r="AM54" s="1">
        <v>7</v>
      </c>
      <c r="AN54" s="1">
        <v>3546.4270000000001</v>
      </c>
      <c r="AO54" s="1">
        <v>7</v>
      </c>
      <c r="AP54" s="1">
        <v>0</v>
      </c>
      <c r="AQ54" s="1">
        <v>0</v>
      </c>
      <c r="AR54" s="1">
        <v>0</v>
      </c>
      <c r="AS54" s="1">
        <v>0</v>
      </c>
      <c r="AT54" s="1">
        <v>5.9</v>
      </c>
      <c r="AU54" s="1"/>
      <c r="AV54" s="1" t="s">
        <v>451</v>
      </c>
      <c r="AW54" s="1" t="s">
        <v>96</v>
      </c>
      <c r="AX54" s="1" t="s">
        <v>317</v>
      </c>
      <c r="AY54" s="1" t="s">
        <v>100</v>
      </c>
      <c r="AZ54" s="1" t="s">
        <v>174</v>
      </c>
      <c r="BA54" s="1" t="s">
        <v>96</v>
      </c>
      <c r="BB54" s="1" t="s">
        <v>119</v>
      </c>
      <c r="BC54" s="1" t="s">
        <v>96</v>
      </c>
      <c r="BD54" s="1" t="s">
        <v>136</v>
      </c>
      <c r="BE54" s="1" t="s">
        <v>100</v>
      </c>
      <c r="BF54" s="1" t="s">
        <v>102</v>
      </c>
      <c r="BG54" s="1" t="s">
        <v>98</v>
      </c>
      <c r="BH54" s="1" t="s">
        <v>147</v>
      </c>
      <c r="BI54" t="s">
        <v>96</v>
      </c>
      <c r="BJ54" t="s">
        <v>399</v>
      </c>
      <c r="BK54" t="s">
        <v>100</v>
      </c>
      <c r="BL54" t="s">
        <v>105</v>
      </c>
      <c r="BN54" t="s">
        <v>452</v>
      </c>
      <c r="BO54" t="s">
        <v>100</v>
      </c>
      <c r="BP54" t="s">
        <v>124</v>
      </c>
      <c r="BQ54" t="s">
        <v>96</v>
      </c>
      <c r="BR54" t="s">
        <v>105</v>
      </c>
      <c r="BT54" t="s">
        <v>105</v>
      </c>
      <c r="BV54" t="s">
        <v>125</v>
      </c>
      <c r="BW54" t="s">
        <v>96</v>
      </c>
      <c r="BX54" t="s">
        <v>110</v>
      </c>
      <c r="BY54" t="s">
        <v>96</v>
      </c>
      <c r="BZ54" t="s">
        <v>127</v>
      </c>
      <c r="CA54" t="s">
        <v>100</v>
      </c>
      <c r="CB54" t="s">
        <v>105</v>
      </c>
      <c r="CD54">
        <v>0</v>
      </c>
      <c r="CE54" t="s">
        <v>96</v>
      </c>
      <c r="CF54">
        <v>0</v>
      </c>
      <c r="CG54" t="s">
        <v>96</v>
      </c>
      <c r="CH54">
        <v>4.2</v>
      </c>
      <c r="CI54" t="s">
        <v>100</v>
      </c>
      <c r="CJ54" t="s">
        <v>112</v>
      </c>
      <c r="CK54" t="s">
        <v>96</v>
      </c>
      <c r="CL54" t="s">
        <v>98</v>
      </c>
      <c r="CM54" t="s">
        <v>98</v>
      </c>
      <c r="CN54">
        <v>9.75</v>
      </c>
      <c r="CO54">
        <v>0</v>
      </c>
    </row>
    <row r="55" spans="1:93" x14ac:dyDescent="0.2">
      <c r="A55" s="3">
        <v>93</v>
      </c>
      <c r="B55" s="3" t="s">
        <v>453</v>
      </c>
      <c r="C55" s="3" t="s">
        <v>454</v>
      </c>
      <c r="D55" s="1"/>
      <c r="E55" s="1">
        <f t="shared" si="3"/>
        <v>4.4721359549995796</v>
      </c>
      <c r="F55" s="1">
        <f t="shared" si="4"/>
        <v>2</v>
      </c>
      <c r="G55" s="1">
        <f t="shared" si="5"/>
        <v>10</v>
      </c>
      <c r="H55" s="1"/>
      <c r="I55" s="1">
        <v>65.900000000000006</v>
      </c>
      <c r="J55" s="1">
        <v>0.81999999999999895</v>
      </c>
      <c r="K55" s="1">
        <v>0</v>
      </c>
      <c r="L55" s="1">
        <v>0.5</v>
      </c>
      <c r="M55" s="1"/>
      <c r="N55" s="1"/>
      <c r="O55" s="1">
        <v>0.2</v>
      </c>
      <c r="P55" s="1">
        <v>0.4</v>
      </c>
      <c r="Q55" s="1">
        <v>0.3</v>
      </c>
      <c r="R55" s="1">
        <v>0</v>
      </c>
      <c r="S55" s="1">
        <v>-14.970309665754799</v>
      </c>
      <c r="T55" s="1">
        <v>-60.799690539711399</v>
      </c>
      <c r="U55" s="1">
        <v>0</v>
      </c>
      <c r="V55" s="1">
        <v>0</v>
      </c>
      <c r="W55" s="1">
        <v>235.536</v>
      </c>
      <c r="X55" s="1">
        <v>7.1929999999999996</v>
      </c>
      <c r="Y55" s="1">
        <v>9.4214400000000005</v>
      </c>
      <c r="Z55" s="1">
        <v>10</v>
      </c>
      <c r="AA55" s="1">
        <v>20210222</v>
      </c>
      <c r="AB55" s="1"/>
      <c r="AC55" s="1">
        <v>71.56</v>
      </c>
      <c r="AD55" s="1"/>
      <c r="AE55" s="1">
        <v>87.5</v>
      </c>
      <c r="AF55" s="1"/>
      <c r="AG55" s="1">
        <v>69.099999999999994</v>
      </c>
      <c r="AH55" s="1"/>
      <c r="AI55" s="1"/>
      <c r="AJ55" s="1">
        <v>1.2984615384615401</v>
      </c>
      <c r="AK55" s="1">
        <v>1.25</v>
      </c>
      <c r="AL55" s="1">
        <v>71640</v>
      </c>
      <c r="AM55" s="1">
        <v>71562</v>
      </c>
      <c r="AN55" s="1">
        <v>46754.783000000003</v>
      </c>
      <c r="AO55" s="1">
        <v>67101</v>
      </c>
      <c r="AP55" s="1">
        <v>78</v>
      </c>
      <c r="AQ55" s="1">
        <v>1.66827851601835</v>
      </c>
      <c r="AR55" s="1">
        <v>6.7644297402423197</v>
      </c>
      <c r="AS55" s="1">
        <v>0.67644297402423204</v>
      </c>
      <c r="AT55" s="1">
        <v>2.8</v>
      </c>
      <c r="AU55" s="1"/>
      <c r="AV55" s="1" t="s">
        <v>455</v>
      </c>
      <c r="AW55" s="1" t="s">
        <v>98</v>
      </c>
      <c r="AX55" s="1" t="s">
        <v>134</v>
      </c>
      <c r="AY55" s="1" t="s">
        <v>100</v>
      </c>
      <c r="AZ55" s="1" t="s">
        <v>135</v>
      </c>
      <c r="BA55" s="1" t="s">
        <v>100</v>
      </c>
      <c r="BB55" s="1" t="s">
        <v>119</v>
      </c>
      <c r="BC55" s="1" t="s">
        <v>96</v>
      </c>
      <c r="BD55" s="1" t="s">
        <v>136</v>
      </c>
      <c r="BE55" s="1" t="s">
        <v>100</v>
      </c>
      <c r="BF55" s="1" t="s">
        <v>183</v>
      </c>
      <c r="BG55" s="1" t="s">
        <v>96</v>
      </c>
      <c r="BH55" s="1" t="s">
        <v>147</v>
      </c>
      <c r="BI55" t="s">
        <v>96</v>
      </c>
      <c r="BJ55" t="s">
        <v>456</v>
      </c>
      <c r="BK55" t="s">
        <v>98</v>
      </c>
      <c r="BL55" t="s">
        <v>457</v>
      </c>
      <c r="BM55" t="s">
        <v>100</v>
      </c>
      <c r="BN55" t="s">
        <v>458</v>
      </c>
      <c r="BO55" t="s">
        <v>100</v>
      </c>
      <c r="BP55" t="s">
        <v>124</v>
      </c>
      <c r="BQ55" t="s">
        <v>96</v>
      </c>
      <c r="BR55" t="s">
        <v>105</v>
      </c>
      <c r="BT55" t="s">
        <v>105</v>
      </c>
      <c r="BV55" t="s">
        <v>125</v>
      </c>
      <c r="BW55" t="s">
        <v>96</v>
      </c>
      <c r="BX55" t="s">
        <v>126</v>
      </c>
      <c r="BY55" t="s">
        <v>100</v>
      </c>
      <c r="BZ55" t="s">
        <v>127</v>
      </c>
      <c r="CA55" t="s">
        <v>100</v>
      </c>
      <c r="CB55" t="s">
        <v>105</v>
      </c>
      <c r="CD55">
        <v>0</v>
      </c>
      <c r="CE55" t="s">
        <v>96</v>
      </c>
      <c r="CF55">
        <v>0</v>
      </c>
      <c r="CG55" t="s">
        <v>96</v>
      </c>
      <c r="CH55">
        <v>4.3</v>
      </c>
      <c r="CI55" t="s">
        <v>100</v>
      </c>
      <c r="CJ55" t="s">
        <v>105</v>
      </c>
      <c r="CL55" t="s">
        <v>96</v>
      </c>
      <c r="CM55" t="s">
        <v>100</v>
      </c>
      <c r="CN55">
        <v>2</v>
      </c>
      <c r="CO55">
        <v>0</v>
      </c>
    </row>
    <row r="56" spans="1:93" x14ac:dyDescent="0.2">
      <c r="A56" s="3">
        <v>94</v>
      </c>
      <c r="B56" s="3" t="s">
        <v>459</v>
      </c>
      <c r="C56" s="3" t="s">
        <v>460</v>
      </c>
      <c r="D56" s="1"/>
      <c r="E56" s="1">
        <f t="shared" si="3"/>
        <v>5.0990195135927845</v>
      </c>
      <c r="F56" s="1">
        <f t="shared" si="4"/>
        <v>2.6</v>
      </c>
      <c r="G56" s="1">
        <f t="shared" si="5"/>
        <v>10</v>
      </c>
      <c r="H56" s="1"/>
      <c r="I56" s="1">
        <v>57</v>
      </c>
      <c r="J56" s="1">
        <v>2.6</v>
      </c>
      <c r="K56" s="1">
        <v>0.9</v>
      </c>
      <c r="L56" s="1">
        <v>0.5</v>
      </c>
      <c r="M56" s="1"/>
      <c r="N56" s="1"/>
      <c r="O56" s="1">
        <v>0.5</v>
      </c>
      <c r="P56" s="1">
        <v>0.6</v>
      </c>
      <c r="Q56" s="1">
        <v>0.6</v>
      </c>
      <c r="R56" s="1">
        <v>7.1428571428571104</v>
      </c>
      <c r="S56" s="1">
        <v>-10.475853276831399</v>
      </c>
      <c r="T56" s="1">
        <v>38.071208923628397</v>
      </c>
      <c r="U56" s="1">
        <v>0</v>
      </c>
      <c r="V56" s="1">
        <v>2.5380805949085601</v>
      </c>
      <c r="W56" s="1">
        <v>559.99599999999998</v>
      </c>
      <c r="X56" s="1">
        <v>4.3079999999999998</v>
      </c>
      <c r="Y56" s="1">
        <v>10</v>
      </c>
      <c r="Z56" s="1">
        <v>8.6159999999999997</v>
      </c>
      <c r="AA56" s="1">
        <v>20210222</v>
      </c>
      <c r="AB56" s="1"/>
      <c r="AC56" s="1">
        <v>45.44</v>
      </c>
      <c r="AD56" s="1"/>
      <c r="AE56" s="1">
        <v>50</v>
      </c>
      <c r="AF56" s="1"/>
      <c r="AG56" s="1">
        <v>44.74</v>
      </c>
      <c r="AH56" s="1"/>
      <c r="AI56" s="1"/>
      <c r="AJ56" s="1">
        <v>5.3169230769230804</v>
      </c>
      <c r="AK56" s="1">
        <v>5</v>
      </c>
      <c r="AL56" s="1">
        <v>1029</v>
      </c>
      <c r="AM56" s="1">
        <v>944</v>
      </c>
      <c r="AN56" s="1">
        <v>1326.539</v>
      </c>
      <c r="AO56" s="1">
        <v>528</v>
      </c>
      <c r="AP56" s="1">
        <v>85</v>
      </c>
      <c r="AQ56" s="1">
        <v>64.076517916171298</v>
      </c>
      <c r="AR56" s="1">
        <v>94.886363636363697</v>
      </c>
      <c r="AS56" s="1">
        <v>9.4886363636363704</v>
      </c>
      <c r="AT56" s="1">
        <v>3</v>
      </c>
      <c r="AU56" s="1"/>
      <c r="AV56" s="1" t="s">
        <v>461</v>
      </c>
      <c r="AW56" s="1" t="s">
        <v>98</v>
      </c>
      <c r="AX56" s="1" t="s">
        <v>415</v>
      </c>
      <c r="AY56" s="1" t="s">
        <v>100</v>
      </c>
      <c r="AZ56" s="1" t="s">
        <v>135</v>
      </c>
      <c r="BA56" s="1" t="s">
        <v>100</v>
      </c>
      <c r="BB56" s="1" t="s">
        <v>101</v>
      </c>
      <c r="BC56" s="1" t="s">
        <v>98</v>
      </c>
      <c r="BD56" s="1" t="s">
        <v>101</v>
      </c>
      <c r="BE56" s="1" t="s">
        <v>98</v>
      </c>
      <c r="BF56" s="1" t="s">
        <v>102</v>
      </c>
      <c r="BG56" s="1" t="s">
        <v>98</v>
      </c>
      <c r="BH56" s="1" t="s">
        <v>147</v>
      </c>
      <c r="BI56" t="s">
        <v>96</v>
      </c>
      <c r="BJ56" t="s">
        <v>462</v>
      </c>
      <c r="BK56" t="s">
        <v>98</v>
      </c>
      <c r="BL56" t="s">
        <v>463</v>
      </c>
      <c r="BM56" t="s">
        <v>100</v>
      </c>
      <c r="BN56" t="s">
        <v>464</v>
      </c>
      <c r="BO56" t="s">
        <v>96</v>
      </c>
      <c r="BP56" t="s">
        <v>124</v>
      </c>
      <c r="BQ56" t="s">
        <v>96</v>
      </c>
      <c r="BR56" t="s">
        <v>105</v>
      </c>
      <c r="BT56" t="s">
        <v>105</v>
      </c>
      <c r="BV56" t="s">
        <v>125</v>
      </c>
      <c r="BW56" t="s">
        <v>96</v>
      </c>
      <c r="BX56" t="s">
        <v>126</v>
      </c>
      <c r="BY56" t="s">
        <v>100</v>
      </c>
      <c r="BZ56" t="s">
        <v>127</v>
      </c>
      <c r="CA56" t="s">
        <v>100</v>
      </c>
      <c r="CB56" t="s">
        <v>105</v>
      </c>
      <c r="CD56">
        <v>0</v>
      </c>
      <c r="CE56" t="s">
        <v>96</v>
      </c>
      <c r="CF56">
        <v>0</v>
      </c>
      <c r="CG56" t="s">
        <v>96</v>
      </c>
      <c r="CH56">
        <v>0</v>
      </c>
      <c r="CI56" t="s">
        <v>96</v>
      </c>
      <c r="CJ56" t="s">
        <v>105</v>
      </c>
      <c r="CL56" t="s">
        <v>130</v>
      </c>
      <c r="CM56" t="s">
        <v>96</v>
      </c>
      <c r="CN56">
        <v>2.5</v>
      </c>
      <c r="CO56">
        <v>0</v>
      </c>
    </row>
    <row r="57" spans="1:93" x14ac:dyDescent="0.2">
      <c r="A57" s="3">
        <v>95</v>
      </c>
      <c r="B57" s="3" t="s">
        <v>465</v>
      </c>
      <c r="C57" s="3" t="s">
        <v>466</v>
      </c>
      <c r="D57" s="1"/>
      <c r="E57" s="1">
        <f t="shared" si="3"/>
        <v>9.8742088290657488</v>
      </c>
      <c r="F57" s="1">
        <f t="shared" si="4"/>
        <v>9.75</v>
      </c>
      <c r="G57" s="1">
        <f t="shared" si="5"/>
        <v>10</v>
      </c>
      <c r="H57" s="1"/>
      <c r="I57" s="1">
        <v>40.6</v>
      </c>
      <c r="J57" s="1">
        <v>5.88</v>
      </c>
      <c r="K57" s="1">
        <v>0</v>
      </c>
      <c r="L57" s="1">
        <v>0.5</v>
      </c>
      <c r="M57" s="1"/>
      <c r="N57" s="1"/>
      <c r="O57" s="1">
        <v>0.5</v>
      </c>
      <c r="P57" s="1"/>
      <c r="Q57" s="1">
        <v>0.3</v>
      </c>
      <c r="R57" s="1">
        <v>0</v>
      </c>
      <c r="S57" s="1">
        <v>55.782242115124397</v>
      </c>
      <c r="T57" s="1">
        <v>19.237904396759099</v>
      </c>
      <c r="U57" s="1">
        <v>3.7188161410082898</v>
      </c>
      <c r="V57" s="1">
        <v>1.2825269597839399</v>
      </c>
      <c r="W57" s="1">
        <v>7.1</v>
      </c>
      <c r="X57" s="1">
        <v>0.106</v>
      </c>
      <c r="Y57" s="1">
        <v>0.28399999999999898</v>
      </c>
      <c r="Z57" s="1">
        <v>0.21199999999999999</v>
      </c>
      <c r="AA57" s="1">
        <v>20210222</v>
      </c>
      <c r="AB57" s="1"/>
      <c r="AC57" s="1">
        <v>38.33</v>
      </c>
      <c r="AD57" s="1"/>
      <c r="AE57" s="1">
        <v>0</v>
      </c>
      <c r="AF57" s="1"/>
      <c r="AG57" s="1">
        <v>44.23</v>
      </c>
      <c r="AH57" s="1"/>
      <c r="AI57" s="1"/>
      <c r="AJ57" s="1">
        <v>6.4107692307692297</v>
      </c>
      <c r="AK57" s="1">
        <v>10</v>
      </c>
      <c r="AL57" s="1">
        <v>3228</v>
      </c>
      <c r="AM57" s="1">
        <v>3063</v>
      </c>
      <c r="AN57" s="1">
        <v>114963.583</v>
      </c>
      <c r="AO57" s="1">
        <v>2271</v>
      </c>
      <c r="AP57" s="1">
        <v>165</v>
      </c>
      <c r="AQ57" s="1">
        <v>1.4352371046055501</v>
      </c>
      <c r="AR57" s="1">
        <v>42.140026420079302</v>
      </c>
      <c r="AS57" s="1">
        <v>4.2140026420079302</v>
      </c>
      <c r="AT57" s="1">
        <v>5.9</v>
      </c>
      <c r="AU57" s="1"/>
      <c r="AV57" s="1" t="s">
        <v>467</v>
      </c>
      <c r="AW57" s="1" t="s">
        <v>96</v>
      </c>
      <c r="AX57" s="1" t="s">
        <v>173</v>
      </c>
      <c r="AY57" s="1" t="s">
        <v>100</v>
      </c>
      <c r="AZ57" s="1" t="s">
        <v>118</v>
      </c>
      <c r="BA57" s="1" t="s">
        <v>100</v>
      </c>
      <c r="BB57" s="1" t="s">
        <v>119</v>
      </c>
      <c r="BC57" s="1" t="s">
        <v>96</v>
      </c>
      <c r="BD57" s="1" t="s">
        <v>101</v>
      </c>
      <c r="BE57" s="1" t="s">
        <v>98</v>
      </c>
      <c r="BF57" s="1" t="s">
        <v>102</v>
      </c>
      <c r="BG57" s="1" t="s">
        <v>98</v>
      </c>
      <c r="BH57" s="1" t="s">
        <v>103</v>
      </c>
      <c r="BI57" t="s">
        <v>98</v>
      </c>
      <c r="BJ57" t="s">
        <v>335</v>
      </c>
      <c r="BK57" t="s">
        <v>96</v>
      </c>
      <c r="BL57" t="s">
        <v>105</v>
      </c>
      <c r="BN57" t="s">
        <v>468</v>
      </c>
      <c r="BO57" t="s">
        <v>98</v>
      </c>
      <c r="BP57" t="s">
        <v>169</v>
      </c>
      <c r="BQ57" t="s">
        <v>100</v>
      </c>
      <c r="BR57" t="s">
        <v>469</v>
      </c>
      <c r="BS57" t="s">
        <v>98</v>
      </c>
      <c r="BT57" t="s">
        <v>105</v>
      </c>
      <c r="BV57" t="s">
        <v>125</v>
      </c>
      <c r="BW57" t="s">
        <v>96</v>
      </c>
      <c r="BX57" t="s">
        <v>200</v>
      </c>
      <c r="BY57" t="s">
        <v>100</v>
      </c>
      <c r="BZ57" t="s">
        <v>141</v>
      </c>
      <c r="CA57" t="s">
        <v>96</v>
      </c>
      <c r="CB57" t="s">
        <v>470</v>
      </c>
      <c r="CC57" t="s">
        <v>98</v>
      </c>
      <c r="CD57">
        <v>0</v>
      </c>
      <c r="CE57" t="s">
        <v>96</v>
      </c>
      <c r="CF57">
        <v>0</v>
      </c>
      <c r="CG57" t="s">
        <v>96</v>
      </c>
      <c r="CH57">
        <v>4.7</v>
      </c>
      <c r="CI57" t="s">
        <v>100</v>
      </c>
      <c r="CJ57" t="s">
        <v>112</v>
      </c>
      <c r="CK57" t="s">
        <v>96</v>
      </c>
      <c r="CL57" t="s">
        <v>98</v>
      </c>
      <c r="CM57" t="s">
        <v>98</v>
      </c>
      <c r="CN57">
        <v>9.75</v>
      </c>
      <c r="CO57">
        <v>10</v>
      </c>
    </row>
    <row r="58" spans="1:93" x14ac:dyDescent="0.2">
      <c r="A58" s="3">
        <v>96</v>
      </c>
      <c r="B58" s="3" t="s">
        <v>471</v>
      </c>
      <c r="C58" s="3" t="s">
        <v>472</v>
      </c>
      <c r="D58" s="1"/>
      <c r="E58" s="1">
        <f t="shared" si="3"/>
        <v>1.5735915849388826</v>
      </c>
      <c r="F58" s="1">
        <f t="shared" si="4"/>
        <v>0.26</v>
      </c>
      <c r="G58" s="1">
        <f t="shared" si="5"/>
        <v>9.5238095238094793</v>
      </c>
      <c r="H58" s="1"/>
      <c r="I58" s="1">
        <v>68.7</v>
      </c>
      <c r="J58" s="1">
        <v>0.26</v>
      </c>
      <c r="K58" s="1">
        <v>0.8</v>
      </c>
      <c r="L58" s="1">
        <v>0.6</v>
      </c>
      <c r="M58" s="1"/>
      <c r="N58" s="1"/>
      <c r="O58" s="1">
        <v>0.8</v>
      </c>
      <c r="P58" s="1">
        <v>0.7</v>
      </c>
      <c r="Q58" s="1">
        <v>0.7</v>
      </c>
      <c r="R58" s="1">
        <v>9.5238095238094793</v>
      </c>
      <c r="S58" s="1">
        <v>24.025218986589501</v>
      </c>
      <c r="T58" s="1">
        <v>19.628101986311101</v>
      </c>
      <c r="U58" s="1">
        <v>1.60168126577263</v>
      </c>
      <c r="V58" s="1">
        <v>1.30854013242074</v>
      </c>
      <c r="W58" s="1">
        <v>88.256</v>
      </c>
      <c r="X58" s="1">
        <v>0.41299999999999998</v>
      </c>
      <c r="Y58" s="1">
        <v>3.53024</v>
      </c>
      <c r="Z58" s="1">
        <v>0.82600000000000096</v>
      </c>
      <c r="AA58" s="1">
        <v>20210222</v>
      </c>
      <c r="AB58" s="1"/>
      <c r="AC58" s="1">
        <v>55.17</v>
      </c>
      <c r="AD58" s="1"/>
      <c r="AE58" s="1">
        <v>75</v>
      </c>
      <c r="AF58" s="1"/>
      <c r="AG58" s="1">
        <v>52.12</v>
      </c>
      <c r="AH58" s="1"/>
      <c r="AI58" s="1"/>
      <c r="AJ58" s="1">
        <v>3.82</v>
      </c>
      <c r="AK58" s="1">
        <v>2.5</v>
      </c>
      <c r="AL58" s="1">
        <v>848</v>
      </c>
      <c r="AM58" s="1">
        <v>831</v>
      </c>
      <c r="AN58" s="1">
        <v>5540.7179999999998</v>
      </c>
      <c r="AO58" s="1">
        <v>726</v>
      </c>
      <c r="AP58" s="1">
        <v>17</v>
      </c>
      <c r="AQ58" s="1">
        <v>3.0681944109048702</v>
      </c>
      <c r="AR58" s="1">
        <v>16.804407713498598</v>
      </c>
      <c r="AS58" s="1">
        <v>1.6804407713498599</v>
      </c>
      <c r="AT58" s="1">
        <v>2.1</v>
      </c>
      <c r="AU58" s="1"/>
      <c r="AV58" s="1" t="s">
        <v>473</v>
      </c>
      <c r="AW58" s="1" t="s">
        <v>100</v>
      </c>
      <c r="AX58" s="1" t="s">
        <v>474</v>
      </c>
      <c r="AY58" s="1" t="s">
        <v>100</v>
      </c>
      <c r="AZ58" s="1" t="s">
        <v>135</v>
      </c>
      <c r="BA58" s="1" t="s">
        <v>100</v>
      </c>
      <c r="BB58" s="1" t="s">
        <v>101</v>
      </c>
      <c r="BC58" s="1" t="s">
        <v>98</v>
      </c>
      <c r="BD58" s="1" t="s">
        <v>120</v>
      </c>
      <c r="BE58" s="1" t="s">
        <v>100</v>
      </c>
      <c r="BF58" s="1" t="s">
        <v>183</v>
      </c>
      <c r="BG58" s="1" t="s">
        <v>96</v>
      </c>
      <c r="BH58" s="1" t="s">
        <v>121</v>
      </c>
      <c r="BI58" t="s">
        <v>100</v>
      </c>
      <c r="BJ58" t="s">
        <v>122</v>
      </c>
      <c r="BK58" t="s">
        <v>98</v>
      </c>
      <c r="BL58" t="s">
        <v>475</v>
      </c>
      <c r="BM58" t="s">
        <v>100</v>
      </c>
      <c r="BN58" t="s">
        <v>178</v>
      </c>
      <c r="BO58" t="s">
        <v>96</v>
      </c>
      <c r="BP58" t="s">
        <v>124</v>
      </c>
      <c r="BQ58" t="s">
        <v>96</v>
      </c>
      <c r="BR58" t="s">
        <v>105</v>
      </c>
      <c r="BT58" t="s">
        <v>105</v>
      </c>
      <c r="BV58" t="s">
        <v>125</v>
      </c>
      <c r="BW58" t="s">
        <v>96</v>
      </c>
      <c r="BX58" t="s">
        <v>126</v>
      </c>
      <c r="BY58" t="s">
        <v>100</v>
      </c>
      <c r="BZ58" t="s">
        <v>127</v>
      </c>
      <c r="CA58" t="s">
        <v>100</v>
      </c>
      <c r="CB58" t="s">
        <v>105</v>
      </c>
      <c r="CD58">
        <v>0.1</v>
      </c>
      <c r="CE58" t="s">
        <v>96</v>
      </c>
      <c r="CF58">
        <v>0</v>
      </c>
      <c r="CG58" t="s">
        <v>96</v>
      </c>
      <c r="CH58">
        <v>0</v>
      </c>
      <c r="CI58" t="s">
        <v>96</v>
      </c>
      <c r="CJ58" t="s">
        <v>105</v>
      </c>
      <c r="CL58" t="s">
        <v>130</v>
      </c>
      <c r="CM58" t="s">
        <v>96</v>
      </c>
      <c r="CN58">
        <v>0.25</v>
      </c>
      <c r="CO58">
        <v>0</v>
      </c>
    </row>
    <row r="59" spans="1:93" x14ac:dyDescent="0.2">
      <c r="A59" s="3">
        <v>97</v>
      </c>
      <c r="B59" s="3" t="s">
        <v>476</v>
      </c>
      <c r="C59" s="3" t="s">
        <v>477</v>
      </c>
      <c r="D59" s="1"/>
      <c r="E59" s="1">
        <f t="shared" si="3"/>
        <v>9.4127573006000738</v>
      </c>
      <c r="F59" s="1">
        <f t="shared" si="4"/>
        <v>8.86</v>
      </c>
      <c r="G59" s="1">
        <f t="shared" si="5"/>
        <v>10</v>
      </c>
      <c r="H59" s="1"/>
      <c r="I59" s="1">
        <v>25.7</v>
      </c>
      <c r="J59" s="1">
        <v>8.86</v>
      </c>
      <c r="K59" s="1">
        <v>1</v>
      </c>
      <c r="L59" s="1">
        <v>1</v>
      </c>
      <c r="M59" s="1"/>
      <c r="N59" s="1"/>
      <c r="O59" s="1">
        <v>1</v>
      </c>
      <c r="P59" s="1">
        <v>0.7</v>
      </c>
      <c r="Q59" s="1">
        <v>0.9</v>
      </c>
      <c r="R59" s="1">
        <v>10</v>
      </c>
      <c r="S59" s="1">
        <v>0.01</v>
      </c>
      <c r="T59" s="1">
        <v>0.01</v>
      </c>
      <c r="U59" s="1">
        <v>6.6666666666748099E-4</v>
      </c>
      <c r="V59" s="1">
        <v>6.6666666666748099E-4</v>
      </c>
      <c r="W59" s="1">
        <v>0</v>
      </c>
      <c r="X59" s="1">
        <v>0</v>
      </c>
      <c r="Y59" s="1">
        <v>0</v>
      </c>
      <c r="Z59" s="1">
        <v>0</v>
      </c>
      <c r="AA59" s="1">
        <v>20210222</v>
      </c>
      <c r="AB59" s="1">
        <v>51.67</v>
      </c>
      <c r="AC59" s="1">
        <v>51.67</v>
      </c>
      <c r="AD59" s="1">
        <v>75</v>
      </c>
      <c r="AE59" s="1">
        <v>75</v>
      </c>
      <c r="AF59" s="1">
        <v>48.08</v>
      </c>
      <c r="AG59" s="1">
        <v>48.08</v>
      </c>
      <c r="AH59" s="1">
        <v>1</v>
      </c>
      <c r="AI59" s="1">
        <v>1</v>
      </c>
      <c r="AJ59" s="1">
        <v>4.3584615384615404</v>
      </c>
      <c r="AK59" s="1">
        <v>2.5</v>
      </c>
      <c r="AL59" s="1">
        <v>2</v>
      </c>
      <c r="AM59" s="1">
        <v>2</v>
      </c>
      <c r="AN59" s="1">
        <v>896.44399999999996</v>
      </c>
      <c r="AO59" s="1">
        <v>2</v>
      </c>
      <c r="AP59" s="1">
        <v>0</v>
      </c>
      <c r="AQ59" s="1">
        <v>0</v>
      </c>
      <c r="AR59" s="1">
        <v>0</v>
      </c>
      <c r="AS59" s="1">
        <v>0</v>
      </c>
      <c r="AT59" s="1">
        <v>4.0999999999999996</v>
      </c>
      <c r="AU59" s="1"/>
      <c r="AV59" s="1" t="s">
        <v>333</v>
      </c>
      <c r="AW59" s="1" t="s">
        <v>96</v>
      </c>
      <c r="AX59" s="1" t="s">
        <v>478</v>
      </c>
      <c r="AY59" s="1" t="s">
        <v>100</v>
      </c>
      <c r="AZ59" s="1" t="s">
        <v>135</v>
      </c>
      <c r="BA59" s="1" t="s">
        <v>100</v>
      </c>
      <c r="BB59" s="1" t="s">
        <v>101</v>
      </c>
      <c r="BC59" s="1" t="s">
        <v>98</v>
      </c>
      <c r="BD59" s="1" t="s">
        <v>120</v>
      </c>
      <c r="BE59" s="1" t="s">
        <v>100</v>
      </c>
      <c r="BF59" s="1" t="s">
        <v>137</v>
      </c>
      <c r="BG59" s="1" t="s">
        <v>100</v>
      </c>
      <c r="BH59" s="1" t="s">
        <v>147</v>
      </c>
      <c r="BI59" t="s">
        <v>96</v>
      </c>
      <c r="BJ59" t="s">
        <v>479</v>
      </c>
      <c r="BK59" t="s">
        <v>98</v>
      </c>
      <c r="BL59" t="s">
        <v>279</v>
      </c>
      <c r="BM59" t="s">
        <v>100</v>
      </c>
      <c r="BN59" t="s">
        <v>480</v>
      </c>
      <c r="BO59" t="s">
        <v>100</v>
      </c>
      <c r="BP59" t="s">
        <v>124</v>
      </c>
      <c r="BQ59" t="s">
        <v>96</v>
      </c>
      <c r="BR59" t="s">
        <v>105</v>
      </c>
      <c r="BT59" t="s">
        <v>105</v>
      </c>
      <c r="BV59" t="s">
        <v>125</v>
      </c>
      <c r="BW59" t="s">
        <v>96</v>
      </c>
      <c r="BX59" t="s">
        <v>110</v>
      </c>
      <c r="BY59" t="s">
        <v>96</v>
      </c>
      <c r="BZ59" t="s">
        <v>141</v>
      </c>
      <c r="CA59" t="s">
        <v>96</v>
      </c>
      <c r="CB59" t="s">
        <v>105</v>
      </c>
      <c r="CD59">
        <v>0.1</v>
      </c>
      <c r="CE59" t="s">
        <v>96</v>
      </c>
      <c r="CF59">
        <v>3.1</v>
      </c>
      <c r="CG59" t="s">
        <v>100</v>
      </c>
      <c r="CH59">
        <v>2</v>
      </c>
      <c r="CI59" t="s">
        <v>96</v>
      </c>
      <c r="CJ59" t="s">
        <v>105</v>
      </c>
      <c r="CL59" t="s">
        <v>389</v>
      </c>
      <c r="CM59" t="s">
        <v>100</v>
      </c>
      <c r="CN59">
        <v>5.25</v>
      </c>
      <c r="CO59">
        <v>0</v>
      </c>
    </row>
    <row r="60" spans="1:93" x14ac:dyDescent="0.2">
      <c r="A60" s="3">
        <v>98</v>
      </c>
      <c r="B60" s="3" t="s">
        <v>481</v>
      </c>
      <c r="C60" s="3" t="s">
        <v>482</v>
      </c>
      <c r="D60" s="1"/>
      <c r="E60" s="1">
        <f t="shared" si="3"/>
        <v>5</v>
      </c>
      <c r="F60" s="1">
        <f t="shared" si="4"/>
        <v>2.5</v>
      </c>
      <c r="G60" s="1">
        <f t="shared" si="5"/>
        <v>10</v>
      </c>
      <c r="H60" s="1"/>
      <c r="I60" s="1">
        <v>68.2</v>
      </c>
      <c r="J60" s="1">
        <v>0.35999999999999899</v>
      </c>
      <c r="K60" s="1">
        <v>0</v>
      </c>
      <c r="L60" s="1">
        <v>0.7</v>
      </c>
      <c r="M60" s="1"/>
      <c r="N60" s="1"/>
      <c r="O60" s="1">
        <v>0</v>
      </c>
      <c r="P60" s="1">
        <v>0.4</v>
      </c>
      <c r="Q60" s="1">
        <v>0.3</v>
      </c>
      <c r="R60" s="1">
        <v>0</v>
      </c>
      <c r="S60" s="1">
        <v>-11.8326600537214</v>
      </c>
      <c r="T60" s="1">
        <v>0.26185638112412701</v>
      </c>
      <c r="U60" s="1">
        <v>0</v>
      </c>
      <c r="V60" s="1">
        <v>1.7457092074941699E-2</v>
      </c>
      <c r="W60" s="1">
        <v>306.95</v>
      </c>
      <c r="X60" s="1">
        <v>5.4009999999999998</v>
      </c>
      <c r="Y60" s="1">
        <v>10</v>
      </c>
      <c r="Z60" s="1">
        <v>10</v>
      </c>
      <c r="AA60" s="1">
        <v>20210222</v>
      </c>
      <c r="AB60" s="1"/>
      <c r="AC60" s="1">
        <v>64.83</v>
      </c>
      <c r="AD60" s="1"/>
      <c r="AE60" s="1">
        <v>50</v>
      </c>
      <c r="AF60" s="1"/>
      <c r="AG60" s="1">
        <v>67.12</v>
      </c>
      <c r="AH60" s="1"/>
      <c r="AI60" s="1"/>
      <c r="AJ60" s="1">
        <v>2.3338461538461499</v>
      </c>
      <c r="AK60" s="1">
        <v>5</v>
      </c>
      <c r="AL60" s="1">
        <v>89500</v>
      </c>
      <c r="AM60" s="1">
        <v>89319</v>
      </c>
      <c r="AN60" s="1">
        <v>65273.512000000002</v>
      </c>
      <c r="AO60" s="1">
        <v>83546</v>
      </c>
      <c r="AP60" s="1">
        <v>181</v>
      </c>
      <c r="AQ60" s="1">
        <v>2.7729471642340902</v>
      </c>
      <c r="AR60" s="1">
        <v>7.1266128839202301</v>
      </c>
      <c r="AS60" s="1">
        <v>0.71266128839202403</v>
      </c>
      <c r="AT60" s="1">
        <v>3</v>
      </c>
      <c r="AU60" s="1"/>
      <c r="AV60" s="1" t="s">
        <v>483</v>
      </c>
      <c r="AW60" s="1" t="s">
        <v>98</v>
      </c>
      <c r="AX60" s="1" t="s">
        <v>386</v>
      </c>
      <c r="AY60" s="1" t="s">
        <v>100</v>
      </c>
      <c r="AZ60" s="1" t="s">
        <v>135</v>
      </c>
      <c r="BA60" s="1" t="s">
        <v>100</v>
      </c>
      <c r="BB60" s="1" t="s">
        <v>101</v>
      </c>
      <c r="BC60" s="1" t="s">
        <v>98</v>
      </c>
      <c r="BD60" s="1" t="s">
        <v>136</v>
      </c>
      <c r="BE60" s="1" t="s">
        <v>100</v>
      </c>
      <c r="BF60" s="1" t="s">
        <v>183</v>
      </c>
      <c r="BG60" s="1" t="s">
        <v>96</v>
      </c>
      <c r="BH60" s="1" t="s">
        <v>103</v>
      </c>
      <c r="BI60" t="s">
        <v>98</v>
      </c>
      <c r="BJ60" t="s">
        <v>484</v>
      </c>
      <c r="BK60" t="s">
        <v>98</v>
      </c>
      <c r="BL60" t="s">
        <v>485</v>
      </c>
      <c r="BM60" t="s">
        <v>100</v>
      </c>
      <c r="BN60" t="s">
        <v>411</v>
      </c>
      <c r="BO60" t="s">
        <v>96</v>
      </c>
      <c r="BP60" t="s">
        <v>124</v>
      </c>
      <c r="BQ60" t="s">
        <v>96</v>
      </c>
      <c r="BR60" t="s">
        <v>105</v>
      </c>
      <c r="BT60" t="s">
        <v>105</v>
      </c>
      <c r="BV60" t="s">
        <v>125</v>
      </c>
      <c r="BW60" t="s">
        <v>96</v>
      </c>
      <c r="BX60" t="s">
        <v>110</v>
      </c>
      <c r="BY60" t="s">
        <v>96</v>
      </c>
      <c r="BZ60" t="s">
        <v>141</v>
      </c>
      <c r="CA60" t="s">
        <v>96</v>
      </c>
      <c r="CB60" t="s">
        <v>105</v>
      </c>
      <c r="CD60">
        <v>1.3</v>
      </c>
      <c r="CE60" t="s">
        <v>96</v>
      </c>
      <c r="CF60">
        <v>0</v>
      </c>
      <c r="CG60" t="s">
        <v>96</v>
      </c>
      <c r="CH60">
        <v>1.4</v>
      </c>
      <c r="CI60" t="s">
        <v>96</v>
      </c>
      <c r="CJ60" t="s">
        <v>105</v>
      </c>
      <c r="CL60" t="s">
        <v>130</v>
      </c>
      <c r="CM60" t="s">
        <v>96</v>
      </c>
      <c r="CN60">
        <v>2.5</v>
      </c>
      <c r="CO60">
        <v>10</v>
      </c>
    </row>
    <row r="61" spans="1:93" x14ac:dyDescent="0.2">
      <c r="A61" s="3">
        <v>99</v>
      </c>
      <c r="B61" s="3" t="s">
        <v>486</v>
      </c>
      <c r="C61" s="3" t="s">
        <v>487</v>
      </c>
      <c r="D61" s="1"/>
      <c r="E61" s="1">
        <f t="shared" si="3"/>
        <v>7.44</v>
      </c>
      <c r="F61" s="1">
        <f t="shared" si="4"/>
        <v>7.44</v>
      </c>
      <c r="G61" s="1">
        <f t="shared" si="5"/>
        <v>0</v>
      </c>
      <c r="H61" s="1"/>
      <c r="I61" s="1">
        <v>32.799999999999997</v>
      </c>
      <c r="J61" s="1">
        <v>7.44</v>
      </c>
      <c r="K61" s="1"/>
      <c r="L61" s="1"/>
      <c r="M61" s="1"/>
      <c r="N61" s="1"/>
      <c r="O61" s="1"/>
      <c r="P61" s="1"/>
      <c r="Q61" s="1"/>
      <c r="R61" s="1"/>
      <c r="S61" s="1"/>
      <c r="T61" s="1"/>
      <c r="U61" s="1"/>
      <c r="V61" s="1"/>
      <c r="W61" s="1">
        <v>0</v>
      </c>
      <c r="X61" s="1">
        <v>0</v>
      </c>
      <c r="Y61" s="1">
        <v>0</v>
      </c>
      <c r="Z61" s="1">
        <v>0</v>
      </c>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CO61">
        <v>0</v>
      </c>
    </row>
    <row r="62" spans="1:93" x14ac:dyDescent="0.2">
      <c r="A62" s="3">
        <v>100</v>
      </c>
      <c r="B62" s="3" t="s">
        <v>488</v>
      </c>
      <c r="C62" s="3" t="s">
        <v>489</v>
      </c>
      <c r="D62" s="1"/>
      <c r="E62" s="1">
        <f t="shared" si="3"/>
        <v>10</v>
      </c>
      <c r="F62" s="1">
        <f t="shared" si="4"/>
        <v>10</v>
      </c>
      <c r="G62" s="1">
        <f t="shared" si="5"/>
        <v>10</v>
      </c>
      <c r="H62" s="1"/>
      <c r="I62" s="1">
        <v>20</v>
      </c>
      <c r="J62" s="1">
        <v>10</v>
      </c>
      <c r="K62" s="1">
        <v>0</v>
      </c>
      <c r="L62" s="1">
        <v>0.5</v>
      </c>
      <c r="M62" s="1"/>
      <c r="N62" s="1"/>
      <c r="O62" s="1">
        <v>1</v>
      </c>
      <c r="P62" s="1">
        <v>0.4</v>
      </c>
      <c r="Q62" s="1">
        <v>0.5</v>
      </c>
      <c r="R62" s="1">
        <v>4.7619047619047397</v>
      </c>
      <c r="S62" s="1">
        <v>7.7522366337057296</v>
      </c>
      <c r="T62" s="1">
        <v>29.759777583406201</v>
      </c>
      <c r="U62" s="1">
        <v>0.51681577558038305</v>
      </c>
      <c r="V62" s="1">
        <v>1.98398517222708</v>
      </c>
      <c r="W62" s="1">
        <v>62.643999999999998</v>
      </c>
      <c r="X62" s="1">
        <v>0.128</v>
      </c>
      <c r="Y62" s="1">
        <v>2.50576</v>
      </c>
      <c r="Z62" s="1">
        <v>0.25600000000000001</v>
      </c>
      <c r="AA62" s="1">
        <v>20210222</v>
      </c>
      <c r="AB62" s="1">
        <v>51.11</v>
      </c>
      <c r="AC62" s="1">
        <v>51.11</v>
      </c>
      <c r="AD62" s="1">
        <v>50</v>
      </c>
      <c r="AE62" s="1">
        <v>50</v>
      </c>
      <c r="AF62" s="1">
        <v>51.28</v>
      </c>
      <c r="AG62" s="1">
        <v>51.28</v>
      </c>
      <c r="AH62" s="1">
        <v>0</v>
      </c>
      <c r="AI62" s="1"/>
      <c r="AJ62" s="1">
        <v>4.4446153846153802</v>
      </c>
      <c r="AK62" s="1">
        <v>5</v>
      </c>
      <c r="AL62" s="1">
        <v>77</v>
      </c>
      <c r="AM62" s="1">
        <v>77</v>
      </c>
      <c r="AN62" s="1">
        <v>2225.7280000000001</v>
      </c>
      <c r="AO62" s="1">
        <v>75</v>
      </c>
      <c r="AP62" s="1">
        <v>0</v>
      </c>
      <c r="AQ62" s="1">
        <v>0</v>
      </c>
      <c r="AR62" s="1">
        <v>2.6666666666666599</v>
      </c>
      <c r="AS62" s="1">
        <v>0.266666666666666</v>
      </c>
      <c r="AT62" s="1">
        <v>5</v>
      </c>
      <c r="AU62" s="1"/>
      <c r="AV62" s="1" t="s">
        <v>490</v>
      </c>
      <c r="AW62" s="1" t="s">
        <v>100</v>
      </c>
      <c r="AX62" s="1" t="s">
        <v>386</v>
      </c>
      <c r="AY62" s="1" t="s">
        <v>100</v>
      </c>
      <c r="AZ62" s="1" t="s">
        <v>118</v>
      </c>
      <c r="BA62" s="1" t="s">
        <v>100</v>
      </c>
      <c r="BB62" s="1" t="s">
        <v>146</v>
      </c>
      <c r="BC62" s="1" t="s">
        <v>100</v>
      </c>
      <c r="BD62" s="1" t="s">
        <v>136</v>
      </c>
      <c r="BE62" s="1" t="s">
        <v>100</v>
      </c>
      <c r="BF62" s="1" t="s">
        <v>183</v>
      </c>
      <c r="BG62" s="1" t="s">
        <v>96</v>
      </c>
      <c r="BH62" s="1" t="s">
        <v>147</v>
      </c>
      <c r="BI62" t="s">
        <v>96</v>
      </c>
      <c r="BJ62" t="s">
        <v>491</v>
      </c>
      <c r="BK62" t="s">
        <v>98</v>
      </c>
      <c r="BL62" t="s">
        <v>105</v>
      </c>
      <c r="BN62" t="s">
        <v>192</v>
      </c>
      <c r="BO62" t="s">
        <v>96</v>
      </c>
      <c r="BP62" t="s">
        <v>124</v>
      </c>
      <c r="BQ62" t="s">
        <v>96</v>
      </c>
      <c r="BR62" t="s">
        <v>105</v>
      </c>
      <c r="BT62" t="s">
        <v>105</v>
      </c>
      <c r="BV62" t="s">
        <v>125</v>
      </c>
      <c r="BW62" t="s">
        <v>96</v>
      </c>
      <c r="BX62" t="s">
        <v>110</v>
      </c>
      <c r="BY62" t="s">
        <v>96</v>
      </c>
      <c r="BZ62" t="s">
        <v>141</v>
      </c>
      <c r="CA62" t="s">
        <v>96</v>
      </c>
      <c r="CB62" t="s">
        <v>105</v>
      </c>
      <c r="CD62">
        <v>0</v>
      </c>
      <c r="CE62" t="s">
        <v>96</v>
      </c>
      <c r="CF62">
        <v>0</v>
      </c>
      <c r="CG62" t="s">
        <v>96</v>
      </c>
      <c r="CH62">
        <v>1.1000000000000001</v>
      </c>
      <c r="CI62" t="s">
        <v>96</v>
      </c>
      <c r="CJ62" t="s">
        <v>105</v>
      </c>
      <c r="CL62" t="s">
        <v>130</v>
      </c>
      <c r="CM62" t="s">
        <v>96</v>
      </c>
      <c r="CN62">
        <v>7.5</v>
      </c>
      <c r="CO62">
        <v>10</v>
      </c>
    </row>
    <row r="63" spans="1:93" x14ac:dyDescent="0.2">
      <c r="A63" s="3">
        <v>101</v>
      </c>
      <c r="B63" s="3" t="s">
        <v>492</v>
      </c>
      <c r="C63" s="3" t="s">
        <v>493</v>
      </c>
      <c r="D63" s="1"/>
      <c r="E63" s="1">
        <f t="shared" si="3"/>
        <v>3.872983346207417</v>
      </c>
      <c r="F63" s="1">
        <f t="shared" si="4"/>
        <v>1.5</v>
      </c>
      <c r="G63" s="1">
        <f t="shared" si="5"/>
        <v>10</v>
      </c>
      <c r="H63" s="1"/>
      <c r="I63" s="1">
        <v>77.900000000000006</v>
      </c>
      <c r="J63" s="1">
        <v>0</v>
      </c>
      <c r="K63" s="1">
        <v>0</v>
      </c>
      <c r="L63" s="1">
        <v>0.7</v>
      </c>
      <c r="M63" s="1"/>
      <c r="N63" s="1"/>
      <c r="O63" s="1">
        <v>0.5</v>
      </c>
      <c r="P63" s="1">
        <v>0.6</v>
      </c>
      <c r="Q63" s="1">
        <v>0.5</v>
      </c>
      <c r="R63" s="1">
        <v>4.7619047619047397</v>
      </c>
      <c r="S63" s="1">
        <v>-41.250974720482702</v>
      </c>
      <c r="T63" s="1">
        <v>-42.214727435408101</v>
      </c>
      <c r="U63" s="1">
        <v>0</v>
      </c>
      <c r="V63" s="1">
        <v>0</v>
      </c>
      <c r="W63" s="1">
        <v>163.41300000000001</v>
      </c>
      <c r="X63" s="1">
        <v>7.2030000000000003</v>
      </c>
      <c r="Y63" s="1">
        <v>6.5365200000000003</v>
      </c>
      <c r="Z63" s="1">
        <v>10</v>
      </c>
      <c r="AA63" s="1">
        <v>20210222</v>
      </c>
      <c r="AB63" s="1"/>
      <c r="AC63" s="1">
        <v>80.11</v>
      </c>
      <c r="AD63" s="1"/>
      <c r="AE63" s="1">
        <v>100</v>
      </c>
      <c r="AF63" s="1"/>
      <c r="AG63" s="1">
        <v>77.05</v>
      </c>
      <c r="AH63" s="1"/>
      <c r="AI63" s="1"/>
      <c r="AJ63" s="1">
        <v>0</v>
      </c>
      <c r="AK63" s="1">
        <v>0</v>
      </c>
      <c r="AL63" s="1">
        <v>132889</v>
      </c>
      <c r="AM63" s="1">
        <v>132031</v>
      </c>
      <c r="AN63" s="1">
        <v>67886.004000000001</v>
      </c>
      <c r="AO63" s="1">
        <v>120593</v>
      </c>
      <c r="AP63" s="1">
        <v>858</v>
      </c>
      <c r="AQ63" s="1">
        <v>12.638834950426601</v>
      </c>
      <c r="AR63" s="1">
        <v>10.1962800494224</v>
      </c>
      <c r="AS63" s="1">
        <v>1.0196280049422399</v>
      </c>
      <c r="AT63" s="1">
        <v>2.6</v>
      </c>
      <c r="AU63" s="1"/>
      <c r="AV63" s="1" t="s">
        <v>494</v>
      </c>
      <c r="AW63" s="1" t="s">
        <v>98</v>
      </c>
      <c r="AX63" s="1" t="s">
        <v>153</v>
      </c>
      <c r="AY63" s="1" t="s">
        <v>100</v>
      </c>
      <c r="AZ63" s="1" t="s">
        <v>135</v>
      </c>
      <c r="BA63" s="1" t="s">
        <v>100</v>
      </c>
      <c r="BB63" s="1" t="s">
        <v>119</v>
      </c>
      <c r="BC63" s="1" t="s">
        <v>96</v>
      </c>
      <c r="BD63" s="1" t="s">
        <v>136</v>
      </c>
      <c r="BE63" s="1" t="s">
        <v>100</v>
      </c>
      <c r="BF63" s="1" t="s">
        <v>183</v>
      </c>
      <c r="BG63" s="1" t="s">
        <v>96</v>
      </c>
      <c r="BH63" s="1" t="s">
        <v>147</v>
      </c>
      <c r="BI63" t="s">
        <v>96</v>
      </c>
      <c r="BJ63" t="s">
        <v>484</v>
      </c>
      <c r="BK63" t="s">
        <v>98</v>
      </c>
      <c r="BL63" t="s">
        <v>106</v>
      </c>
      <c r="BM63" t="s">
        <v>100</v>
      </c>
      <c r="BN63" t="s">
        <v>266</v>
      </c>
      <c r="BO63" t="s">
        <v>96</v>
      </c>
      <c r="BP63" t="s">
        <v>227</v>
      </c>
      <c r="BQ63" t="s">
        <v>98</v>
      </c>
      <c r="BR63" t="s">
        <v>105</v>
      </c>
      <c r="BT63" t="s">
        <v>105</v>
      </c>
      <c r="BV63" t="s">
        <v>125</v>
      </c>
      <c r="BW63" t="s">
        <v>96</v>
      </c>
      <c r="BX63" t="s">
        <v>126</v>
      </c>
      <c r="BY63" t="s">
        <v>100</v>
      </c>
      <c r="BZ63" t="s">
        <v>141</v>
      </c>
      <c r="CA63" t="s">
        <v>96</v>
      </c>
      <c r="CB63" t="s">
        <v>105</v>
      </c>
      <c r="CD63">
        <v>1.9</v>
      </c>
      <c r="CE63" t="s">
        <v>96</v>
      </c>
      <c r="CF63">
        <v>0</v>
      </c>
      <c r="CG63" t="s">
        <v>96</v>
      </c>
      <c r="CH63">
        <v>0.1</v>
      </c>
      <c r="CI63" t="s">
        <v>96</v>
      </c>
      <c r="CJ63" t="s">
        <v>105</v>
      </c>
      <c r="CL63" t="s">
        <v>130</v>
      </c>
      <c r="CM63" t="s">
        <v>96</v>
      </c>
      <c r="CN63">
        <v>1.5</v>
      </c>
      <c r="CO63">
        <v>10</v>
      </c>
    </row>
    <row r="64" spans="1:93" x14ac:dyDescent="0.2">
      <c r="A64" s="3">
        <v>106</v>
      </c>
      <c r="B64" s="3" t="s">
        <v>495</v>
      </c>
      <c r="C64" s="3" t="s">
        <v>496</v>
      </c>
      <c r="D64" s="1"/>
      <c r="E64" s="1">
        <f t="shared" si="3"/>
        <v>6.9006555934235259</v>
      </c>
      <c r="F64" s="1">
        <f t="shared" si="4"/>
        <v>5</v>
      </c>
      <c r="G64" s="1">
        <f t="shared" si="5"/>
        <v>9.5238095238094793</v>
      </c>
      <c r="H64" s="1"/>
      <c r="I64" s="1">
        <v>52</v>
      </c>
      <c r="J64" s="1">
        <v>3.6</v>
      </c>
      <c r="K64" s="1">
        <v>0.9</v>
      </c>
      <c r="L64" s="1">
        <v>0.4</v>
      </c>
      <c r="M64" s="1"/>
      <c r="N64" s="1"/>
      <c r="O64" s="1">
        <v>0.8</v>
      </c>
      <c r="P64" s="1">
        <v>0.6</v>
      </c>
      <c r="Q64" s="1">
        <v>0.7</v>
      </c>
      <c r="R64" s="1">
        <v>9.5238095238094793</v>
      </c>
      <c r="S64" s="1">
        <v>-35.004582777947498</v>
      </c>
      <c r="T64" s="1">
        <v>-21.560725283292602</v>
      </c>
      <c r="U64" s="1">
        <v>0</v>
      </c>
      <c r="V64" s="1">
        <v>0</v>
      </c>
      <c r="W64" s="1">
        <v>100.2</v>
      </c>
      <c r="X64" s="1">
        <v>2.972</v>
      </c>
      <c r="Y64" s="1">
        <v>4.008</v>
      </c>
      <c r="Z64" s="1">
        <v>5.944</v>
      </c>
      <c r="AA64" s="1">
        <v>20210222</v>
      </c>
      <c r="AB64" s="1"/>
      <c r="AC64" s="1">
        <v>64.44</v>
      </c>
      <c r="AD64" s="1"/>
      <c r="AE64" s="1">
        <v>0</v>
      </c>
      <c r="AF64" s="1"/>
      <c r="AG64" s="1">
        <v>74.36</v>
      </c>
      <c r="AH64" s="1"/>
      <c r="AI64" s="1"/>
      <c r="AJ64" s="1">
        <v>2.39384615384615</v>
      </c>
      <c r="AK64" s="1">
        <v>10</v>
      </c>
      <c r="AL64" s="1">
        <v>3766</v>
      </c>
      <c r="AM64" s="1">
        <v>3743</v>
      </c>
      <c r="AN64" s="1">
        <v>3989.1750000000002</v>
      </c>
      <c r="AO64" s="1">
        <v>3425</v>
      </c>
      <c r="AP64" s="1">
        <v>23</v>
      </c>
      <c r="AQ64" s="1">
        <v>5.7656031635613898</v>
      </c>
      <c r="AR64" s="1">
        <v>9.9562043795620401</v>
      </c>
      <c r="AS64" s="1">
        <v>0.99562043795620303</v>
      </c>
      <c r="AT64" s="1">
        <v>4</v>
      </c>
      <c r="AU64" s="1"/>
      <c r="AV64" s="1" t="s">
        <v>497</v>
      </c>
      <c r="AW64" s="1" t="s">
        <v>96</v>
      </c>
      <c r="AX64" s="1" t="s">
        <v>498</v>
      </c>
      <c r="AY64" s="1" t="s">
        <v>96</v>
      </c>
      <c r="AZ64" s="1" t="s">
        <v>135</v>
      </c>
      <c r="BA64" s="1" t="s">
        <v>100</v>
      </c>
      <c r="BB64" s="1" t="s">
        <v>119</v>
      </c>
      <c r="BC64" s="1" t="s">
        <v>96</v>
      </c>
      <c r="BD64" s="1" t="s">
        <v>175</v>
      </c>
      <c r="BE64" s="1" t="s">
        <v>96</v>
      </c>
      <c r="BF64" s="1" t="s">
        <v>137</v>
      </c>
      <c r="BG64" s="1" t="s">
        <v>100</v>
      </c>
      <c r="BH64" s="1" t="s">
        <v>121</v>
      </c>
      <c r="BI64" t="s">
        <v>100</v>
      </c>
      <c r="BJ64" t="s">
        <v>104</v>
      </c>
      <c r="BK64" t="s">
        <v>98</v>
      </c>
      <c r="BL64" t="s">
        <v>105</v>
      </c>
      <c r="BN64" t="s">
        <v>499</v>
      </c>
      <c r="BO64" t="s">
        <v>98</v>
      </c>
      <c r="BP64" t="s">
        <v>169</v>
      </c>
      <c r="BQ64" t="s">
        <v>100</v>
      </c>
      <c r="BR64" t="s">
        <v>105</v>
      </c>
      <c r="BT64" t="s">
        <v>500</v>
      </c>
      <c r="BU64" t="s">
        <v>96</v>
      </c>
      <c r="BV64" t="s">
        <v>125</v>
      </c>
      <c r="BW64" t="s">
        <v>96</v>
      </c>
      <c r="BX64" t="s">
        <v>126</v>
      </c>
      <c r="BY64" t="s">
        <v>100</v>
      </c>
      <c r="BZ64" t="s">
        <v>141</v>
      </c>
      <c r="CA64" t="s">
        <v>96</v>
      </c>
      <c r="CB64" t="s">
        <v>105</v>
      </c>
      <c r="CD64">
        <v>0</v>
      </c>
      <c r="CE64" t="s">
        <v>96</v>
      </c>
      <c r="CF64">
        <v>0</v>
      </c>
      <c r="CG64" t="s">
        <v>96</v>
      </c>
      <c r="CH64">
        <v>1.8</v>
      </c>
      <c r="CI64" t="s">
        <v>96</v>
      </c>
      <c r="CJ64" t="s">
        <v>105</v>
      </c>
      <c r="CL64" t="s">
        <v>130</v>
      </c>
      <c r="CM64" t="s">
        <v>96</v>
      </c>
      <c r="CN64">
        <v>5</v>
      </c>
      <c r="CO64">
        <v>0</v>
      </c>
    </row>
    <row r="65" spans="1:93" x14ac:dyDescent="0.2">
      <c r="A65" s="3">
        <v>107</v>
      </c>
      <c r="B65" s="3" t="s">
        <v>501</v>
      </c>
      <c r="C65" s="3" t="s">
        <v>502</v>
      </c>
      <c r="D65" s="1"/>
      <c r="E65" s="1">
        <f t="shared" si="3"/>
        <v>6.2391197604001301</v>
      </c>
      <c r="F65" s="1">
        <f t="shared" si="4"/>
        <v>6.9</v>
      </c>
      <c r="G65" s="1">
        <f t="shared" si="5"/>
        <v>5.6415384615384596</v>
      </c>
      <c r="H65" s="1"/>
      <c r="I65" s="1">
        <v>35.5</v>
      </c>
      <c r="J65" s="1">
        <v>6.9</v>
      </c>
      <c r="K65" s="1">
        <v>0</v>
      </c>
      <c r="L65" s="1">
        <v>0.7</v>
      </c>
      <c r="M65" s="1"/>
      <c r="N65" s="1"/>
      <c r="O65" s="1">
        <v>1</v>
      </c>
      <c r="P65" s="1">
        <v>0.3</v>
      </c>
      <c r="Q65" s="1">
        <v>0.5</v>
      </c>
      <c r="R65" s="1">
        <v>4.7619047619047397</v>
      </c>
      <c r="S65" s="1">
        <v>13.1137352392791</v>
      </c>
      <c r="T65" s="1">
        <v>-16.2699571223052</v>
      </c>
      <c r="U65" s="1">
        <v>0.87424901595193705</v>
      </c>
      <c r="V65" s="1">
        <v>0</v>
      </c>
      <c r="W65" s="1">
        <v>20.306999999999999</v>
      </c>
      <c r="X65" s="1">
        <v>0.20200000000000001</v>
      </c>
      <c r="Y65" s="1">
        <v>0.812279999999999</v>
      </c>
      <c r="Z65" s="1">
        <v>0.40400000000000003</v>
      </c>
      <c r="AA65" s="1">
        <v>20210222</v>
      </c>
      <c r="AB65" s="1">
        <v>43.33</v>
      </c>
      <c r="AC65" s="1">
        <v>43.33</v>
      </c>
      <c r="AD65" s="1">
        <v>0</v>
      </c>
      <c r="AE65" s="1">
        <v>0</v>
      </c>
      <c r="AF65" s="1">
        <v>50</v>
      </c>
      <c r="AG65" s="1">
        <v>50</v>
      </c>
      <c r="AH65" s="1">
        <v>0</v>
      </c>
      <c r="AI65" s="1"/>
      <c r="AJ65" s="1">
        <v>5.6415384615384596</v>
      </c>
      <c r="AK65" s="1">
        <v>10</v>
      </c>
      <c r="AL65" s="1">
        <v>814</v>
      </c>
      <c r="AM65" s="1">
        <v>793</v>
      </c>
      <c r="AN65" s="1">
        <v>31072.945</v>
      </c>
      <c r="AO65" s="1">
        <v>572</v>
      </c>
      <c r="AP65" s="1">
        <v>21</v>
      </c>
      <c r="AQ65" s="1">
        <v>0.67582908539888997</v>
      </c>
      <c r="AR65" s="1">
        <v>42.307692307692299</v>
      </c>
      <c r="AS65" s="1">
        <v>4.2307692307692299</v>
      </c>
      <c r="AT65" s="1">
        <v>4.7</v>
      </c>
      <c r="AU65" s="1"/>
      <c r="AV65" s="1" t="s">
        <v>503</v>
      </c>
      <c r="AW65" s="1" t="s">
        <v>100</v>
      </c>
      <c r="AX65" s="1" t="s">
        <v>504</v>
      </c>
      <c r="AY65" s="1" t="s">
        <v>100</v>
      </c>
      <c r="AZ65" s="1" t="s">
        <v>99</v>
      </c>
      <c r="BA65" s="1" t="s">
        <v>100</v>
      </c>
      <c r="BB65" s="1" t="s">
        <v>101</v>
      </c>
      <c r="BC65" s="1" t="s">
        <v>98</v>
      </c>
      <c r="BD65" s="1" t="s">
        <v>101</v>
      </c>
      <c r="BE65" s="1" t="s">
        <v>98</v>
      </c>
      <c r="BF65" s="1" t="s">
        <v>102</v>
      </c>
      <c r="BG65" s="1" t="s">
        <v>98</v>
      </c>
      <c r="BH65" s="1" t="s">
        <v>103</v>
      </c>
      <c r="BI65" t="s">
        <v>98</v>
      </c>
      <c r="BJ65" t="s">
        <v>163</v>
      </c>
      <c r="BK65" t="s">
        <v>100</v>
      </c>
      <c r="BL65" t="s">
        <v>105</v>
      </c>
      <c r="BN65" t="s">
        <v>505</v>
      </c>
      <c r="BO65" t="s">
        <v>98</v>
      </c>
      <c r="BP65" t="s">
        <v>169</v>
      </c>
      <c r="BQ65" t="s">
        <v>100</v>
      </c>
      <c r="BR65" t="s">
        <v>506</v>
      </c>
      <c r="BS65" t="s">
        <v>100</v>
      </c>
      <c r="BT65" t="s">
        <v>105</v>
      </c>
      <c r="BV65" t="s">
        <v>125</v>
      </c>
      <c r="BW65" t="s">
        <v>96</v>
      </c>
      <c r="BX65" t="s">
        <v>110</v>
      </c>
      <c r="BY65" t="s">
        <v>96</v>
      </c>
      <c r="BZ65" t="s">
        <v>141</v>
      </c>
      <c r="CA65" t="s">
        <v>96</v>
      </c>
      <c r="CB65" t="s">
        <v>342</v>
      </c>
      <c r="CC65" t="s">
        <v>96</v>
      </c>
      <c r="CD65">
        <v>0</v>
      </c>
      <c r="CE65" t="s">
        <v>96</v>
      </c>
      <c r="CF65">
        <v>0</v>
      </c>
      <c r="CG65" t="s">
        <v>96</v>
      </c>
      <c r="CH65">
        <v>0.3</v>
      </c>
      <c r="CI65" t="s">
        <v>96</v>
      </c>
      <c r="CJ65" t="s">
        <v>112</v>
      </c>
      <c r="CK65" t="s">
        <v>96</v>
      </c>
      <c r="CL65" t="s">
        <v>130</v>
      </c>
      <c r="CM65" t="s">
        <v>96</v>
      </c>
      <c r="CN65">
        <v>6.75</v>
      </c>
      <c r="CO65">
        <v>0</v>
      </c>
    </row>
    <row r="66" spans="1:93" x14ac:dyDescent="0.2">
      <c r="A66" s="3">
        <v>108</v>
      </c>
      <c r="B66" s="3" t="s">
        <v>507</v>
      </c>
      <c r="C66" s="3" t="s">
        <v>508</v>
      </c>
      <c r="D66" s="1"/>
      <c r="E66" s="1">
        <f t="shared" si="3"/>
        <v>10</v>
      </c>
      <c r="F66" s="1">
        <f t="shared" si="4"/>
        <v>10</v>
      </c>
      <c r="G66" s="1">
        <f t="shared" si="5"/>
        <v>10</v>
      </c>
      <c r="H66" s="1"/>
      <c r="I66" s="1">
        <v>32.700000000000003</v>
      </c>
      <c r="J66" s="1">
        <v>7.46</v>
      </c>
      <c r="K66" s="1">
        <v>0.1</v>
      </c>
      <c r="L66" s="1">
        <v>0.3</v>
      </c>
      <c r="M66" s="1"/>
      <c r="N66" s="1"/>
      <c r="O66" s="1">
        <v>1</v>
      </c>
      <c r="P66" s="1"/>
      <c r="Q66" s="1">
        <v>0.5</v>
      </c>
      <c r="R66" s="1">
        <v>4.7619047619047397</v>
      </c>
      <c r="S66" s="1">
        <v>-28.205128205128201</v>
      </c>
      <c r="T66" s="1">
        <v>74.698673148992199</v>
      </c>
      <c r="U66" s="1">
        <v>0</v>
      </c>
      <c r="V66" s="1">
        <v>4.9799115432661498</v>
      </c>
      <c r="W66" s="1">
        <v>4.6559999999999997</v>
      </c>
      <c r="X66" s="1">
        <v>1.0999999999999999E-2</v>
      </c>
      <c r="Y66" s="1">
        <v>0.18623999999999999</v>
      </c>
      <c r="Z66" s="1">
        <v>2.20000000000002E-2</v>
      </c>
      <c r="AA66" s="1">
        <v>20210222</v>
      </c>
      <c r="AB66" s="1"/>
      <c r="AC66" s="1">
        <v>44.72</v>
      </c>
      <c r="AD66" s="1"/>
      <c r="AE66" s="1">
        <v>0</v>
      </c>
      <c r="AF66" s="1"/>
      <c r="AG66" s="1">
        <v>51.6</v>
      </c>
      <c r="AH66" s="1"/>
      <c r="AI66" s="1"/>
      <c r="AJ66" s="1">
        <v>5.4276923076923103</v>
      </c>
      <c r="AK66" s="1">
        <v>10</v>
      </c>
      <c r="AL66" s="1">
        <v>90</v>
      </c>
      <c r="AM66" s="1">
        <v>89</v>
      </c>
      <c r="AN66" s="1">
        <v>13132.791999999999</v>
      </c>
      <c r="AO66" s="1">
        <v>86</v>
      </c>
      <c r="AP66" s="1">
        <v>1</v>
      </c>
      <c r="AQ66" s="1">
        <v>7.6145270556329497E-2</v>
      </c>
      <c r="AR66" s="1">
        <v>4.65116279069768</v>
      </c>
      <c r="AS66" s="1">
        <v>0.46511627906976799</v>
      </c>
      <c r="AT66" s="1">
        <v>6</v>
      </c>
      <c r="AU66" s="1"/>
      <c r="AV66" s="1" t="s">
        <v>509</v>
      </c>
      <c r="AW66" s="1" t="s">
        <v>96</v>
      </c>
      <c r="AX66" s="1" t="s">
        <v>510</v>
      </c>
      <c r="AY66" s="1" t="s">
        <v>100</v>
      </c>
      <c r="AZ66" s="1" t="s">
        <v>99</v>
      </c>
      <c r="BA66" s="1" t="s">
        <v>100</v>
      </c>
      <c r="BB66" s="1" t="s">
        <v>119</v>
      </c>
      <c r="BC66" s="1" t="s">
        <v>96</v>
      </c>
      <c r="BD66" s="1" t="s">
        <v>136</v>
      </c>
      <c r="BE66" s="1" t="s">
        <v>100</v>
      </c>
      <c r="BF66" s="1" t="s">
        <v>102</v>
      </c>
      <c r="BG66" s="1" t="s">
        <v>98</v>
      </c>
      <c r="BH66" s="1" t="s">
        <v>103</v>
      </c>
      <c r="BI66" t="s">
        <v>98</v>
      </c>
      <c r="BJ66" t="s">
        <v>140</v>
      </c>
      <c r="BK66" t="s">
        <v>96</v>
      </c>
      <c r="BL66" t="s">
        <v>105</v>
      </c>
      <c r="BN66" t="s">
        <v>511</v>
      </c>
      <c r="BO66" t="s">
        <v>98</v>
      </c>
      <c r="BP66" t="s">
        <v>124</v>
      </c>
      <c r="BQ66" t="s">
        <v>96</v>
      </c>
      <c r="BR66" t="s">
        <v>105</v>
      </c>
      <c r="BT66" t="s">
        <v>105</v>
      </c>
      <c r="BV66" t="s">
        <v>125</v>
      </c>
      <c r="BW66" t="s">
        <v>96</v>
      </c>
      <c r="BX66" t="s">
        <v>126</v>
      </c>
      <c r="BY66" t="s">
        <v>100</v>
      </c>
      <c r="BZ66" t="s">
        <v>141</v>
      </c>
      <c r="CA66" t="s">
        <v>96</v>
      </c>
      <c r="CB66" t="s">
        <v>128</v>
      </c>
      <c r="CC66" t="s">
        <v>100</v>
      </c>
      <c r="CD66">
        <v>0</v>
      </c>
      <c r="CE66" t="s">
        <v>96</v>
      </c>
      <c r="CF66">
        <v>0</v>
      </c>
      <c r="CG66" t="s">
        <v>96</v>
      </c>
      <c r="CH66">
        <v>0.3</v>
      </c>
      <c r="CI66" t="s">
        <v>96</v>
      </c>
      <c r="CJ66" t="s">
        <v>112</v>
      </c>
      <c r="CK66" t="s">
        <v>96</v>
      </c>
      <c r="CL66" t="s">
        <v>130</v>
      </c>
      <c r="CM66" t="s">
        <v>96</v>
      </c>
      <c r="CN66">
        <v>10</v>
      </c>
      <c r="CO66">
        <v>10</v>
      </c>
    </row>
    <row r="67" spans="1:93" x14ac:dyDescent="0.2">
      <c r="A67" s="3">
        <v>109</v>
      </c>
      <c r="B67" s="3" t="s">
        <v>512</v>
      </c>
      <c r="C67" s="3" t="s">
        <v>513</v>
      </c>
      <c r="D67" s="1"/>
      <c r="E67" s="1">
        <f t="shared" ref="E67:E98" si="6">IFERROR(GEOMEAN(F67, G67), MAX(F67, G67))</f>
        <v>9.3859063544890375</v>
      </c>
      <c r="F67" s="1">
        <f t="shared" ref="F67:F98" si="7">MAX(J67, CN67)</f>
        <v>9.25</v>
      </c>
      <c r="G67" s="1">
        <f t="shared" ref="G67:G98" si="8">MAX(R67, U67, V67, Y67, Z67, AJ67, CO67)</f>
        <v>9.5238095238094793</v>
      </c>
      <c r="H67" s="1"/>
      <c r="I67" s="1">
        <v>34.200000000000003</v>
      </c>
      <c r="J67" s="1">
        <v>7.16</v>
      </c>
      <c r="K67" s="1">
        <v>0.5</v>
      </c>
      <c r="L67" s="1">
        <v>0.5</v>
      </c>
      <c r="M67" s="1"/>
      <c r="N67" s="1"/>
      <c r="O67" s="1">
        <v>1</v>
      </c>
      <c r="P67" s="1"/>
      <c r="Q67" s="1">
        <v>0.7</v>
      </c>
      <c r="R67" s="1">
        <v>9.5238095238094793</v>
      </c>
      <c r="S67" s="1">
        <v>38.434985794323097</v>
      </c>
      <c r="T67" s="1">
        <v>-7.6919283123662803</v>
      </c>
      <c r="U67" s="1">
        <v>2.5623323862882001</v>
      </c>
      <c r="V67" s="1">
        <v>0</v>
      </c>
      <c r="W67" s="1">
        <v>8.2759999999999998</v>
      </c>
      <c r="X67" s="1">
        <v>0.35499999999999998</v>
      </c>
      <c r="Y67" s="1">
        <v>0.33104</v>
      </c>
      <c r="Z67" s="1">
        <v>0.71000000000000096</v>
      </c>
      <c r="AA67" s="1">
        <v>20210222</v>
      </c>
      <c r="AB67" s="1">
        <v>45.56</v>
      </c>
      <c r="AC67" s="1">
        <v>45.56</v>
      </c>
      <c r="AD67" s="1">
        <v>0</v>
      </c>
      <c r="AE67" s="1">
        <v>0</v>
      </c>
      <c r="AF67" s="1">
        <v>52.56</v>
      </c>
      <c r="AG67" s="1">
        <v>52.56</v>
      </c>
      <c r="AH67" s="1">
        <v>0</v>
      </c>
      <c r="AI67" s="1"/>
      <c r="AJ67" s="1">
        <v>5.2984615384615399</v>
      </c>
      <c r="AK67" s="1">
        <v>10</v>
      </c>
      <c r="AL67" s="1">
        <v>184</v>
      </c>
      <c r="AM67" s="1">
        <v>178</v>
      </c>
      <c r="AN67" s="1">
        <v>2416.6640000000002</v>
      </c>
      <c r="AO67" s="1">
        <v>144</v>
      </c>
      <c r="AP67" s="1">
        <v>6</v>
      </c>
      <c r="AQ67" s="1">
        <v>2.4827613602884</v>
      </c>
      <c r="AR67" s="1">
        <v>27.7777777777778</v>
      </c>
      <c r="AS67" s="1">
        <v>2.7777777777777799</v>
      </c>
      <c r="AT67" s="1">
        <v>5.7</v>
      </c>
      <c r="AU67" s="1"/>
      <c r="AV67" s="1" t="s">
        <v>514</v>
      </c>
      <c r="AW67" s="1" t="s">
        <v>96</v>
      </c>
      <c r="AX67" s="1" t="s">
        <v>515</v>
      </c>
      <c r="AY67" s="1" t="s">
        <v>100</v>
      </c>
      <c r="AZ67" s="1" t="s">
        <v>118</v>
      </c>
      <c r="BA67" s="1" t="s">
        <v>100</v>
      </c>
      <c r="BB67" s="1" t="s">
        <v>101</v>
      </c>
      <c r="BC67" s="1" t="s">
        <v>98</v>
      </c>
      <c r="BD67" s="1" t="s">
        <v>101</v>
      </c>
      <c r="BE67" s="1" t="s">
        <v>98</v>
      </c>
      <c r="BF67" s="1" t="s">
        <v>102</v>
      </c>
      <c r="BG67" s="1" t="s">
        <v>98</v>
      </c>
      <c r="BH67" s="1" t="s">
        <v>103</v>
      </c>
      <c r="BI67" t="s">
        <v>98</v>
      </c>
      <c r="BJ67" t="s">
        <v>376</v>
      </c>
      <c r="BK67" t="s">
        <v>98</v>
      </c>
      <c r="BL67" t="s">
        <v>105</v>
      </c>
      <c r="BN67" t="s">
        <v>206</v>
      </c>
      <c r="BO67" t="s">
        <v>98</v>
      </c>
      <c r="BP67" t="s">
        <v>124</v>
      </c>
      <c r="BQ67" t="s">
        <v>96</v>
      </c>
      <c r="BR67" t="s">
        <v>516</v>
      </c>
      <c r="BS67" t="s">
        <v>100</v>
      </c>
      <c r="BT67" t="s">
        <v>105</v>
      </c>
      <c r="BV67" t="s">
        <v>125</v>
      </c>
      <c r="BW67" t="s">
        <v>96</v>
      </c>
      <c r="BX67" t="s">
        <v>110</v>
      </c>
      <c r="BY67" t="s">
        <v>96</v>
      </c>
      <c r="BZ67" t="s">
        <v>141</v>
      </c>
      <c r="CA67" t="s">
        <v>96</v>
      </c>
      <c r="CB67" t="s">
        <v>105</v>
      </c>
      <c r="CD67">
        <v>0</v>
      </c>
      <c r="CE67" t="s">
        <v>96</v>
      </c>
      <c r="CF67">
        <v>0</v>
      </c>
      <c r="CG67" t="s">
        <v>96</v>
      </c>
      <c r="CH67">
        <v>2.2000000000000002</v>
      </c>
      <c r="CI67" t="s">
        <v>100</v>
      </c>
      <c r="CJ67" t="s">
        <v>112</v>
      </c>
      <c r="CK67" t="s">
        <v>96</v>
      </c>
      <c r="CL67" t="s">
        <v>130</v>
      </c>
      <c r="CM67" t="s">
        <v>96</v>
      </c>
      <c r="CN67">
        <v>9.25</v>
      </c>
      <c r="CO67">
        <v>0</v>
      </c>
    </row>
    <row r="68" spans="1:93" x14ac:dyDescent="0.2">
      <c r="A68" s="3">
        <v>110</v>
      </c>
      <c r="B68" s="3" t="s">
        <v>517</v>
      </c>
      <c r="C68" s="3" t="s">
        <v>518</v>
      </c>
      <c r="D68" s="1"/>
      <c r="E68" s="1">
        <f t="shared" si="6"/>
        <v>5.505761628769184</v>
      </c>
      <c r="F68" s="1">
        <f t="shared" si="7"/>
        <v>10</v>
      </c>
      <c r="G68" s="1">
        <f t="shared" si="8"/>
        <v>3.03134111128271</v>
      </c>
      <c r="H68" s="1"/>
      <c r="I68" s="1">
        <v>20</v>
      </c>
      <c r="J68" s="1">
        <v>10</v>
      </c>
      <c r="K68" s="1"/>
      <c r="L68" s="1"/>
      <c r="M68" s="1"/>
      <c r="N68" s="1"/>
      <c r="O68" s="1"/>
      <c r="P68" s="1"/>
      <c r="Q68" s="1"/>
      <c r="R68" s="1"/>
      <c r="S68" s="1">
        <v>7.6923076923076898</v>
      </c>
      <c r="T68" s="1">
        <v>45.470116669240603</v>
      </c>
      <c r="U68" s="1">
        <v>0.512820512820513</v>
      </c>
      <c r="V68" s="1">
        <v>3.03134111128271</v>
      </c>
      <c r="W68" s="1">
        <v>13.865</v>
      </c>
      <c r="X68" s="1">
        <v>7.2999999999999995E-2</v>
      </c>
      <c r="Y68" s="1">
        <v>0.55460000000000098</v>
      </c>
      <c r="Z68" s="1">
        <v>0.14600000000000099</v>
      </c>
      <c r="AA68" s="1"/>
      <c r="AB68" s="1"/>
      <c r="AC68" s="1"/>
      <c r="AD68" s="1"/>
      <c r="AE68" s="1"/>
      <c r="AF68" s="1"/>
      <c r="AG68" s="1"/>
      <c r="AH68" s="1"/>
      <c r="AI68" s="1"/>
      <c r="AJ68" s="1"/>
      <c r="AK68" s="1"/>
      <c r="AL68" s="1">
        <v>49</v>
      </c>
      <c r="AM68" s="1">
        <v>49</v>
      </c>
      <c r="AN68" s="1">
        <v>1967.998</v>
      </c>
      <c r="AO68" s="1">
        <v>46</v>
      </c>
      <c r="AP68" s="1">
        <v>0</v>
      </c>
      <c r="AQ68" s="1">
        <v>0</v>
      </c>
      <c r="AR68" s="1">
        <v>6.5217391304348</v>
      </c>
      <c r="AS68" s="1">
        <v>0.65217391304348005</v>
      </c>
      <c r="AT68" s="1">
        <v>6.2</v>
      </c>
      <c r="AU68" s="1"/>
      <c r="AV68" s="1" t="s">
        <v>519</v>
      </c>
      <c r="AW68" s="1" t="s">
        <v>96</v>
      </c>
      <c r="AX68" s="1" t="s">
        <v>105</v>
      </c>
      <c r="AY68" s="1"/>
      <c r="AZ68" s="1" t="s">
        <v>105</v>
      </c>
      <c r="BA68" s="1"/>
      <c r="BB68" s="1" t="s">
        <v>105</v>
      </c>
      <c r="BC68" s="1"/>
      <c r="BD68" s="1" t="s">
        <v>105</v>
      </c>
      <c r="BE68" s="1"/>
      <c r="BF68" s="1" t="s">
        <v>105</v>
      </c>
      <c r="BG68" s="1"/>
      <c r="BH68" s="1" t="s">
        <v>105</v>
      </c>
      <c r="BJ68" t="s">
        <v>520</v>
      </c>
      <c r="BK68" t="s">
        <v>98</v>
      </c>
      <c r="BL68" t="s">
        <v>105</v>
      </c>
      <c r="BN68" t="s">
        <v>212</v>
      </c>
      <c r="BO68" t="s">
        <v>96</v>
      </c>
      <c r="BP68" t="s">
        <v>124</v>
      </c>
      <c r="BQ68" t="s">
        <v>96</v>
      </c>
      <c r="BR68" t="s">
        <v>521</v>
      </c>
      <c r="BS68" t="s">
        <v>100</v>
      </c>
      <c r="BT68" t="s">
        <v>105</v>
      </c>
      <c r="BV68" t="s">
        <v>105</v>
      </c>
      <c r="BX68" t="s">
        <v>105</v>
      </c>
      <c r="BZ68" t="s">
        <v>105</v>
      </c>
      <c r="CB68" t="s">
        <v>105</v>
      </c>
      <c r="CD68">
        <v>0</v>
      </c>
      <c r="CE68" t="s">
        <v>96</v>
      </c>
      <c r="CF68">
        <v>0</v>
      </c>
      <c r="CG68" t="s">
        <v>96</v>
      </c>
      <c r="CH68">
        <v>1.5</v>
      </c>
      <c r="CI68" t="s">
        <v>96</v>
      </c>
      <c r="CJ68" t="s">
        <v>112</v>
      </c>
      <c r="CK68" t="s">
        <v>96</v>
      </c>
      <c r="CL68" t="s">
        <v>130</v>
      </c>
      <c r="CM68" t="s">
        <v>96</v>
      </c>
      <c r="CN68">
        <v>10</v>
      </c>
      <c r="CO68">
        <v>0</v>
      </c>
    </row>
    <row r="69" spans="1:93" x14ac:dyDescent="0.2">
      <c r="A69" s="3">
        <v>111</v>
      </c>
      <c r="B69" s="3" t="s">
        <v>522</v>
      </c>
      <c r="C69" s="3" t="s">
        <v>523</v>
      </c>
      <c r="D69" s="1"/>
      <c r="E69" s="1">
        <f t="shared" si="6"/>
        <v>8.7705801930702911</v>
      </c>
      <c r="F69" s="1">
        <f t="shared" si="7"/>
        <v>10</v>
      </c>
      <c r="G69" s="1">
        <f t="shared" si="8"/>
        <v>7.6923076923076898</v>
      </c>
      <c r="H69" s="1"/>
      <c r="I69" s="1">
        <v>16.2</v>
      </c>
      <c r="J69" s="1">
        <v>10</v>
      </c>
      <c r="K69" s="1"/>
      <c r="L69" s="1"/>
      <c r="M69" s="1"/>
      <c r="N69" s="1"/>
      <c r="O69" s="1"/>
      <c r="P69" s="1"/>
      <c r="Q69" s="1"/>
      <c r="R69" s="1"/>
      <c r="S69" s="1">
        <v>115.384615384615</v>
      </c>
      <c r="T69" s="1">
        <v>23.846673218401399</v>
      </c>
      <c r="U69" s="1">
        <v>7.6923076923076898</v>
      </c>
      <c r="V69" s="1">
        <v>1.5897782145600901</v>
      </c>
      <c r="W69" s="1">
        <v>10.59</v>
      </c>
      <c r="X69" s="1">
        <v>0.20399999999999999</v>
      </c>
      <c r="Y69" s="1">
        <v>0.42359999999999998</v>
      </c>
      <c r="Z69" s="1">
        <v>0.40799999999999897</v>
      </c>
      <c r="AA69" s="1"/>
      <c r="AB69" s="1"/>
      <c r="AC69" s="1"/>
      <c r="AD69" s="1"/>
      <c r="AE69" s="1"/>
      <c r="AF69" s="1"/>
      <c r="AG69" s="1"/>
      <c r="AH69" s="1"/>
      <c r="AI69" s="1"/>
      <c r="AJ69" s="1"/>
      <c r="AK69" s="1"/>
      <c r="AL69" s="1">
        <v>92</v>
      </c>
      <c r="AM69" s="1">
        <v>91</v>
      </c>
      <c r="AN69" s="1">
        <v>1402.9849999999999</v>
      </c>
      <c r="AO69" s="1">
        <v>89</v>
      </c>
      <c r="AP69" s="1">
        <v>1</v>
      </c>
      <c r="AQ69" s="1">
        <v>0.71276599535989305</v>
      </c>
      <c r="AR69" s="1">
        <v>3.3707865168539399</v>
      </c>
      <c r="AS69" s="1">
        <v>0.33707865168539403</v>
      </c>
      <c r="AT69" s="1">
        <v>5.9</v>
      </c>
      <c r="AU69" s="1"/>
      <c r="AV69" s="1" t="s">
        <v>524</v>
      </c>
      <c r="AW69" s="1" t="s">
        <v>96</v>
      </c>
      <c r="AX69" s="1" t="s">
        <v>105</v>
      </c>
      <c r="AY69" s="1"/>
      <c r="AZ69" s="1" t="s">
        <v>105</v>
      </c>
      <c r="BA69" s="1"/>
      <c r="BB69" s="1" t="s">
        <v>105</v>
      </c>
      <c r="BC69" s="1"/>
      <c r="BD69" s="1" t="s">
        <v>105</v>
      </c>
      <c r="BE69" s="1"/>
      <c r="BF69" s="1" t="s">
        <v>105</v>
      </c>
      <c r="BG69" s="1"/>
      <c r="BH69" s="1" t="s">
        <v>105</v>
      </c>
      <c r="BJ69" t="s">
        <v>328</v>
      </c>
      <c r="BK69" t="s">
        <v>98</v>
      </c>
      <c r="BL69" t="s">
        <v>105</v>
      </c>
      <c r="BN69" t="s">
        <v>192</v>
      </c>
      <c r="BO69" t="s">
        <v>100</v>
      </c>
      <c r="BP69" t="s">
        <v>124</v>
      </c>
      <c r="BQ69" t="s">
        <v>96</v>
      </c>
      <c r="BR69" t="s">
        <v>105</v>
      </c>
      <c r="BT69" t="s">
        <v>105</v>
      </c>
      <c r="BV69" t="s">
        <v>105</v>
      </c>
      <c r="BX69" t="s">
        <v>105</v>
      </c>
      <c r="BZ69" t="s">
        <v>105</v>
      </c>
      <c r="CB69" t="s">
        <v>105</v>
      </c>
      <c r="CD69">
        <v>0</v>
      </c>
      <c r="CE69" t="s">
        <v>96</v>
      </c>
      <c r="CF69">
        <v>0</v>
      </c>
      <c r="CG69" t="s">
        <v>96</v>
      </c>
      <c r="CH69">
        <v>0</v>
      </c>
      <c r="CI69" t="s">
        <v>96</v>
      </c>
      <c r="CJ69" t="s">
        <v>112</v>
      </c>
      <c r="CK69" t="s">
        <v>96</v>
      </c>
      <c r="CL69" t="s">
        <v>130</v>
      </c>
      <c r="CM69" t="s">
        <v>96</v>
      </c>
      <c r="CN69">
        <v>9.75</v>
      </c>
      <c r="CO69">
        <v>0</v>
      </c>
    </row>
    <row r="70" spans="1:93" x14ac:dyDescent="0.2">
      <c r="A70" s="3">
        <v>112</v>
      </c>
      <c r="B70" s="3" t="s">
        <v>525</v>
      </c>
      <c r="C70" s="3" t="s">
        <v>526</v>
      </c>
      <c r="D70" s="1"/>
      <c r="E70" s="1">
        <f t="shared" si="6"/>
        <v>3.9339789623472066</v>
      </c>
      <c r="F70" s="1">
        <f t="shared" si="7"/>
        <v>3.25</v>
      </c>
      <c r="G70" s="1">
        <f t="shared" si="8"/>
        <v>4.7619047619047397</v>
      </c>
      <c r="H70" s="1"/>
      <c r="I70" s="1">
        <v>53.8</v>
      </c>
      <c r="J70" s="1">
        <v>3.24</v>
      </c>
      <c r="K70" s="1">
        <v>0</v>
      </c>
      <c r="L70" s="1">
        <v>0.9</v>
      </c>
      <c r="M70" s="1"/>
      <c r="N70" s="1"/>
      <c r="O70" s="1">
        <v>0.8</v>
      </c>
      <c r="P70" s="1">
        <v>0.2</v>
      </c>
      <c r="Q70" s="1">
        <v>0.5</v>
      </c>
      <c r="R70" s="1">
        <v>4.7619047619047397</v>
      </c>
      <c r="S70" s="1">
        <v>-0.90159217341261699</v>
      </c>
      <c r="T70" s="1">
        <v>34.821276251282498</v>
      </c>
      <c r="U70" s="1">
        <v>0</v>
      </c>
      <c r="V70" s="1">
        <v>2.3214184167521599</v>
      </c>
      <c r="W70" s="1">
        <v>105.179</v>
      </c>
      <c r="X70" s="1">
        <v>2.3439999999999999</v>
      </c>
      <c r="Y70" s="1">
        <v>4.20716</v>
      </c>
      <c r="Z70" s="1">
        <v>4.6879999999999997</v>
      </c>
      <c r="AA70" s="1">
        <v>20210222</v>
      </c>
      <c r="AB70" s="1"/>
      <c r="AC70" s="1">
        <v>80.67</v>
      </c>
      <c r="AD70" s="1"/>
      <c r="AE70" s="1">
        <v>87.5</v>
      </c>
      <c r="AF70" s="1"/>
      <c r="AG70" s="1">
        <v>79.62</v>
      </c>
      <c r="AH70" s="1"/>
      <c r="AI70" s="1"/>
      <c r="AJ70" s="1">
        <v>0</v>
      </c>
      <c r="AK70" s="1">
        <v>1.25</v>
      </c>
      <c r="AL70" s="1">
        <v>7737</v>
      </c>
      <c r="AM70" s="1">
        <v>7601</v>
      </c>
      <c r="AN70" s="1">
        <v>10423.056</v>
      </c>
      <c r="AO70" s="1">
        <v>6272</v>
      </c>
      <c r="AP70" s="1">
        <v>136</v>
      </c>
      <c r="AQ70" s="1">
        <v>13.0479966719933</v>
      </c>
      <c r="AR70" s="1">
        <v>23.357780612244898</v>
      </c>
      <c r="AS70" s="1">
        <v>2.3357780612244898</v>
      </c>
      <c r="AT70" s="1">
        <v>3.3</v>
      </c>
      <c r="AU70" s="1"/>
      <c r="AV70" s="1" t="s">
        <v>527</v>
      </c>
      <c r="AW70" s="1" t="s">
        <v>100</v>
      </c>
      <c r="AX70" s="1" t="s">
        <v>153</v>
      </c>
      <c r="AY70" s="1" t="s">
        <v>100</v>
      </c>
      <c r="AZ70" s="1" t="s">
        <v>135</v>
      </c>
      <c r="BA70" s="1" t="s">
        <v>100</v>
      </c>
      <c r="BB70" s="1" t="s">
        <v>119</v>
      </c>
      <c r="BC70" s="1" t="s">
        <v>96</v>
      </c>
      <c r="BD70" s="1" t="s">
        <v>136</v>
      </c>
      <c r="BE70" s="1" t="s">
        <v>100</v>
      </c>
      <c r="BF70" s="1" t="s">
        <v>183</v>
      </c>
      <c r="BG70" s="1" t="s">
        <v>96</v>
      </c>
      <c r="BH70" s="1" t="s">
        <v>147</v>
      </c>
      <c r="BI70" t="s">
        <v>96</v>
      </c>
      <c r="BJ70" t="s">
        <v>528</v>
      </c>
      <c r="BK70" t="s">
        <v>98</v>
      </c>
      <c r="BL70" t="s">
        <v>529</v>
      </c>
      <c r="BM70" t="s">
        <v>100</v>
      </c>
      <c r="BN70" t="s">
        <v>399</v>
      </c>
      <c r="BO70" t="s">
        <v>100</v>
      </c>
      <c r="BP70" t="s">
        <v>169</v>
      </c>
      <c r="BQ70" t="s">
        <v>100</v>
      </c>
      <c r="BR70" t="s">
        <v>105</v>
      </c>
      <c r="BT70" t="s">
        <v>530</v>
      </c>
      <c r="BU70" t="s">
        <v>96</v>
      </c>
      <c r="BV70" t="s">
        <v>125</v>
      </c>
      <c r="BW70" t="s">
        <v>96</v>
      </c>
      <c r="BX70" t="s">
        <v>126</v>
      </c>
      <c r="BY70" t="s">
        <v>100</v>
      </c>
      <c r="BZ70" t="s">
        <v>141</v>
      </c>
      <c r="CA70" t="s">
        <v>96</v>
      </c>
      <c r="CB70" t="s">
        <v>393</v>
      </c>
      <c r="CC70" t="s">
        <v>98</v>
      </c>
      <c r="CD70">
        <v>3.1</v>
      </c>
      <c r="CE70" t="s">
        <v>100</v>
      </c>
      <c r="CF70">
        <v>0</v>
      </c>
      <c r="CG70" t="s">
        <v>96</v>
      </c>
      <c r="CH70">
        <v>2</v>
      </c>
      <c r="CI70" t="s">
        <v>96</v>
      </c>
      <c r="CJ70" t="s">
        <v>105</v>
      </c>
      <c r="CL70" t="s">
        <v>96</v>
      </c>
      <c r="CM70" t="s">
        <v>100</v>
      </c>
      <c r="CN70">
        <v>3.25</v>
      </c>
      <c r="CO70">
        <v>0</v>
      </c>
    </row>
    <row r="71" spans="1:93" x14ac:dyDescent="0.2">
      <c r="A71" s="3">
        <v>113</v>
      </c>
      <c r="B71" s="3" t="s">
        <v>531</v>
      </c>
      <c r="C71" s="3" t="s">
        <v>532</v>
      </c>
      <c r="D71" s="1"/>
      <c r="E71" s="1">
        <f t="shared" si="6"/>
        <v>7.5277265270954075E-2</v>
      </c>
      <c r="F71" s="1">
        <f t="shared" si="7"/>
        <v>8.5</v>
      </c>
      <c r="G71" s="1">
        <f t="shared" si="8"/>
        <v>6.6666666666748099E-4</v>
      </c>
      <c r="H71" s="1"/>
      <c r="I71" s="1">
        <v>27.5</v>
      </c>
      <c r="J71" s="1">
        <v>8.5</v>
      </c>
      <c r="K71" s="1"/>
      <c r="L71" s="1"/>
      <c r="M71" s="1"/>
      <c r="N71" s="1"/>
      <c r="O71" s="1"/>
      <c r="P71" s="1"/>
      <c r="Q71" s="1"/>
      <c r="R71" s="1"/>
      <c r="S71" s="1">
        <v>0.01</v>
      </c>
      <c r="T71" s="1">
        <v>0.01</v>
      </c>
      <c r="U71" s="1">
        <v>6.6666666666748099E-4</v>
      </c>
      <c r="V71" s="1">
        <v>6.6666666666748099E-4</v>
      </c>
      <c r="W71" s="1">
        <v>0</v>
      </c>
      <c r="X71" s="1">
        <v>0</v>
      </c>
      <c r="Y71" s="1">
        <v>0</v>
      </c>
      <c r="Z71" s="1">
        <v>0</v>
      </c>
      <c r="AA71" s="1"/>
      <c r="AB71" s="1"/>
      <c r="AC71" s="1"/>
      <c r="AD71" s="1"/>
      <c r="AE71" s="1"/>
      <c r="AF71" s="1"/>
      <c r="AG71" s="1"/>
      <c r="AH71" s="1"/>
      <c r="AI71" s="1"/>
      <c r="AJ71" s="1"/>
      <c r="AK71" s="1"/>
      <c r="AL71" s="1">
        <v>1</v>
      </c>
      <c r="AM71" s="1">
        <v>1</v>
      </c>
      <c r="AN71" s="1">
        <v>112.51900000000001</v>
      </c>
      <c r="AO71" s="1">
        <v>1</v>
      </c>
      <c r="AP71" s="1">
        <v>0</v>
      </c>
      <c r="AQ71" s="1">
        <v>0</v>
      </c>
      <c r="AR71" s="1">
        <v>0</v>
      </c>
      <c r="AS71" s="1">
        <v>0</v>
      </c>
      <c r="AT71" s="1">
        <v>3.6</v>
      </c>
      <c r="AU71" s="1"/>
      <c r="AV71" s="1" t="s">
        <v>533</v>
      </c>
      <c r="AW71" s="1" t="s">
        <v>96</v>
      </c>
      <c r="AX71" s="1" t="s">
        <v>105</v>
      </c>
      <c r="AY71" s="1"/>
      <c r="AZ71" s="1" t="s">
        <v>105</v>
      </c>
      <c r="BA71" s="1"/>
      <c r="BB71" s="1" t="s">
        <v>105</v>
      </c>
      <c r="BC71" s="1"/>
      <c r="BD71" s="1" t="s">
        <v>105</v>
      </c>
      <c r="BE71" s="1"/>
      <c r="BF71" s="1" t="s">
        <v>105</v>
      </c>
      <c r="BG71" s="1"/>
      <c r="BH71" s="1" t="s">
        <v>105</v>
      </c>
      <c r="BJ71" t="s">
        <v>154</v>
      </c>
      <c r="BK71" t="s">
        <v>98</v>
      </c>
      <c r="BL71" t="s">
        <v>105</v>
      </c>
      <c r="BN71" t="s">
        <v>458</v>
      </c>
      <c r="BO71" t="s">
        <v>100</v>
      </c>
      <c r="BP71" t="s">
        <v>124</v>
      </c>
      <c r="BQ71" t="s">
        <v>96</v>
      </c>
      <c r="BR71" t="s">
        <v>105</v>
      </c>
      <c r="BT71" t="s">
        <v>105</v>
      </c>
      <c r="BV71" t="s">
        <v>105</v>
      </c>
      <c r="BX71" t="s">
        <v>105</v>
      </c>
      <c r="BZ71" t="s">
        <v>105</v>
      </c>
      <c r="CB71" t="s">
        <v>105</v>
      </c>
      <c r="CD71">
        <v>0.1</v>
      </c>
      <c r="CE71" t="s">
        <v>96</v>
      </c>
      <c r="CF71">
        <v>0</v>
      </c>
      <c r="CG71" t="s">
        <v>96</v>
      </c>
      <c r="CH71">
        <v>0.5</v>
      </c>
      <c r="CI71" t="s">
        <v>96</v>
      </c>
      <c r="CJ71" t="s">
        <v>105</v>
      </c>
      <c r="CL71" t="s">
        <v>130</v>
      </c>
      <c r="CM71" t="s">
        <v>96</v>
      </c>
      <c r="CN71">
        <v>4</v>
      </c>
      <c r="CO71">
        <v>0</v>
      </c>
    </row>
    <row r="72" spans="1:93" x14ac:dyDescent="0.2">
      <c r="A72" s="3">
        <v>114</v>
      </c>
      <c r="B72" s="3" t="s">
        <v>534</v>
      </c>
      <c r="C72" s="3" t="s">
        <v>535</v>
      </c>
      <c r="D72" s="1"/>
      <c r="E72" s="1">
        <f t="shared" si="6"/>
        <v>6.1597652302914696</v>
      </c>
      <c r="F72" s="1">
        <f t="shared" si="7"/>
        <v>7.46</v>
      </c>
      <c r="G72" s="1">
        <f t="shared" si="8"/>
        <v>5.0861538461538496</v>
      </c>
      <c r="H72" s="1"/>
      <c r="I72" s="1">
        <v>32.700000000000003</v>
      </c>
      <c r="J72" s="1">
        <v>7.46</v>
      </c>
      <c r="K72" s="1">
        <v>0</v>
      </c>
      <c r="L72" s="1">
        <v>0.2</v>
      </c>
      <c r="M72" s="1"/>
      <c r="N72" s="1"/>
      <c r="O72" s="1">
        <v>1</v>
      </c>
      <c r="P72" s="1">
        <v>0.7</v>
      </c>
      <c r="Q72" s="1">
        <v>0.5</v>
      </c>
      <c r="R72" s="1">
        <v>4.7619047619047397</v>
      </c>
      <c r="S72" s="1">
        <v>-14.4083600797067</v>
      </c>
      <c r="T72" s="1">
        <v>-3.2270145219482802</v>
      </c>
      <c r="U72" s="1">
        <v>0</v>
      </c>
      <c r="V72" s="1">
        <v>0</v>
      </c>
      <c r="W72" s="1">
        <v>31.026</v>
      </c>
      <c r="X72" s="1">
        <v>1.26</v>
      </c>
      <c r="Y72" s="1">
        <v>1.2410399999999999</v>
      </c>
      <c r="Z72" s="1">
        <v>2.52</v>
      </c>
      <c r="AA72" s="1">
        <v>20210222</v>
      </c>
      <c r="AB72" s="1"/>
      <c r="AC72" s="1">
        <v>46.94</v>
      </c>
      <c r="AD72" s="1"/>
      <c r="AE72" s="1">
        <v>62.5</v>
      </c>
      <c r="AF72" s="1"/>
      <c r="AG72" s="1">
        <v>44.55</v>
      </c>
      <c r="AH72" s="1"/>
      <c r="AI72" s="1"/>
      <c r="AJ72" s="1">
        <v>5.0861538461538496</v>
      </c>
      <c r="AK72" s="1">
        <v>3.75</v>
      </c>
      <c r="AL72" s="1">
        <v>7664</v>
      </c>
      <c r="AM72" s="1">
        <v>7506</v>
      </c>
      <c r="AN72" s="1">
        <v>17915.566999999999</v>
      </c>
      <c r="AO72" s="1">
        <v>6249</v>
      </c>
      <c r="AP72" s="1">
        <v>158</v>
      </c>
      <c r="AQ72" s="1">
        <v>8.8191459416271893</v>
      </c>
      <c r="AR72" s="1">
        <v>22.643622979676699</v>
      </c>
      <c r="AS72" s="1">
        <v>2.2643622979676699</v>
      </c>
      <c r="AT72" s="1">
        <v>4.8</v>
      </c>
      <c r="AU72" s="1"/>
      <c r="AV72" s="1" t="s">
        <v>536</v>
      </c>
      <c r="AW72" s="1" t="s">
        <v>100</v>
      </c>
      <c r="AX72" s="1" t="s">
        <v>474</v>
      </c>
      <c r="AY72" s="1" t="s">
        <v>100</v>
      </c>
      <c r="AZ72" s="1" t="s">
        <v>99</v>
      </c>
      <c r="BA72" s="1" t="s">
        <v>100</v>
      </c>
      <c r="BB72" s="1" t="s">
        <v>101</v>
      </c>
      <c r="BC72" s="1" t="s">
        <v>98</v>
      </c>
      <c r="BD72" s="1" t="s">
        <v>101</v>
      </c>
      <c r="BE72" s="1" t="s">
        <v>98</v>
      </c>
      <c r="BF72" s="1" t="s">
        <v>137</v>
      </c>
      <c r="BG72" s="1" t="s">
        <v>100</v>
      </c>
      <c r="BH72" s="1" t="s">
        <v>147</v>
      </c>
      <c r="BI72" t="s">
        <v>96</v>
      </c>
      <c r="BJ72" t="s">
        <v>219</v>
      </c>
      <c r="BK72" t="s">
        <v>98</v>
      </c>
      <c r="BL72" t="s">
        <v>105</v>
      </c>
      <c r="BN72" t="s">
        <v>537</v>
      </c>
      <c r="BO72" t="s">
        <v>96</v>
      </c>
      <c r="BP72" t="s">
        <v>169</v>
      </c>
      <c r="BQ72" t="s">
        <v>100</v>
      </c>
      <c r="BR72" t="s">
        <v>538</v>
      </c>
      <c r="BS72" t="s">
        <v>98</v>
      </c>
      <c r="BT72" t="s">
        <v>105</v>
      </c>
      <c r="BV72" t="s">
        <v>125</v>
      </c>
      <c r="BW72" t="s">
        <v>96</v>
      </c>
      <c r="BX72" t="s">
        <v>126</v>
      </c>
      <c r="BY72" t="s">
        <v>100</v>
      </c>
      <c r="BZ72" t="s">
        <v>127</v>
      </c>
      <c r="CA72" t="s">
        <v>100</v>
      </c>
      <c r="CB72" t="s">
        <v>105</v>
      </c>
      <c r="CD72">
        <v>0.6</v>
      </c>
      <c r="CE72" t="s">
        <v>96</v>
      </c>
      <c r="CF72">
        <v>0</v>
      </c>
      <c r="CG72" t="s">
        <v>96</v>
      </c>
      <c r="CH72">
        <v>3.8</v>
      </c>
      <c r="CI72" t="s">
        <v>100</v>
      </c>
      <c r="CJ72" t="s">
        <v>112</v>
      </c>
      <c r="CK72" t="s">
        <v>96</v>
      </c>
      <c r="CL72" t="s">
        <v>100</v>
      </c>
      <c r="CM72" t="s">
        <v>98</v>
      </c>
      <c r="CN72">
        <v>7</v>
      </c>
      <c r="CO72">
        <v>0</v>
      </c>
    </row>
    <row r="73" spans="1:93" x14ac:dyDescent="0.2">
      <c r="A73" s="3">
        <v>115</v>
      </c>
      <c r="B73" s="3" t="s">
        <v>539</v>
      </c>
      <c r="C73" s="3" t="s">
        <v>540</v>
      </c>
      <c r="D73" s="1"/>
      <c r="E73" s="1">
        <f t="shared" si="6"/>
        <v>8.7521425948164264</v>
      </c>
      <c r="F73" s="1">
        <f t="shared" si="7"/>
        <v>7.66</v>
      </c>
      <c r="G73" s="1">
        <f t="shared" si="8"/>
        <v>10</v>
      </c>
      <c r="H73" s="1"/>
      <c r="I73" s="1">
        <v>31.7</v>
      </c>
      <c r="J73" s="1">
        <v>7.66</v>
      </c>
      <c r="K73" s="1">
        <v>0.8</v>
      </c>
      <c r="L73" s="1">
        <v>0.6</v>
      </c>
      <c r="M73" s="1"/>
      <c r="N73" s="1"/>
      <c r="O73" s="1">
        <v>1</v>
      </c>
      <c r="P73" s="1"/>
      <c r="Q73" s="1">
        <v>0.8</v>
      </c>
      <c r="R73" s="1">
        <v>10</v>
      </c>
      <c r="S73" s="1">
        <v>-4.2619996907209403</v>
      </c>
      <c r="T73" s="1">
        <v>-39.442311313150803</v>
      </c>
      <c r="U73" s="1">
        <v>0</v>
      </c>
      <c r="V73" s="1">
        <v>0</v>
      </c>
      <c r="W73" s="1">
        <v>34.326999999999998</v>
      </c>
      <c r="X73" s="1">
        <v>0.54500000000000004</v>
      </c>
      <c r="Y73" s="1">
        <v>1.3730800000000001</v>
      </c>
      <c r="Z73" s="1">
        <v>1.0900000000000001</v>
      </c>
      <c r="AA73" s="1">
        <v>20210222</v>
      </c>
      <c r="AB73" s="1"/>
      <c r="AC73" s="1">
        <v>66.89</v>
      </c>
      <c r="AD73" s="1"/>
      <c r="AE73" s="1">
        <v>50</v>
      </c>
      <c r="AF73" s="1"/>
      <c r="AG73" s="1">
        <v>69.489999999999995</v>
      </c>
      <c r="AH73" s="1"/>
      <c r="AI73" s="1"/>
      <c r="AJ73" s="1">
        <v>2.0169230769230801</v>
      </c>
      <c r="AK73" s="1">
        <v>5</v>
      </c>
      <c r="AL73" s="1">
        <v>201</v>
      </c>
      <c r="AM73" s="1">
        <v>201</v>
      </c>
      <c r="AN73" s="1">
        <v>786.55899999999997</v>
      </c>
      <c r="AO73" s="1">
        <v>189</v>
      </c>
      <c r="AP73" s="1">
        <v>0</v>
      </c>
      <c r="AQ73" s="1">
        <v>0</v>
      </c>
      <c r="AR73" s="1">
        <v>6.3492063492063604</v>
      </c>
      <c r="AS73" s="1">
        <v>0.634920634920636</v>
      </c>
      <c r="AT73" s="1">
        <v>3.7</v>
      </c>
      <c r="AU73" s="1"/>
      <c r="AV73" s="1" t="s">
        <v>541</v>
      </c>
      <c r="AW73" s="1" t="s">
        <v>100</v>
      </c>
      <c r="AX73" s="1" t="s">
        <v>397</v>
      </c>
      <c r="AY73" s="1" t="s">
        <v>100</v>
      </c>
      <c r="AZ73" s="1" t="s">
        <v>99</v>
      </c>
      <c r="BA73" s="1" t="s">
        <v>100</v>
      </c>
      <c r="BB73" s="1" t="s">
        <v>119</v>
      </c>
      <c r="BC73" s="1" t="s">
        <v>96</v>
      </c>
      <c r="BD73" s="1" t="s">
        <v>136</v>
      </c>
      <c r="BE73" s="1" t="s">
        <v>100</v>
      </c>
      <c r="BF73" s="1" t="s">
        <v>102</v>
      </c>
      <c r="BG73" s="1" t="s">
        <v>98</v>
      </c>
      <c r="BH73" s="1" t="s">
        <v>121</v>
      </c>
      <c r="BI73" t="s">
        <v>100</v>
      </c>
      <c r="BJ73" t="s">
        <v>542</v>
      </c>
      <c r="BK73" t="s">
        <v>96</v>
      </c>
      <c r="BL73" t="s">
        <v>105</v>
      </c>
      <c r="BN73" t="s">
        <v>168</v>
      </c>
      <c r="BO73" t="s">
        <v>96</v>
      </c>
      <c r="BP73" t="s">
        <v>169</v>
      </c>
      <c r="BQ73" t="s">
        <v>100</v>
      </c>
      <c r="BR73" t="s">
        <v>105</v>
      </c>
      <c r="BT73" t="s">
        <v>105</v>
      </c>
      <c r="BV73" t="s">
        <v>125</v>
      </c>
      <c r="BW73" t="s">
        <v>96</v>
      </c>
      <c r="BX73" t="s">
        <v>126</v>
      </c>
      <c r="BY73" t="s">
        <v>100</v>
      </c>
      <c r="BZ73" t="s">
        <v>141</v>
      </c>
      <c r="CA73" t="s">
        <v>96</v>
      </c>
      <c r="CB73" t="s">
        <v>105</v>
      </c>
      <c r="CD73">
        <v>4.8</v>
      </c>
      <c r="CE73" t="s">
        <v>100</v>
      </c>
      <c r="CF73">
        <v>0</v>
      </c>
      <c r="CG73" t="s">
        <v>96</v>
      </c>
      <c r="CH73">
        <v>4.2</v>
      </c>
      <c r="CI73" t="s">
        <v>100</v>
      </c>
      <c r="CJ73" t="s">
        <v>105</v>
      </c>
      <c r="CL73" t="s">
        <v>130</v>
      </c>
      <c r="CM73" t="s">
        <v>96</v>
      </c>
      <c r="CN73">
        <v>4.25</v>
      </c>
      <c r="CO73">
        <v>0</v>
      </c>
    </row>
    <row r="74" spans="1:93" x14ac:dyDescent="0.2">
      <c r="A74" s="3">
        <v>116</v>
      </c>
      <c r="B74" s="3" t="s">
        <v>543</v>
      </c>
      <c r="C74" s="3" t="s">
        <v>544</v>
      </c>
      <c r="D74" s="1"/>
      <c r="E74" s="1">
        <f t="shared" si="6"/>
        <v>7.7827648410721171</v>
      </c>
      <c r="F74" s="1">
        <f t="shared" si="7"/>
        <v>8.48</v>
      </c>
      <c r="G74" s="1">
        <f t="shared" si="8"/>
        <v>7.1428571428571104</v>
      </c>
      <c r="H74" s="1"/>
      <c r="I74" s="1">
        <v>27.6</v>
      </c>
      <c r="J74" s="1">
        <v>8.48</v>
      </c>
      <c r="K74" s="1">
        <v>0</v>
      </c>
      <c r="L74" s="1">
        <v>0.5</v>
      </c>
      <c r="M74" s="1"/>
      <c r="N74" s="1"/>
      <c r="O74" s="1">
        <v>1</v>
      </c>
      <c r="P74" s="1">
        <v>0.8</v>
      </c>
      <c r="Q74" s="1">
        <v>0.6</v>
      </c>
      <c r="R74" s="1">
        <v>7.1428571428571104</v>
      </c>
      <c r="S74" s="1">
        <v>-2.3039643861038401</v>
      </c>
      <c r="T74" s="1">
        <v>-26.696285034450302</v>
      </c>
      <c r="U74" s="1">
        <v>0</v>
      </c>
      <c r="V74" s="1">
        <v>0</v>
      </c>
      <c r="W74" s="1">
        <v>71.02</v>
      </c>
      <c r="X74" s="1">
        <v>1.875</v>
      </c>
      <c r="Y74" s="1">
        <v>2.8408000000000002</v>
      </c>
      <c r="Z74" s="1">
        <v>3.75</v>
      </c>
      <c r="AA74" s="1">
        <v>20210222</v>
      </c>
      <c r="AB74" s="1">
        <v>65</v>
      </c>
      <c r="AC74" s="1">
        <v>65</v>
      </c>
      <c r="AD74" s="1">
        <v>75</v>
      </c>
      <c r="AE74" s="1">
        <v>75</v>
      </c>
      <c r="AF74" s="1">
        <v>63.46</v>
      </c>
      <c r="AG74" s="1">
        <v>63.46</v>
      </c>
      <c r="AH74" s="1">
        <v>1</v>
      </c>
      <c r="AI74" s="1">
        <v>1</v>
      </c>
      <c r="AJ74" s="1">
        <v>2.3076923076923102</v>
      </c>
      <c r="AK74" s="1">
        <v>2.5</v>
      </c>
      <c r="AL74" s="1">
        <v>4545</v>
      </c>
      <c r="AM74" s="1">
        <v>4505</v>
      </c>
      <c r="AN74" s="1">
        <v>9904.6080000000002</v>
      </c>
      <c r="AO74" s="1">
        <v>3992</v>
      </c>
      <c r="AP74" s="1">
        <v>40</v>
      </c>
      <c r="AQ74" s="1">
        <v>4.0385242909159098</v>
      </c>
      <c r="AR74" s="1">
        <v>13.852705410821599</v>
      </c>
      <c r="AS74" s="1">
        <v>1.38527054108216</v>
      </c>
      <c r="AT74" s="1">
        <v>4.9000000000000004</v>
      </c>
      <c r="AU74" s="1"/>
      <c r="AV74" s="1" t="s">
        <v>545</v>
      </c>
      <c r="AW74" s="1" t="s">
        <v>98</v>
      </c>
      <c r="AX74" s="1" t="s">
        <v>546</v>
      </c>
      <c r="AY74" s="1" t="s">
        <v>96</v>
      </c>
      <c r="AZ74" s="1" t="s">
        <v>99</v>
      </c>
      <c r="BA74" s="1" t="s">
        <v>100</v>
      </c>
      <c r="BB74" s="1" t="s">
        <v>119</v>
      </c>
      <c r="BC74" s="1" t="s">
        <v>96</v>
      </c>
      <c r="BD74" s="1" t="s">
        <v>136</v>
      </c>
      <c r="BE74" s="1" t="s">
        <v>100</v>
      </c>
      <c r="BF74" s="1" t="s">
        <v>137</v>
      </c>
      <c r="BG74" s="1" t="s">
        <v>100</v>
      </c>
      <c r="BH74" s="1" t="s">
        <v>147</v>
      </c>
      <c r="BI74" t="s">
        <v>96</v>
      </c>
      <c r="BJ74" t="s">
        <v>148</v>
      </c>
      <c r="BK74" t="s">
        <v>98</v>
      </c>
      <c r="BL74" t="s">
        <v>447</v>
      </c>
      <c r="BM74" t="s">
        <v>100</v>
      </c>
      <c r="BN74" t="s">
        <v>405</v>
      </c>
      <c r="BO74" t="s">
        <v>100</v>
      </c>
      <c r="BP74" t="s">
        <v>227</v>
      </c>
      <c r="BQ74" t="s">
        <v>98</v>
      </c>
      <c r="BR74" t="s">
        <v>547</v>
      </c>
      <c r="BS74" t="s">
        <v>98</v>
      </c>
      <c r="BT74" t="s">
        <v>400</v>
      </c>
      <c r="BU74" t="s">
        <v>98</v>
      </c>
      <c r="BV74" t="s">
        <v>125</v>
      </c>
      <c r="BW74" t="s">
        <v>96</v>
      </c>
      <c r="BX74" t="s">
        <v>200</v>
      </c>
      <c r="BY74" t="s">
        <v>100</v>
      </c>
      <c r="BZ74" t="s">
        <v>253</v>
      </c>
      <c r="CA74" t="s">
        <v>98</v>
      </c>
      <c r="CB74" t="s">
        <v>548</v>
      </c>
      <c r="CC74" t="s">
        <v>98</v>
      </c>
      <c r="CD74">
        <v>0</v>
      </c>
      <c r="CE74" t="s">
        <v>96</v>
      </c>
      <c r="CF74">
        <v>0</v>
      </c>
      <c r="CG74" t="s">
        <v>96</v>
      </c>
      <c r="CH74">
        <v>4.0999999999999996</v>
      </c>
      <c r="CI74" t="s">
        <v>100</v>
      </c>
      <c r="CJ74" t="s">
        <v>129</v>
      </c>
      <c r="CK74" t="s">
        <v>98</v>
      </c>
      <c r="CL74" t="s">
        <v>100</v>
      </c>
      <c r="CM74" t="s">
        <v>98</v>
      </c>
      <c r="CN74">
        <v>7.25</v>
      </c>
      <c r="CO74">
        <v>0</v>
      </c>
    </row>
    <row r="75" spans="1:93" x14ac:dyDescent="0.2">
      <c r="A75" s="3">
        <v>117</v>
      </c>
      <c r="B75" s="3" t="s">
        <v>549</v>
      </c>
      <c r="C75" s="3" t="s">
        <v>550</v>
      </c>
      <c r="D75" s="1"/>
      <c r="E75" s="1">
        <f t="shared" si="6"/>
        <v>5.3826108906366246</v>
      </c>
      <c r="F75" s="1">
        <f t="shared" si="7"/>
        <v>3.75</v>
      </c>
      <c r="G75" s="1">
        <f t="shared" si="8"/>
        <v>7.726</v>
      </c>
      <c r="H75" s="1"/>
      <c r="I75" s="1">
        <v>53.3</v>
      </c>
      <c r="J75" s="1">
        <v>3.34</v>
      </c>
      <c r="K75" s="1">
        <v>0</v>
      </c>
      <c r="L75" s="1">
        <v>0.7</v>
      </c>
      <c r="M75" s="1"/>
      <c r="N75" s="1"/>
      <c r="O75" s="1">
        <v>0.5</v>
      </c>
      <c r="P75" s="1">
        <v>0.2</v>
      </c>
      <c r="Q75" s="1">
        <v>0.4</v>
      </c>
      <c r="R75" s="1">
        <v>2.3809523809523698</v>
      </c>
      <c r="S75" s="1">
        <v>-26.6171154009172</v>
      </c>
      <c r="T75" s="1">
        <v>-24.972685093329702</v>
      </c>
      <c r="U75" s="1">
        <v>0</v>
      </c>
      <c r="V75" s="1">
        <v>0</v>
      </c>
      <c r="W75" s="1">
        <v>79.619</v>
      </c>
      <c r="X75" s="1">
        <v>3.863</v>
      </c>
      <c r="Y75" s="1">
        <v>3.1847599999999998</v>
      </c>
      <c r="Z75" s="1">
        <v>7.726</v>
      </c>
      <c r="AA75" s="1">
        <v>20210222</v>
      </c>
      <c r="AB75" s="1">
        <v>47.67</v>
      </c>
      <c r="AC75" s="1">
        <v>47.67</v>
      </c>
      <c r="AD75" s="1">
        <v>37.5</v>
      </c>
      <c r="AE75" s="1">
        <v>37.5</v>
      </c>
      <c r="AF75" s="1">
        <v>49.23</v>
      </c>
      <c r="AG75" s="1">
        <v>49.23</v>
      </c>
      <c r="AH75" s="1">
        <v>1</v>
      </c>
      <c r="AI75" s="1">
        <v>0</v>
      </c>
      <c r="AJ75" s="1">
        <v>4.97384615384615</v>
      </c>
      <c r="AK75" s="1">
        <v>6.25</v>
      </c>
      <c r="AL75" s="1">
        <v>6047</v>
      </c>
      <c r="AM75" s="1">
        <v>5983</v>
      </c>
      <c r="AN75" s="1">
        <v>4105.268</v>
      </c>
      <c r="AO75" s="1">
        <v>5420</v>
      </c>
      <c r="AP75" s="1">
        <v>64</v>
      </c>
      <c r="AQ75" s="1">
        <v>15.589725201862599</v>
      </c>
      <c r="AR75" s="1">
        <v>11.568265682656801</v>
      </c>
      <c r="AS75" s="1">
        <v>1.15682656826568</v>
      </c>
      <c r="AT75" s="1">
        <v>3.5</v>
      </c>
      <c r="AU75" s="1"/>
      <c r="AV75" s="1" t="s">
        <v>551</v>
      </c>
      <c r="AW75" s="1" t="s">
        <v>98</v>
      </c>
      <c r="AX75" s="1" t="s">
        <v>304</v>
      </c>
      <c r="AY75" s="1" t="s">
        <v>100</v>
      </c>
      <c r="AZ75" s="1" t="s">
        <v>135</v>
      </c>
      <c r="BA75" s="1" t="s">
        <v>100</v>
      </c>
      <c r="BB75" s="1" t="s">
        <v>101</v>
      </c>
      <c r="BC75" s="1" t="s">
        <v>98</v>
      </c>
      <c r="BD75" s="1" t="s">
        <v>101</v>
      </c>
      <c r="BE75" s="1" t="s">
        <v>98</v>
      </c>
      <c r="BF75" s="1" t="s">
        <v>137</v>
      </c>
      <c r="BG75" s="1" t="s">
        <v>100</v>
      </c>
      <c r="BH75" s="1" t="s">
        <v>121</v>
      </c>
      <c r="BI75" t="s">
        <v>100</v>
      </c>
      <c r="BJ75" t="s">
        <v>552</v>
      </c>
      <c r="BK75" t="s">
        <v>98</v>
      </c>
      <c r="BL75" t="s">
        <v>553</v>
      </c>
      <c r="BM75" t="s">
        <v>100</v>
      </c>
      <c r="BN75" t="s">
        <v>295</v>
      </c>
      <c r="BO75" t="s">
        <v>96</v>
      </c>
      <c r="BP75" t="s">
        <v>124</v>
      </c>
      <c r="BQ75" t="s">
        <v>96</v>
      </c>
      <c r="BR75" t="s">
        <v>105</v>
      </c>
      <c r="BT75" t="s">
        <v>554</v>
      </c>
      <c r="BU75" t="s">
        <v>96</v>
      </c>
      <c r="BV75" t="s">
        <v>125</v>
      </c>
      <c r="BW75" t="s">
        <v>96</v>
      </c>
      <c r="BX75" t="s">
        <v>110</v>
      </c>
      <c r="BY75" t="s">
        <v>96</v>
      </c>
      <c r="BZ75" t="s">
        <v>253</v>
      </c>
      <c r="CA75" t="s">
        <v>98</v>
      </c>
      <c r="CB75" t="s">
        <v>105</v>
      </c>
      <c r="CD75">
        <v>0</v>
      </c>
      <c r="CE75" t="s">
        <v>96</v>
      </c>
      <c r="CF75">
        <v>0</v>
      </c>
      <c r="CG75" t="s">
        <v>96</v>
      </c>
      <c r="CH75">
        <v>0.3</v>
      </c>
      <c r="CI75" t="s">
        <v>96</v>
      </c>
      <c r="CJ75" t="s">
        <v>105</v>
      </c>
      <c r="CL75" t="s">
        <v>130</v>
      </c>
      <c r="CM75" t="s">
        <v>96</v>
      </c>
      <c r="CN75">
        <v>3.75</v>
      </c>
      <c r="CO75">
        <v>0</v>
      </c>
    </row>
    <row r="76" spans="1:93" x14ac:dyDescent="0.2">
      <c r="A76" s="3">
        <v>118</v>
      </c>
      <c r="B76" s="3" t="s">
        <v>555</v>
      </c>
      <c r="C76" s="3" t="s">
        <v>556</v>
      </c>
      <c r="D76" s="1"/>
      <c r="E76" s="1">
        <f t="shared" si="6"/>
        <v>7.735035179672372</v>
      </c>
      <c r="F76" s="1">
        <f t="shared" si="7"/>
        <v>10</v>
      </c>
      <c r="G76" s="1">
        <f t="shared" si="8"/>
        <v>5.9830769230769203</v>
      </c>
      <c r="H76" s="1"/>
      <c r="I76" s="1">
        <v>31.5</v>
      </c>
      <c r="J76" s="1">
        <v>7.7</v>
      </c>
      <c r="K76" s="1">
        <v>0.5</v>
      </c>
      <c r="L76" s="1">
        <v>0.2</v>
      </c>
      <c r="M76" s="1"/>
      <c r="N76" s="1"/>
      <c r="O76" s="1">
        <v>0.2</v>
      </c>
      <c r="P76" s="1">
        <v>0.6</v>
      </c>
      <c r="Q76" s="1">
        <v>0.4</v>
      </c>
      <c r="R76" s="1">
        <v>2.3809523809523698</v>
      </c>
      <c r="S76" s="1">
        <v>-64.102564102564102</v>
      </c>
      <c r="T76" s="1">
        <v>-28.714028375340501</v>
      </c>
      <c r="U76" s="1">
        <v>0</v>
      </c>
      <c r="V76" s="1">
        <v>0</v>
      </c>
      <c r="W76" s="1">
        <v>1.641</v>
      </c>
      <c r="X76" s="1">
        <v>0</v>
      </c>
      <c r="Y76" s="1">
        <v>6.5640000000000101E-2</v>
      </c>
      <c r="Z76" s="1">
        <v>0</v>
      </c>
      <c r="AA76" s="1">
        <v>20210222</v>
      </c>
      <c r="AB76" s="1"/>
      <c r="AC76" s="1">
        <v>41.11</v>
      </c>
      <c r="AD76" s="1"/>
      <c r="AE76" s="1">
        <v>50</v>
      </c>
      <c r="AF76" s="1"/>
      <c r="AG76" s="1">
        <v>39.74</v>
      </c>
      <c r="AH76" s="1"/>
      <c r="AI76" s="1"/>
      <c r="AJ76" s="1">
        <v>5.9830769230769203</v>
      </c>
      <c r="AK76" s="1">
        <v>5</v>
      </c>
      <c r="AL76" s="1">
        <v>247</v>
      </c>
      <c r="AM76" s="1">
        <v>247</v>
      </c>
      <c r="AN76" s="1">
        <v>11402.532999999999</v>
      </c>
      <c r="AO76" s="1">
        <v>247</v>
      </c>
      <c r="AP76" s="1">
        <v>0</v>
      </c>
      <c r="AQ76" s="1">
        <v>0</v>
      </c>
      <c r="AR76" s="1">
        <v>0</v>
      </c>
      <c r="AS76" s="1">
        <v>0</v>
      </c>
      <c r="AT76" s="1">
        <v>6.6</v>
      </c>
      <c r="AU76" s="1"/>
      <c r="AV76" s="1" t="s">
        <v>557</v>
      </c>
      <c r="AW76" s="1" t="s">
        <v>96</v>
      </c>
      <c r="AX76" s="1" t="s">
        <v>558</v>
      </c>
      <c r="AY76" s="1" t="s">
        <v>100</v>
      </c>
      <c r="AZ76" s="1" t="s">
        <v>118</v>
      </c>
      <c r="BA76" s="1" t="s">
        <v>100</v>
      </c>
      <c r="BB76" s="1" t="s">
        <v>101</v>
      </c>
      <c r="BC76" s="1" t="s">
        <v>98</v>
      </c>
      <c r="BD76" s="1" t="s">
        <v>136</v>
      </c>
      <c r="BE76" s="1" t="s">
        <v>100</v>
      </c>
      <c r="BF76" s="1" t="s">
        <v>137</v>
      </c>
      <c r="BG76" s="1" t="s">
        <v>100</v>
      </c>
      <c r="BH76" s="1" t="s">
        <v>121</v>
      </c>
      <c r="BI76" t="s">
        <v>100</v>
      </c>
      <c r="BJ76" t="s">
        <v>122</v>
      </c>
      <c r="BK76" t="s">
        <v>98</v>
      </c>
      <c r="BL76" t="s">
        <v>105</v>
      </c>
      <c r="BN76" t="s">
        <v>559</v>
      </c>
      <c r="BO76" t="s">
        <v>98</v>
      </c>
      <c r="BP76" t="s">
        <v>124</v>
      </c>
      <c r="BQ76" t="s">
        <v>96</v>
      </c>
      <c r="BR76" t="s">
        <v>560</v>
      </c>
      <c r="BS76" t="s">
        <v>98</v>
      </c>
      <c r="BT76" t="s">
        <v>105</v>
      </c>
      <c r="BV76" t="s">
        <v>125</v>
      </c>
      <c r="BW76" t="s">
        <v>96</v>
      </c>
      <c r="BX76" t="s">
        <v>126</v>
      </c>
      <c r="BY76" t="s">
        <v>100</v>
      </c>
      <c r="BZ76" t="s">
        <v>127</v>
      </c>
      <c r="CA76" t="s">
        <v>100</v>
      </c>
      <c r="CB76" t="s">
        <v>561</v>
      </c>
      <c r="CC76" t="s">
        <v>98</v>
      </c>
      <c r="CD76">
        <v>1.3</v>
      </c>
      <c r="CE76" t="s">
        <v>96</v>
      </c>
      <c r="CF76">
        <v>0</v>
      </c>
      <c r="CG76" t="s">
        <v>96</v>
      </c>
      <c r="CH76">
        <v>3.4</v>
      </c>
      <c r="CI76" t="s">
        <v>100</v>
      </c>
      <c r="CJ76" t="s">
        <v>112</v>
      </c>
      <c r="CK76" t="s">
        <v>96</v>
      </c>
      <c r="CL76" t="s">
        <v>98</v>
      </c>
      <c r="CM76" t="s">
        <v>98</v>
      </c>
      <c r="CN76">
        <v>10</v>
      </c>
      <c r="CO76">
        <v>0</v>
      </c>
    </row>
    <row r="77" spans="1:93" x14ac:dyDescent="0.2">
      <c r="A77" s="3">
        <v>119</v>
      </c>
      <c r="B77" s="3" t="s">
        <v>562</v>
      </c>
      <c r="C77" s="3" t="s">
        <v>563</v>
      </c>
      <c r="D77" s="1"/>
      <c r="E77" s="1">
        <f t="shared" si="6"/>
        <v>5.9160797830996161</v>
      </c>
      <c r="F77" s="1">
        <f t="shared" si="7"/>
        <v>3.5</v>
      </c>
      <c r="G77" s="1">
        <f t="shared" si="8"/>
        <v>10</v>
      </c>
      <c r="H77" s="1"/>
      <c r="I77" s="1">
        <v>54</v>
      </c>
      <c r="J77" s="1">
        <v>3.2</v>
      </c>
      <c r="K77" s="1">
        <v>0.7</v>
      </c>
      <c r="L77" s="1">
        <v>0.7</v>
      </c>
      <c r="M77" s="1"/>
      <c r="N77" s="1"/>
      <c r="O77" s="1">
        <v>0.8</v>
      </c>
      <c r="P77" s="1">
        <v>0.6</v>
      </c>
      <c r="Q77" s="1">
        <v>0.7</v>
      </c>
      <c r="R77" s="1">
        <v>9.5238095238094793</v>
      </c>
      <c r="S77" s="1">
        <v>8.9285643890266293</v>
      </c>
      <c r="T77" s="1">
        <v>58.492898261199997</v>
      </c>
      <c r="U77" s="1">
        <v>0.59523762593510898</v>
      </c>
      <c r="V77" s="1">
        <v>3.8995265507466601</v>
      </c>
      <c r="W77" s="1">
        <v>230.11600000000001</v>
      </c>
      <c r="X77" s="1">
        <v>8.7690000000000001</v>
      </c>
      <c r="Y77" s="1">
        <v>9.2046399999999995</v>
      </c>
      <c r="Z77" s="1">
        <v>10</v>
      </c>
      <c r="AA77" s="1">
        <v>20210222</v>
      </c>
      <c r="AB77" s="1"/>
      <c r="AC77" s="1">
        <v>63.44</v>
      </c>
      <c r="AD77" s="1"/>
      <c r="AE77" s="1">
        <v>37.5</v>
      </c>
      <c r="AF77" s="1"/>
      <c r="AG77" s="1">
        <v>67.44</v>
      </c>
      <c r="AH77" s="1"/>
      <c r="AI77" s="1"/>
      <c r="AJ77" s="1">
        <v>2.5476923076923099</v>
      </c>
      <c r="AK77" s="1">
        <v>6.25</v>
      </c>
      <c r="AL77" s="1">
        <v>24616</v>
      </c>
      <c r="AM77" s="1">
        <v>22490</v>
      </c>
      <c r="AN77" s="1">
        <v>9660.35</v>
      </c>
      <c r="AO77" s="1">
        <v>14252</v>
      </c>
      <c r="AP77" s="1">
        <v>2126</v>
      </c>
      <c r="AQ77" s="1">
        <v>220.07484200882999</v>
      </c>
      <c r="AR77" s="1">
        <v>72.719618299186095</v>
      </c>
      <c r="AS77" s="1">
        <v>7.2719618299186104</v>
      </c>
      <c r="AT77" s="1">
        <v>3.4</v>
      </c>
      <c r="AU77" s="1"/>
      <c r="AV77" s="1" t="s">
        <v>564</v>
      </c>
      <c r="AW77" s="1" t="s">
        <v>98</v>
      </c>
      <c r="AX77" s="1" t="s">
        <v>263</v>
      </c>
      <c r="AY77" s="1" t="s">
        <v>100</v>
      </c>
      <c r="AZ77" s="1" t="s">
        <v>174</v>
      </c>
      <c r="BA77" s="1" t="s">
        <v>96</v>
      </c>
      <c r="BB77" s="1" t="s">
        <v>101</v>
      </c>
      <c r="BC77" s="1" t="s">
        <v>98</v>
      </c>
      <c r="BD77" s="1" t="s">
        <v>136</v>
      </c>
      <c r="BE77" s="1" t="s">
        <v>100</v>
      </c>
      <c r="BF77" s="1" t="s">
        <v>137</v>
      </c>
      <c r="BG77" s="1" t="s">
        <v>100</v>
      </c>
      <c r="BH77" s="1" t="s">
        <v>121</v>
      </c>
      <c r="BI77" t="s">
        <v>100</v>
      </c>
      <c r="BJ77" t="s">
        <v>565</v>
      </c>
      <c r="BK77" t="s">
        <v>98</v>
      </c>
      <c r="BL77" t="s">
        <v>206</v>
      </c>
      <c r="BM77" t="s">
        <v>100</v>
      </c>
      <c r="BN77" t="s">
        <v>566</v>
      </c>
      <c r="BO77" t="s">
        <v>100</v>
      </c>
      <c r="BP77" t="s">
        <v>169</v>
      </c>
      <c r="BQ77" t="s">
        <v>100</v>
      </c>
      <c r="BR77" t="s">
        <v>105</v>
      </c>
      <c r="BT77" t="s">
        <v>105</v>
      </c>
      <c r="BV77" t="s">
        <v>125</v>
      </c>
      <c r="BW77" t="s">
        <v>96</v>
      </c>
      <c r="BX77" t="s">
        <v>126</v>
      </c>
      <c r="BY77" t="s">
        <v>100</v>
      </c>
      <c r="BZ77" t="s">
        <v>127</v>
      </c>
      <c r="CA77" t="s">
        <v>100</v>
      </c>
      <c r="CB77" t="s">
        <v>105</v>
      </c>
      <c r="CD77">
        <v>0</v>
      </c>
      <c r="CE77" t="s">
        <v>96</v>
      </c>
      <c r="CF77">
        <v>0</v>
      </c>
      <c r="CG77" t="s">
        <v>96</v>
      </c>
      <c r="CH77">
        <v>0.8</v>
      </c>
      <c r="CI77" t="s">
        <v>96</v>
      </c>
      <c r="CJ77" t="s">
        <v>105</v>
      </c>
      <c r="CL77" t="s">
        <v>130</v>
      </c>
      <c r="CM77" t="s">
        <v>96</v>
      </c>
      <c r="CN77">
        <v>3.5</v>
      </c>
      <c r="CO77">
        <v>0</v>
      </c>
    </row>
    <row r="78" spans="1:93" x14ac:dyDescent="0.2">
      <c r="A78" s="3">
        <v>120</v>
      </c>
      <c r="B78" s="3" t="s">
        <v>567</v>
      </c>
      <c r="C78" s="3" t="s">
        <v>568</v>
      </c>
      <c r="D78" s="1"/>
      <c r="E78" s="1">
        <f t="shared" si="6"/>
        <v>5.3452248382484751</v>
      </c>
      <c r="F78" s="1">
        <f t="shared" si="7"/>
        <v>6</v>
      </c>
      <c r="G78" s="1">
        <f t="shared" si="8"/>
        <v>4.7619047619047397</v>
      </c>
      <c r="H78" s="1"/>
      <c r="I78" s="1">
        <v>56.6</v>
      </c>
      <c r="J78" s="1">
        <v>2.68</v>
      </c>
      <c r="K78" s="1">
        <v>0</v>
      </c>
      <c r="L78" s="1">
        <v>0.4</v>
      </c>
      <c r="M78" s="1"/>
      <c r="N78" s="1"/>
      <c r="O78" s="1">
        <v>1</v>
      </c>
      <c r="P78" s="1">
        <v>0.4</v>
      </c>
      <c r="Q78" s="1">
        <v>0.5</v>
      </c>
      <c r="R78" s="1">
        <v>4.7619047619047397</v>
      </c>
      <c r="S78" s="1">
        <v>-19.1516731855715</v>
      </c>
      <c r="T78" s="1">
        <v>-27.327976046710901</v>
      </c>
      <c r="U78" s="1">
        <v>0</v>
      </c>
      <c r="V78" s="1">
        <v>0</v>
      </c>
      <c r="W78" s="1">
        <v>31.956</v>
      </c>
      <c r="X78" s="1">
        <v>0.68200000000000005</v>
      </c>
      <c r="Y78" s="1">
        <v>1.27824</v>
      </c>
      <c r="Z78" s="1">
        <v>1.3640000000000001</v>
      </c>
      <c r="AA78" s="1">
        <v>20210222</v>
      </c>
      <c r="AB78" s="1"/>
      <c r="AC78" s="1">
        <v>55.83</v>
      </c>
      <c r="AD78" s="1"/>
      <c r="AE78" s="1">
        <v>37.5</v>
      </c>
      <c r="AF78" s="1"/>
      <c r="AG78" s="1">
        <v>58.65</v>
      </c>
      <c r="AH78" s="1"/>
      <c r="AI78" s="1"/>
      <c r="AJ78" s="1">
        <v>3.7184615384615398</v>
      </c>
      <c r="AK78" s="1">
        <v>6.25</v>
      </c>
      <c r="AL78" s="1">
        <v>41525</v>
      </c>
      <c r="AM78" s="1">
        <v>40925</v>
      </c>
      <c r="AN78" s="1">
        <v>273523.62099999998</v>
      </c>
      <c r="AO78" s="1">
        <v>34316</v>
      </c>
      <c r="AP78" s="1">
        <v>600</v>
      </c>
      <c r="AQ78" s="1">
        <v>2.1935948266786101</v>
      </c>
      <c r="AR78" s="1">
        <v>21.007693204336199</v>
      </c>
      <c r="AS78" s="1">
        <v>2.1007693204336202</v>
      </c>
      <c r="AT78" s="1">
        <v>4.4000000000000004</v>
      </c>
      <c r="AU78" s="1"/>
      <c r="AV78" s="1" t="s">
        <v>569</v>
      </c>
      <c r="AW78" s="1" t="s">
        <v>100</v>
      </c>
      <c r="AX78" s="1" t="s">
        <v>386</v>
      </c>
      <c r="AY78" s="1" t="s">
        <v>100</v>
      </c>
      <c r="AZ78" s="1" t="s">
        <v>135</v>
      </c>
      <c r="BA78" s="1" t="s">
        <v>100</v>
      </c>
      <c r="BB78" s="1" t="s">
        <v>119</v>
      </c>
      <c r="BC78" s="1" t="s">
        <v>96</v>
      </c>
      <c r="BD78" s="1" t="s">
        <v>120</v>
      </c>
      <c r="BE78" s="1" t="s">
        <v>100</v>
      </c>
      <c r="BF78" s="1" t="s">
        <v>137</v>
      </c>
      <c r="BG78" s="1" t="s">
        <v>100</v>
      </c>
      <c r="BH78" s="1" t="s">
        <v>121</v>
      </c>
      <c r="BI78" t="s">
        <v>100</v>
      </c>
      <c r="BJ78" t="s">
        <v>149</v>
      </c>
      <c r="BK78" t="s">
        <v>98</v>
      </c>
      <c r="BL78" t="s">
        <v>272</v>
      </c>
      <c r="BM78" t="s">
        <v>100</v>
      </c>
      <c r="BN78" t="s">
        <v>537</v>
      </c>
      <c r="BO78" t="s">
        <v>96</v>
      </c>
      <c r="BP78" t="s">
        <v>169</v>
      </c>
      <c r="BQ78" t="s">
        <v>100</v>
      </c>
      <c r="BR78" t="s">
        <v>105</v>
      </c>
      <c r="BT78" t="s">
        <v>437</v>
      </c>
      <c r="BU78" t="s">
        <v>96</v>
      </c>
      <c r="BV78" t="s">
        <v>125</v>
      </c>
      <c r="BW78" t="s">
        <v>96</v>
      </c>
      <c r="BX78" t="s">
        <v>200</v>
      </c>
      <c r="BY78" t="s">
        <v>100</v>
      </c>
      <c r="BZ78" t="s">
        <v>127</v>
      </c>
      <c r="CA78" t="s">
        <v>100</v>
      </c>
      <c r="CB78" t="s">
        <v>570</v>
      </c>
      <c r="CC78" t="s">
        <v>98</v>
      </c>
      <c r="CD78">
        <v>6.9</v>
      </c>
      <c r="CE78" t="s">
        <v>100</v>
      </c>
      <c r="CF78">
        <v>5.8</v>
      </c>
      <c r="CG78" t="s">
        <v>100</v>
      </c>
      <c r="CH78">
        <v>3.3</v>
      </c>
      <c r="CI78" t="s">
        <v>100</v>
      </c>
      <c r="CJ78" t="s">
        <v>112</v>
      </c>
      <c r="CK78" t="s">
        <v>96</v>
      </c>
      <c r="CL78" t="s">
        <v>96</v>
      </c>
      <c r="CM78" t="s">
        <v>100</v>
      </c>
      <c r="CN78">
        <v>6</v>
      </c>
      <c r="CO78">
        <v>0</v>
      </c>
    </row>
    <row r="79" spans="1:93" x14ac:dyDescent="0.2">
      <c r="A79" s="3">
        <v>121</v>
      </c>
      <c r="B79" s="3" t="s">
        <v>571</v>
      </c>
      <c r="C79" s="3" t="s">
        <v>572</v>
      </c>
      <c r="D79" s="1"/>
      <c r="E79" s="1">
        <f t="shared" si="6"/>
        <v>6.8138514386924536</v>
      </c>
      <c r="F79" s="1">
        <f t="shared" si="7"/>
        <v>6.5</v>
      </c>
      <c r="G79" s="1">
        <f t="shared" si="8"/>
        <v>7.1428571428571104</v>
      </c>
      <c r="H79" s="1"/>
      <c r="I79" s="1">
        <v>46.5</v>
      </c>
      <c r="J79" s="1">
        <v>4.7</v>
      </c>
      <c r="K79" s="1">
        <v>0</v>
      </c>
      <c r="L79" s="1">
        <v>0.6</v>
      </c>
      <c r="M79" s="1"/>
      <c r="N79" s="1"/>
      <c r="O79" s="1">
        <v>1</v>
      </c>
      <c r="P79" s="1">
        <v>0.7</v>
      </c>
      <c r="Q79" s="1">
        <v>0.6</v>
      </c>
      <c r="R79" s="1">
        <v>7.1428571428571104</v>
      </c>
      <c r="S79" s="1">
        <v>-16.113360323886599</v>
      </c>
      <c r="T79" s="1">
        <v>0.16147463141997501</v>
      </c>
      <c r="U79" s="1">
        <v>0</v>
      </c>
      <c r="V79" s="1">
        <v>1.07649754279961E-2</v>
      </c>
      <c r="W79" s="1">
        <v>9.24</v>
      </c>
      <c r="X79" s="1">
        <v>6.8000000000000005E-2</v>
      </c>
      <c r="Y79" s="1">
        <v>0.36959999999999998</v>
      </c>
      <c r="Z79" s="1">
        <v>0.13599999999999901</v>
      </c>
      <c r="AA79" s="1">
        <v>20210222</v>
      </c>
      <c r="AB79" s="1"/>
      <c r="AC79" s="1">
        <v>67.67</v>
      </c>
      <c r="AD79" s="1"/>
      <c r="AE79" s="1">
        <v>50</v>
      </c>
      <c r="AF79" s="1"/>
      <c r="AG79" s="1">
        <v>70.38</v>
      </c>
      <c r="AH79" s="1"/>
      <c r="AI79" s="1"/>
      <c r="AJ79" s="1">
        <v>1.89692307692308</v>
      </c>
      <c r="AK79" s="1">
        <v>5</v>
      </c>
      <c r="AL79" s="1">
        <v>162181</v>
      </c>
      <c r="AM79" s="1">
        <v>161280</v>
      </c>
      <c r="AN79" s="1">
        <v>1380004.385</v>
      </c>
      <c r="AO79" s="1">
        <v>156302</v>
      </c>
      <c r="AP79" s="1">
        <v>901</v>
      </c>
      <c r="AQ79" s="1">
        <v>0.65289647612242896</v>
      </c>
      <c r="AR79" s="1">
        <v>3.7613082366188499</v>
      </c>
      <c r="AS79" s="1">
        <v>0.37613082366188499</v>
      </c>
      <c r="AT79" s="1">
        <v>4.5999999999999996</v>
      </c>
      <c r="AU79" s="1"/>
      <c r="AV79" s="1" t="s">
        <v>519</v>
      </c>
      <c r="AW79" s="1" t="s">
        <v>96</v>
      </c>
      <c r="AX79" s="1" t="s">
        <v>573</v>
      </c>
      <c r="AY79" s="1" t="s">
        <v>100</v>
      </c>
      <c r="AZ79" s="1" t="s">
        <v>174</v>
      </c>
      <c r="BA79" s="1" t="s">
        <v>96</v>
      </c>
      <c r="BB79" s="1" t="s">
        <v>119</v>
      </c>
      <c r="BC79" s="1" t="s">
        <v>96</v>
      </c>
      <c r="BD79" s="1" t="s">
        <v>136</v>
      </c>
      <c r="BE79" s="1" t="s">
        <v>100</v>
      </c>
      <c r="BF79" s="1" t="s">
        <v>102</v>
      </c>
      <c r="BG79" s="1" t="s">
        <v>98</v>
      </c>
      <c r="BH79" s="1" t="s">
        <v>147</v>
      </c>
      <c r="BI79" t="s">
        <v>96</v>
      </c>
      <c r="BJ79" t="s">
        <v>574</v>
      </c>
      <c r="BK79" t="s">
        <v>98</v>
      </c>
      <c r="BL79" t="s">
        <v>105</v>
      </c>
      <c r="BN79" t="s">
        <v>238</v>
      </c>
      <c r="BO79" t="s">
        <v>100</v>
      </c>
      <c r="BP79" t="s">
        <v>169</v>
      </c>
      <c r="BQ79" t="s">
        <v>100</v>
      </c>
      <c r="BR79" t="s">
        <v>105</v>
      </c>
      <c r="BT79" t="s">
        <v>575</v>
      </c>
      <c r="BU79" t="s">
        <v>98</v>
      </c>
      <c r="BV79" t="s">
        <v>125</v>
      </c>
      <c r="BW79" t="s">
        <v>96</v>
      </c>
      <c r="BX79" t="s">
        <v>126</v>
      </c>
      <c r="BY79" t="s">
        <v>100</v>
      </c>
      <c r="BZ79" t="s">
        <v>141</v>
      </c>
      <c r="CA79" t="s">
        <v>96</v>
      </c>
      <c r="CB79" t="s">
        <v>576</v>
      </c>
      <c r="CC79" t="s">
        <v>98</v>
      </c>
      <c r="CD79">
        <v>0.2</v>
      </c>
      <c r="CE79" t="s">
        <v>96</v>
      </c>
      <c r="CF79">
        <v>0</v>
      </c>
      <c r="CG79" t="s">
        <v>96</v>
      </c>
      <c r="CH79">
        <v>4.9000000000000004</v>
      </c>
      <c r="CI79" t="s">
        <v>100</v>
      </c>
      <c r="CJ79" t="s">
        <v>105</v>
      </c>
      <c r="CL79" t="s">
        <v>100</v>
      </c>
      <c r="CM79" t="s">
        <v>100</v>
      </c>
      <c r="CN79">
        <v>6.5</v>
      </c>
      <c r="CO79">
        <v>0</v>
      </c>
    </row>
    <row r="80" spans="1:93" x14ac:dyDescent="0.2">
      <c r="A80" s="3">
        <v>122</v>
      </c>
      <c r="B80" s="3" t="s">
        <v>577</v>
      </c>
      <c r="C80" s="3" t="s">
        <v>578</v>
      </c>
      <c r="D80" s="1"/>
      <c r="E80" s="1">
        <f t="shared" si="6"/>
        <v>5</v>
      </c>
      <c r="F80" s="1">
        <f t="shared" si="7"/>
        <v>2.5</v>
      </c>
      <c r="G80" s="1">
        <f t="shared" si="8"/>
        <v>10</v>
      </c>
      <c r="H80" s="1"/>
      <c r="I80" s="1">
        <v>59</v>
      </c>
      <c r="J80" s="1">
        <v>2.2000000000000002</v>
      </c>
      <c r="K80" s="1">
        <v>0.1</v>
      </c>
      <c r="L80" s="1">
        <v>0.7</v>
      </c>
      <c r="M80" s="1"/>
      <c r="N80" s="1"/>
      <c r="O80" s="1">
        <v>0.5</v>
      </c>
      <c r="P80" s="1">
        <v>0.5</v>
      </c>
      <c r="Q80" s="1">
        <v>0.5</v>
      </c>
      <c r="R80" s="1">
        <v>4.7619047619047397</v>
      </c>
      <c r="S80" s="1">
        <v>-31.894284534282299</v>
      </c>
      <c r="T80" s="1">
        <v>-25.8111082165493</v>
      </c>
      <c r="U80" s="1">
        <v>0</v>
      </c>
      <c r="V80" s="1">
        <v>0</v>
      </c>
      <c r="W80" s="1">
        <v>158.399</v>
      </c>
      <c r="X80" s="1">
        <v>5.4390000000000001</v>
      </c>
      <c r="Y80" s="1">
        <v>6.33596</v>
      </c>
      <c r="Z80" s="1">
        <v>10</v>
      </c>
      <c r="AA80" s="1">
        <v>20210222</v>
      </c>
      <c r="AB80" s="1"/>
      <c r="AC80" s="1">
        <v>83.22</v>
      </c>
      <c r="AD80" s="1"/>
      <c r="AE80" s="1">
        <v>100</v>
      </c>
      <c r="AF80" s="1"/>
      <c r="AG80" s="1">
        <v>80.64</v>
      </c>
      <c r="AH80" s="1"/>
      <c r="AI80" s="1"/>
      <c r="AJ80" s="1">
        <v>0</v>
      </c>
      <c r="AK80" s="1">
        <v>0</v>
      </c>
      <c r="AL80" s="1">
        <v>5141</v>
      </c>
      <c r="AM80" s="1">
        <v>5049</v>
      </c>
      <c r="AN80" s="1">
        <v>4937.7960000000003</v>
      </c>
      <c r="AO80" s="1">
        <v>4135</v>
      </c>
      <c r="AP80" s="1">
        <v>92</v>
      </c>
      <c r="AQ80" s="1">
        <v>18.631794428121399</v>
      </c>
      <c r="AR80" s="1">
        <v>24.328899637243101</v>
      </c>
      <c r="AS80" s="1">
        <v>2.43288996372431</v>
      </c>
      <c r="AT80" s="1">
        <v>3</v>
      </c>
      <c r="AU80" s="1"/>
      <c r="AV80" s="1" t="s">
        <v>579</v>
      </c>
      <c r="AW80" s="1" t="s">
        <v>98</v>
      </c>
      <c r="AX80" s="1" t="s">
        <v>580</v>
      </c>
      <c r="AY80" s="1" t="s">
        <v>96</v>
      </c>
      <c r="AZ80" s="1" t="s">
        <v>135</v>
      </c>
      <c r="BA80" s="1" t="s">
        <v>100</v>
      </c>
      <c r="BB80" s="1" t="s">
        <v>119</v>
      </c>
      <c r="BC80" s="1" t="s">
        <v>96</v>
      </c>
      <c r="BD80" s="1" t="s">
        <v>136</v>
      </c>
      <c r="BE80" s="1" t="s">
        <v>100</v>
      </c>
      <c r="BF80" s="1" t="s">
        <v>183</v>
      </c>
      <c r="BG80" s="1" t="s">
        <v>96</v>
      </c>
      <c r="BH80" s="1" t="s">
        <v>147</v>
      </c>
      <c r="BI80" t="s">
        <v>96</v>
      </c>
      <c r="BJ80" t="s">
        <v>258</v>
      </c>
      <c r="BK80" t="s">
        <v>98</v>
      </c>
      <c r="BL80" t="s">
        <v>226</v>
      </c>
      <c r="BM80" t="s">
        <v>100</v>
      </c>
      <c r="BN80" t="s">
        <v>458</v>
      </c>
      <c r="BO80" t="s">
        <v>100</v>
      </c>
      <c r="BP80" t="s">
        <v>227</v>
      </c>
      <c r="BQ80" t="s">
        <v>98</v>
      </c>
      <c r="BR80" t="s">
        <v>105</v>
      </c>
      <c r="BT80" t="s">
        <v>105</v>
      </c>
      <c r="BV80" t="s">
        <v>125</v>
      </c>
      <c r="BW80" t="s">
        <v>96</v>
      </c>
      <c r="BX80" t="s">
        <v>126</v>
      </c>
      <c r="BY80" t="s">
        <v>100</v>
      </c>
      <c r="BZ80" t="s">
        <v>141</v>
      </c>
      <c r="CA80" t="s">
        <v>96</v>
      </c>
      <c r="CB80" t="s">
        <v>105</v>
      </c>
      <c r="CD80">
        <v>0</v>
      </c>
      <c r="CE80" t="s">
        <v>96</v>
      </c>
      <c r="CF80">
        <v>0</v>
      </c>
      <c r="CG80" t="s">
        <v>96</v>
      </c>
      <c r="CH80">
        <v>0.3</v>
      </c>
      <c r="CI80" t="s">
        <v>96</v>
      </c>
      <c r="CJ80" t="s">
        <v>105</v>
      </c>
      <c r="CL80" t="s">
        <v>130</v>
      </c>
      <c r="CM80" t="s">
        <v>96</v>
      </c>
      <c r="CN80">
        <v>2.5</v>
      </c>
      <c r="CO80">
        <v>0</v>
      </c>
    </row>
    <row r="81" spans="1:93" x14ac:dyDescent="0.2">
      <c r="A81" s="3">
        <v>123</v>
      </c>
      <c r="B81" s="3" t="s">
        <v>581</v>
      </c>
      <c r="C81" s="3" t="s">
        <v>582</v>
      </c>
      <c r="D81" s="1"/>
      <c r="E81" s="1">
        <f t="shared" si="6"/>
        <v>4.9498716751043155</v>
      </c>
      <c r="F81" s="1">
        <f t="shared" si="7"/>
        <v>6.46</v>
      </c>
      <c r="G81" s="1">
        <f t="shared" si="8"/>
        <v>3.7927599999999999</v>
      </c>
      <c r="H81" s="1"/>
      <c r="I81" s="1">
        <v>37.700000000000003</v>
      </c>
      <c r="J81" s="1">
        <v>6.46</v>
      </c>
      <c r="K81" s="1">
        <v>0</v>
      </c>
      <c r="L81" s="1">
        <v>0.6</v>
      </c>
      <c r="M81" s="1"/>
      <c r="N81" s="1"/>
      <c r="O81" s="1">
        <v>0.8</v>
      </c>
      <c r="P81" s="1"/>
      <c r="Q81" s="1">
        <v>0.4</v>
      </c>
      <c r="R81" s="1">
        <v>2.3809523809523698</v>
      </c>
      <c r="S81" s="1">
        <v>-3.3246985480087901</v>
      </c>
      <c r="T81" s="1">
        <v>14.288160767293199</v>
      </c>
      <c r="U81" s="1">
        <v>0</v>
      </c>
      <c r="V81" s="1">
        <v>0.95254405115287899</v>
      </c>
      <c r="W81" s="1">
        <v>94.819000000000003</v>
      </c>
      <c r="X81" s="1">
        <v>0.91500000000000004</v>
      </c>
      <c r="Y81" s="1">
        <v>3.7927599999999999</v>
      </c>
      <c r="Z81" s="1">
        <v>1.83</v>
      </c>
      <c r="AA81" s="1">
        <v>20210222</v>
      </c>
      <c r="AB81" s="1"/>
      <c r="AC81" s="1">
        <v>64.94</v>
      </c>
      <c r="AD81" s="1"/>
      <c r="AE81" s="1">
        <v>37.5</v>
      </c>
      <c r="AF81" s="1"/>
      <c r="AG81" s="1">
        <v>69.17</v>
      </c>
      <c r="AH81" s="1"/>
      <c r="AI81" s="1"/>
      <c r="AJ81" s="1">
        <v>2.31692307692308</v>
      </c>
      <c r="AK81" s="1">
        <v>6.25</v>
      </c>
      <c r="AL81" s="1">
        <v>64427</v>
      </c>
      <c r="AM81" s="1">
        <v>63728</v>
      </c>
      <c r="AN81" s="1">
        <v>83992.952999999994</v>
      </c>
      <c r="AO81" s="1">
        <v>59409</v>
      </c>
      <c r="AP81" s="1">
        <v>699</v>
      </c>
      <c r="AQ81" s="1">
        <v>8.3221267384181594</v>
      </c>
      <c r="AR81" s="1">
        <v>8.4465316702856406</v>
      </c>
      <c r="AS81" s="1">
        <v>0.84465316702856397</v>
      </c>
      <c r="AT81" s="1">
        <v>3.7</v>
      </c>
      <c r="AU81" s="1"/>
      <c r="AV81" s="1" t="s">
        <v>583</v>
      </c>
      <c r="AW81" s="1" t="s">
        <v>100</v>
      </c>
      <c r="AX81" s="1" t="s">
        <v>380</v>
      </c>
      <c r="AY81" s="1" t="s">
        <v>100</v>
      </c>
      <c r="AZ81" s="1" t="s">
        <v>99</v>
      </c>
      <c r="BA81" s="1" t="s">
        <v>100</v>
      </c>
      <c r="BB81" s="1" t="s">
        <v>119</v>
      </c>
      <c r="BC81" s="1" t="s">
        <v>96</v>
      </c>
      <c r="BD81" s="1" t="s">
        <v>136</v>
      </c>
      <c r="BE81" s="1" t="s">
        <v>100</v>
      </c>
      <c r="BF81" s="1" t="s">
        <v>137</v>
      </c>
      <c r="BG81" s="1" t="s">
        <v>100</v>
      </c>
      <c r="BH81" s="1" t="s">
        <v>121</v>
      </c>
      <c r="BI81" t="s">
        <v>100</v>
      </c>
      <c r="BJ81" t="s">
        <v>104</v>
      </c>
      <c r="BK81" t="s">
        <v>98</v>
      </c>
      <c r="BL81" t="s">
        <v>584</v>
      </c>
      <c r="BM81" t="s">
        <v>100</v>
      </c>
      <c r="BN81" t="s">
        <v>585</v>
      </c>
      <c r="BO81" t="s">
        <v>98</v>
      </c>
      <c r="BP81" t="s">
        <v>169</v>
      </c>
      <c r="BQ81" t="s">
        <v>100</v>
      </c>
      <c r="BR81" t="s">
        <v>105</v>
      </c>
      <c r="BT81" t="s">
        <v>586</v>
      </c>
      <c r="BU81" t="s">
        <v>98</v>
      </c>
      <c r="BV81" t="s">
        <v>125</v>
      </c>
      <c r="BW81" t="s">
        <v>96</v>
      </c>
      <c r="BX81" t="s">
        <v>200</v>
      </c>
      <c r="BY81" t="s">
        <v>100</v>
      </c>
      <c r="BZ81" t="s">
        <v>127</v>
      </c>
      <c r="CA81" t="s">
        <v>100</v>
      </c>
      <c r="CB81" t="s">
        <v>587</v>
      </c>
      <c r="CC81" t="s">
        <v>98</v>
      </c>
      <c r="CD81">
        <v>0</v>
      </c>
      <c r="CE81" t="s">
        <v>96</v>
      </c>
      <c r="CF81">
        <v>0</v>
      </c>
      <c r="CG81" t="s">
        <v>96</v>
      </c>
      <c r="CH81">
        <v>4.8</v>
      </c>
      <c r="CI81" t="s">
        <v>100</v>
      </c>
      <c r="CJ81" t="s">
        <v>112</v>
      </c>
      <c r="CK81" t="s">
        <v>96</v>
      </c>
      <c r="CL81" t="s">
        <v>100</v>
      </c>
      <c r="CM81" t="s">
        <v>98</v>
      </c>
      <c r="CN81">
        <v>4.25</v>
      </c>
      <c r="CO81">
        <v>0</v>
      </c>
    </row>
    <row r="82" spans="1:93" x14ac:dyDescent="0.2">
      <c r="A82" s="3">
        <v>124</v>
      </c>
      <c r="B82" s="3" t="s">
        <v>588</v>
      </c>
      <c r="C82" s="3" t="s">
        <v>589</v>
      </c>
      <c r="D82" s="1"/>
      <c r="E82" s="1">
        <f t="shared" si="6"/>
        <v>9.4021274188345263</v>
      </c>
      <c r="F82" s="1">
        <f t="shared" si="7"/>
        <v>8.84</v>
      </c>
      <c r="G82" s="1">
        <f t="shared" si="8"/>
        <v>10</v>
      </c>
      <c r="H82" s="1"/>
      <c r="I82" s="1">
        <v>25.8</v>
      </c>
      <c r="J82" s="1">
        <v>8.84</v>
      </c>
      <c r="K82" s="1">
        <v>0</v>
      </c>
      <c r="L82" s="1">
        <v>0.6</v>
      </c>
      <c r="M82" s="1"/>
      <c r="N82" s="1"/>
      <c r="O82" s="1">
        <v>1</v>
      </c>
      <c r="P82" s="1">
        <v>0.5</v>
      </c>
      <c r="Q82" s="1">
        <v>0.5</v>
      </c>
      <c r="R82" s="1">
        <v>4.7619047619047397</v>
      </c>
      <c r="S82" s="1">
        <v>24.786870746628001</v>
      </c>
      <c r="T82" s="1">
        <v>158.634396205966</v>
      </c>
      <c r="U82" s="1">
        <v>1.6524580497751999</v>
      </c>
      <c r="V82" s="1">
        <v>10</v>
      </c>
      <c r="W82" s="1">
        <v>85.542000000000002</v>
      </c>
      <c r="X82" s="1">
        <v>0.33</v>
      </c>
      <c r="Y82" s="1">
        <v>3.4216799999999998</v>
      </c>
      <c r="Z82" s="1">
        <v>0.66</v>
      </c>
      <c r="AA82" s="1">
        <v>20210222</v>
      </c>
      <c r="AB82" s="1">
        <v>55.56</v>
      </c>
      <c r="AC82" s="1">
        <v>55.56</v>
      </c>
      <c r="AD82" s="1">
        <v>50</v>
      </c>
      <c r="AE82" s="1">
        <v>50</v>
      </c>
      <c r="AF82" s="1">
        <v>56.41</v>
      </c>
      <c r="AG82" s="1">
        <v>56.41</v>
      </c>
      <c r="AH82" s="1">
        <v>1</v>
      </c>
      <c r="AI82" s="1">
        <v>1</v>
      </c>
      <c r="AJ82" s="1">
        <v>3.76</v>
      </c>
      <c r="AK82" s="1">
        <v>5</v>
      </c>
      <c r="AL82" s="1">
        <v>17335</v>
      </c>
      <c r="AM82" s="1">
        <v>16111</v>
      </c>
      <c r="AN82" s="1">
        <v>40222.502999999997</v>
      </c>
      <c r="AO82" s="1">
        <v>13245</v>
      </c>
      <c r="AP82" s="1">
        <v>1224</v>
      </c>
      <c r="AQ82" s="1">
        <v>30.430726799871199</v>
      </c>
      <c r="AR82" s="1">
        <v>30.879577198943</v>
      </c>
      <c r="AS82" s="1">
        <v>3.0879577198943</v>
      </c>
      <c r="AT82" s="1">
        <v>4.8</v>
      </c>
      <c r="AU82" s="1"/>
      <c r="AV82" s="1" t="s">
        <v>590</v>
      </c>
      <c r="AW82" s="1" t="s">
        <v>100</v>
      </c>
      <c r="AX82" s="1" t="s">
        <v>173</v>
      </c>
      <c r="AY82" s="1" t="s">
        <v>100</v>
      </c>
      <c r="AZ82" s="1" t="s">
        <v>135</v>
      </c>
      <c r="BA82" s="1" t="s">
        <v>100</v>
      </c>
      <c r="BB82" s="1" t="s">
        <v>146</v>
      </c>
      <c r="BC82" s="1" t="s">
        <v>100</v>
      </c>
      <c r="BD82" s="1" t="s">
        <v>120</v>
      </c>
      <c r="BE82" s="1" t="s">
        <v>100</v>
      </c>
      <c r="BF82" s="1" t="s">
        <v>137</v>
      </c>
      <c r="BG82" s="1" t="s">
        <v>100</v>
      </c>
      <c r="BH82" s="1" t="s">
        <v>121</v>
      </c>
      <c r="BI82" t="s">
        <v>100</v>
      </c>
      <c r="BJ82" t="s">
        <v>591</v>
      </c>
      <c r="BK82" t="s">
        <v>98</v>
      </c>
      <c r="BL82" t="s">
        <v>105</v>
      </c>
      <c r="BN82" t="s">
        <v>266</v>
      </c>
      <c r="BO82" t="s">
        <v>96</v>
      </c>
      <c r="BP82" t="s">
        <v>227</v>
      </c>
      <c r="BQ82" t="s">
        <v>98</v>
      </c>
      <c r="BR82" t="s">
        <v>105</v>
      </c>
      <c r="BT82" t="s">
        <v>105</v>
      </c>
      <c r="BV82" t="s">
        <v>125</v>
      </c>
      <c r="BW82" t="s">
        <v>96</v>
      </c>
      <c r="BX82" t="s">
        <v>200</v>
      </c>
      <c r="BY82" t="s">
        <v>100</v>
      </c>
      <c r="BZ82" t="s">
        <v>127</v>
      </c>
      <c r="CA82" t="s">
        <v>100</v>
      </c>
      <c r="CB82" t="s">
        <v>592</v>
      </c>
      <c r="CC82" t="s">
        <v>98</v>
      </c>
      <c r="CD82">
        <v>2.4</v>
      </c>
      <c r="CE82" t="s">
        <v>100</v>
      </c>
      <c r="CF82">
        <v>0</v>
      </c>
      <c r="CG82" t="s">
        <v>96</v>
      </c>
      <c r="CH82">
        <v>2.4</v>
      </c>
      <c r="CI82" t="s">
        <v>100</v>
      </c>
      <c r="CJ82" t="s">
        <v>112</v>
      </c>
      <c r="CK82" t="s">
        <v>96</v>
      </c>
      <c r="CL82" t="s">
        <v>98</v>
      </c>
      <c r="CM82" t="s">
        <v>98</v>
      </c>
      <c r="CN82">
        <v>7</v>
      </c>
      <c r="CO82">
        <v>0</v>
      </c>
    </row>
    <row r="83" spans="1:93" x14ac:dyDescent="0.2">
      <c r="A83" s="3">
        <v>125</v>
      </c>
      <c r="B83" s="3" t="s">
        <v>593</v>
      </c>
      <c r="C83" s="3" t="s">
        <v>594</v>
      </c>
      <c r="D83" s="1"/>
      <c r="E83" s="1">
        <f t="shared" si="6"/>
        <v>5.8186891012617874</v>
      </c>
      <c r="F83" s="1">
        <f t="shared" si="7"/>
        <v>4.74</v>
      </c>
      <c r="G83" s="1">
        <f t="shared" si="8"/>
        <v>7.1428571428571104</v>
      </c>
      <c r="H83" s="1"/>
      <c r="I83" s="1">
        <v>46.3</v>
      </c>
      <c r="J83" s="1">
        <v>4.74</v>
      </c>
      <c r="K83" s="1">
        <v>0.8</v>
      </c>
      <c r="L83" s="1">
        <v>0.8</v>
      </c>
      <c r="M83" s="1"/>
      <c r="N83" s="1"/>
      <c r="O83" s="1">
        <v>0.5</v>
      </c>
      <c r="P83" s="1">
        <v>0.4</v>
      </c>
      <c r="Q83" s="1">
        <v>0.6</v>
      </c>
      <c r="R83" s="1">
        <v>7.1428571428571104</v>
      </c>
      <c r="S83" s="1">
        <v>0.01</v>
      </c>
      <c r="T83" s="1">
        <v>0.01</v>
      </c>
      <c r="U83" s="1">
        <v>6.6666666666748099E-4</v>
      </c>
      <c r="V83" s="1">
        <v>6.6666666666748099E-4</v>
      </c>
      <c r="W83" s="1">
        <v>5.024</v>
      </c>
      <c r="X83" s="1">
        <v>0</v>
      </c>
      <c r="Y83" s="1">
        <v>0.20096</v>
      </c>
      <c r="Z83" s="1">
        <v>0</v>
      </c>
      <c r="AA83" s="1">
        <v>20210222</v>
      </c>
      <c r="AB83" s="1"/>
      <c r="AC83" s="1">
        <v>55.44</v>
      </c>
      <c r="AD83" s="1"/>
      <c r="AE83" s="1">
        <v>87.5</v>
      </c>
      <c r="AF83" s="1"/>
      <c r="AG83" s="1">
        <v>50.51</v>
      </c>
      <c r="AH83" s="1"/>
      <c r="AI83" s="1"/>
      <c r="AJ83" s="1">
        <v>3.7784615384615399</v>
      </c>
      <c r="AK83" s="1">
        <v>1.25</v>
      </c>
      <c r="AL83" s="1">
        <v>29</v>
      </c>
      <c r="AM83" s="1">
        <v>29</v>
      </c>
      <c r="AN83" s="1">
        <v>341.25</v>
      </c>
      <c r="AO83" s="1">
        <v>29</v>
      </c>
      <c r="AP83" s="1">
        <v>0</v>
      </c>
      <c r="AQ83" s="1">
        <v>0</v>
      </c>
      <c r="AR83" s="1">
        <v>0</v>
      </c>
      <c r="AS83" s="1">
        <v>0</v>
      </c>
      <c r="AT83" s="1">
        <v>2.6</v>
      </c>
      <c r="AU83" s="1"/>
      <c r="AV83" s="1" t="s">
        <v>595</v>
      </c>
      <c r="AW83" s="1" t="s">
        <v>96</v>
      </c>
      <c r="AX83" s="1" t="s">
        <v>363</v>
      </c>
      <c r="AY83" s="1" t="s">
        <v>100</v>
      </c>
      <c r="AZ83" s="1" t="s">
        <v>135</v>
      </c>
      <c r="BA83" s="1" t="s">
        <v>100</v>
      </c>
      <c r="BB83" s="1" t="s">
        <v>101</v>
      </c>
      <c r="BC83" s="1" t="s">
        <v>98</v>
      </c>
      <c r="BD83" s="1" t="s">
        <v>101</v>
      </c>
      <c r="BE83" s="1" t="s">
        <v>98</v>
      </c>
      <c r="BF83" s="1" t="s">
        <v>183</v>
      </c>
      <c r="BG83" s="1" t="s">
        <v>96</v>
      </c>
      <c r="BH83" s="1" t="s">
        <v>147</v>
      </c>
      <c r="BI83" t="s">
        <v>96</v>
      </c>
      <c r="BJ83" t="s">
        <v>596</v>
      </c>
      <c r="BK83" t="s">
        <v>98</v>
      </c>
      <c r="BL83" t="s">
        <v>597</v>
      </c>
      <c r="BM83" t="s">
        <v>100</v>
      </c>
      <c r="BN83" t="s">
        <v>280</v>
      </c>
      <c r="BO83" t="s">
        <v>96</v>
      </c>
      <c r="BP83" t="s">
        <v>124</v>
      </c>
      <c r="BQ83" t="s">
        <v>96</v>
      </c>
      <c r="BR83" t="s">
        <v>105</v>
      </c>
      <c r="BT83" t="s">
        <v>105</v>
      </c>
      <c r="BV83" t="s">
        <v>125</v>
      </c>
      <c r="BW83" t="s">
        <v>96</v>
      </c>
      <c r="BX83" t="s">
        <v>110</v>
      </c>
      <c r="BY83" t="s">
        <v>96</v>
      </c>
      <c r="BZ83" t="s">
        <v>141</v>
      </c>
      <c r="CA83" t="s">
        <v>96</v>
      </c>
      <c r="CB83" t="s">
        <v>105</v>
      </c>
      <c r="CD83">
        <v>0.1</v>
      </c>
      <c r="CE83" t="s">
        <v>96</v>
      </c>
      <c r="CF83">
        <v>0</v>
      </c>
      <c r="CG83" t="s">
        <v>96</v>
      </c>
      <c r="CH83">
        <v>0</v>
      </c>
      <c r="CI83" t="s">
        <v>96</v>
      </c>
      <c r="CJ83" t="s">
        <v>105</v>
      </c>
      <c r="CL83" t="s">
        <v>130</v>
      </c>
      <c r="CM83" t="s">
        <v>96</v>
      </c>
      <c r="CN83">
        <v>1.5</v>
      </c>
      <c r="CO83">
        <v>0</v>
      </c>
    </row>
    <row r="84" spans="1:93" x14ac:dyDescent="0.2">
      <c r="A84" s="3">
        <v>126</v>
      </c>
      <c r="B84" s="3" t="s">
        <v>598</v>
      </c>
      <c r="C84" s="3" t="s">
        <v>599</v>
      </c>
      <c r="D84" s="1"/>
      <c r="E84" s="1">
        <f t="shared" si="6"/>
        <v>6.7379522111692065</v>
      </c>
      <c r="F84" s="1">
        <f t="shared" si="7"/>
        <v>4.54</v>
      </c>
      <c r="G84" s="1">
        <f t="shared" si="8"/>
        <v>10</v>
      </c>
      <c r="H84" s="1"/>
      <c r="I84" s="1">
        <v>47.3</v>
      </c>
      <c r="J84" s="1">
        <v>4.54</v>
      </c>
      <c r="K84" s="1">
        <v>0</v>
      </c>
      <c r="L84" s="1">
        <v>0.5</v>
      </c>
      <c r="M84" s="1"/>
      <c r="N84" s="1"/>
      <c r="O84" s="1">
        <v>1</v>
      </c>
      <c r="P84" s="1">
        <v>0.5</v>
      </c>
      <c r="Q84" s="1">
        <v>0.5</v>
      </c>
      <c r="R84" s="1">
        <v>4.7619047619047397</v>
      </c>
      <c r="S84" s="1">
        <v>-35.0342050721448</v>
      </c>
      <c r="T84" s="1">
        <v>-39.626937244906699</v>
      </c>
      <c r="U84" s="1">
        <v>0</v>
      </c>
      <c r="V84" s="1">
        <v>0</v>
      </c>
      <c r="W84" s="1">
        <v>423.56</v>
      </c>
      <c r="X84" s="1">
        <v>3.1190000000000002</v>
      </c>
      <c r="Y84" s="1">
        <v>10</v>
      </c>
      <c r="Z84" s="1">
        <v>6.2380000000000004</v>
      </c>
      <c r="AA84" s="1">
        <v>20210222</v>
      </c>
      <c r="AB84" s="1">
        <v>62.78</v>
      </c>
      <c r="AC84" s="1">
        <v>62.78</v>
      </c>
      <c r="AD84" s="1">
        <v>75</v>
      </c>
      <c r="AE84" s="1">
        <v>75</v>
      </c>
      <c r="AF84" s="1">
        <v>60.9</v>
      </c>
      <c r="AG84" s="1">
        <v>60.9</v>
      </c>
      <c r="AH84" s="1">
        <v>2</v>
      </c>
      <c r="AI84" s="1">
        <v>1</v>
      </c>
      <c r="AJ84" s="1">
        <v>2.6492307692307699</v>
      </c>
      <c r="AK84" s="1">
        <v>2.5</v>
      </c>
      <c r="AL84" s="1">
        <v>6639</v>
      </c>
      <c r="AM84" s="1">
        <v>6564</v>
      </c>
      <c r="AN84" s="1">
        <v>8655.5409999999993</v>
      </c>
      <c r="AO84" s="1">
        <v>5526</v>
      </c>
      <c r="AP84" s="1">
        <v>75</v>
      </c>
      <c r="AQ84" s="1">
        <v>8.6649696419900195</v>
      </c>
      <c r="AR84" s="1">
        <v>20.141150922909901</v>
      </c>
      <c r="AS84" s="1">
        <v>2.0141150922909898</v>
      </c>
      <c r="AT84" s="1">
        <v>2.7</v>
      </c>
      <c r="AU84" s="1"/>
      <c r="AV84" s="1" t="s">
        <v>600</v>
      </c>
      <c r="AW84" s="1" t="s">
        <v>98</v>
      </c>
      <c r="AX84" s="1" t="s">
        <v>601</v>
      </c>
      <c r="AY84" s="1" t="s">
        <v>100</v>
      </c>
      <c r="AZ84" s="1" t="s">
        <v>174</v>
      </c>
      <c r="BA84" s="1" t="s">
        <v>96</v>
      </c>
      <c r="BB84" s="1" t="s">
        <v>101</v>
      </c>
      <c r="BC84" s="1" t="s">
        <v>98</v>
      </c>
      <c r="BD84" s="1" t="s">
        <v>101</v>
      </c>
      <c r="BE84" s="1" t="s">
        <v>98</v>
      </c>
      <c r="BF84" s="1" t="s">
        <v>183</v>
      </c>
      <c r="BG84" s="1" t="s">
        <v>96</v>
      </c>
      <c r="BH84" s="1" t="s">
        <v>147</v>
      </c>
      <c r="BI84" t="s">
        <v>96</v>
      </c>
      <c r="BJ84" t="s">
        <v>602</v>
      </c>
      <c r="BK84" t="s">
        <v>98</v>
      </c>
      <c r="BL84" t="s">
        <v>603</v>
      </c>
      <c r="BM84" t="s">
        <v>100</v>
      </c>
      <c r="BN84" t="s">
        <v>604</v>
      </c>
      <c r="BO84" t="s">
        <v>100</v>
      </c>
      <c r="BP84" t="s">
        <v>169</v>
      </c>
      <c r="BQ84" t="s">
        <v>100</v>
      </c>
      <c r="BR84" t="s">
        <v>105</v>
      </c>
      <c r="BT84" t="s">
        <v>128</v>
      </c>
      <c r="BU84" t="s">
        <v>100</v>
      </c>
      <c r="BV84" t="s">
        <v>125</v>
      </c>
      <c r="BW84" t="s">
        <v>96</v>
      </c>
      <c r="BX84" t="s">
        <v>110</v>
      </c>
      <c r="BY84" t="s">
        <v>96</v>
      </c>
      <c r="BZ84" t="s">
        <v>141</v>
      </c>
      <c r="CA84" t="s">
        <v>96</v>
      </c>
      <c r="CB84" t="s">
        <v>342</v>
      </c>
      <c r="CC84" t="s">
        <v>96</v>
      </c>
      <c r="CD84">
        <v>0</v>
      </c>
      <c r="CE84" t="s">
        <v>96</v>
      </c>
      <c r="CF84">
        <v>0</v>
      </c>
      <c r="CG84" t="s">
        <v>96</v>
      </c>
      <c r="CH84">
        <v>4.7</v>
      </c>
      <c r="CI84" t="s">
        <v>100</v>
      </c>
      <c r="CJ84" t="s">
        <v>105</v>
      </c>
      <c r="CL84" t="s">
        <v>130</v>
      </c>
      <c r="CM84" t="s">
        <v>96</v>
      </c>
      <c r="CN84">
        <v>1.75</v>
      </c>
      <c r="CO84">
        <v>0</v>
      </c>
    </row>
    <row r="85" spans="1:93" x14ac:dyDescent="0.2">
      <c r="A85" s="3">
        <v>127</v>
      </c>
      <c r="B85" s="3" t="s">
        <v>605</v>
      </c>
      <c r="C85" s="3" t="s">
        <v>606</v>
      </c>
      <c r="D85" s="1"/>
      <c r="E85" s="1">
        <f t="shared" si="6"/>
        <v>5.4772255750516612</v>
      </c>
      <c r="F85" s="1">
        <f t="shared" si="7"/>
        <v>3</v>
      </c>
      <c r="G85" s="1">
        <f t="shared" si="8"/>
        <v>10</v>
      </c>
      <c r="H85" s="1"/>
      <c r="I85" s="1">
        <v>56.2</v>
      </c>
      <c r="J85" s="1">
        <v>2.76</v>
      </c>
      <c r="K85" s="1">
        <v>0</v>
      </c>
      <c r="L85" s="1">
        <v>0.7</v>
      </c>
      <c r="M85" s="1"/>
      <c r="N85" s="1"/>
      <c r="O85" s="1">
        <v>0.8</v>
      </c>
      <c r="P85" s="1">
        <v>0.4</v>
      </c>
      <c r="Q85" s="1">
        <v>0.5</v>
      </c>
      <c r="R85" s="1">
        <v>4.7619047619047397</v>
      </c>
      <c r="S85" s="1">
        <v>-21.806596297886198</v>
      </c>
      <c r="T85" s="1">
        <v>4.6422142579483801</v>
      </c>
      <c r="U85" s="1">
        <v>0</v>
      </c>
      <c r="V85" s="1">
        <v>0.309480950529892</v>
      </c>
      <c r="W85" s="1">
        <v>206.428</v>
      </c>
      <c r="X85" s="1">
        <v>5.0590000000000002</v>
      </c>
      <c r="Y85" s="1">
        <v>8.2571200000000005</v>
      </c>
      <c r="Z85" s="1">
        <v>10</v>
      </c>
      <c r="AA85" s="1">
        <v>20210222</v>
      </c>
      <c r="AB85" s="1"/>
      <c r="AC85" s="1">
        <v>78.22</v>
      </c>
      <c r="AD85" s="1"/>
      <c r="AE85" s="1">
        <v>75</v>
      </c>
      <c r="AF85" s="1"/>
      <c r="AG85" s="1">
        <v>78.72</v>
      </c>
      <c r="AH85" s="1"/>
      <c r="AI85" s="1"/>
      <c r="AJ85" s="1">
        <v>0.27384615384615402</v>
      </c>
      <c r="AK85" s="1">
        <v>2.5</v>
      </c>
      <c r="AL85" s="1">
        <v>113710</v>
      </c>
      <c r="AM85" s="1">
        <v>111343</v>
      </c>
      <c r="AN85" s="1">
        <v>60461.828000000001</v>
      </c>
      <c r="AO85" s="1">
        <v>95486</v>
      </c>
      <c r="AP85" s="1">
        <v>2367</v>
      </c>
      <c r="AQ85" s="1">
        <v>39.148667486533803</v>
      </c>
      <c r="AR85" s="1">
        <v>19.085520390423699</v>
      </c>
      <c r="AS85" s="1">
        <v>1.90855203904237</v>
      </c>
      <c r="AT85" s="1">
        <v>3.2</v>
      </c>
      <c r="AU85" s="1"/>
      <c r="AV85" s="1" t="s">
        <v>607</v>
      </c>
      <c r="AW85" s="1" t="s">
        <v>98</v>
      </c>
      <c r="AX85" s="1" t="s">
        <v>190</v>
      </c>
      <c r="AY85" s="1" t="s">
        <v>100</v>
      </c>
      <c r="AZ85" s="1" t="s">
        <v>135</v>
      </c>
      <c r="BA85" s="1" t="s">
        <v>100</v>
      </c>
      <c r="BB85" s="1" t="s">
        <v>119</v>
      </c>
      <c r="BC85" s="1" t="s">
        <v>96</v>
      </c>
      <c r="BD85" s="1" t="s">
        <v>136</v>
      </c>
      <c r="BE85" s="1" t="s">
        <v>100</v>
      </c>
      <c r="BF85" s="1" t="s">
        <v>137</v>
      </c>
      <c r="BG85" s="1" t="s">
        <v>100</v>
      </c>
      <c r="BH85" s="1" t="s">
        <v>147</v>
      </c>
      <c r="BI85" t="s">
        <v>96</v>
      </c>
      <c r="BJ85" t="s">
        <v>608</v>
      </c>
      <c r="BK85" t="s">
        <v>98</v>
      </c>
      <c r="BL85" t="s">
        <v>155</v>
      </c>
      <c r="BM85" t="s">
        <v>100</v>
      </c>
      <c r="BN85" t="s">
        <v>293</v>
      </c>
      <c r="BO85" t="s">
        <v>96</v>
      </c>
      <c r="BP85" t="s">
        <v>169</v>
      </c>
      <c r="BQ85" t="s">
        <v>100</v>
      </c>
      <c r="BR85" t="s">
        <v>105</v>
      </c>
      <c r="BT85" t="s">
        <v>105</v>
      </c>
      <c r="BV85" t="s">
        <v>125</v>
      </c>
      <c r="BW85" t="s">
        <v>96</v>
      </c>
      <c r="BX85" t="s">
        <v>126</v>
      </c>
      <c r="BY85" t="s">
        <v>100</v>
      </c>
      <c r="BZ85" t="s">
        <v>127</v>
      </c>
      <c r="CA85" t="s">
        <v>100</v>
      </c>
      <c r="CB85" t="s">
        <v>105</v>
      </c>
      <c r="CD85">
        <v>0.7</v>
      </c>
      <c r="CE85" t="s">
        <v>96</v>
      </c>
      <c r="CF85">
        <v>0</v>
      </c>
      <c r="CG85" t="s">
        <v>96</v>
      </c>
      <c r="CH85">
        <v>2.1</v>
      </c>
      <c r="CI85" t="s">
        <v>100</v>
      </c>
      <c r="CJ85" t="s">
        <v>105</v>
      </c>
      <c r="CL85" t="s">
        <v>130</v>
      </c>
      <c r="CM85" t="s">
        <v>96</v>
      </c>
      <c r="CN85">
        <v>3</v>
      </c>
      <c r="CO85">
        <v>0</v>
      </c>
    </row>
    <row r="86" spans="1:93" x14ac:dyDescent="0.2">
      <c r="A86" s="3">
        <v>128</v>
      </c>
      <c r="B86" s="3" t="s">
        <v>609</v>
      </c>
      <c r="C86" s="3" t="s">
        <v>610</v>
      </c>
      <c r="D86" s="1"/>
      <c r="E86" s="1">
        <f t="shared" si="6"/>
        <v>7.6531972777021959</v>
      </c>
      <c r="F86" s="1">
        <f t="shared" si="7"/>
        <v>8.1999999999999993</v>
      </c>
      <c r="G86" s="1">
        <f t="shared" si="8"/>
        <v>7.1428571428571104</v>
      </c>
      <c r="H86" s="1"/>
      <c r="I86" s="1">
        <v>29</v>
      </c>
      <c r="J86" s="1">
        <v>8.1999999999999993</v>
      </c>
      <c r="K86" s="1">
        <v>0.9</v>
      </c>
      <c r="L86" s="1">
        <v>0.5</v>
      </c>
      <c r="M86" s="1"/>
      <c r="N86" s="1"/>
      <c r="O86" s="1">
        <v>0.2</v>
      </c>
      <c r="P86" s="1">
        <v>0.7</v>
      </c>
      <c r="Q86" s="1">
        <v>0.6</v>
      </c>
      <c r="R86" s="1">
        <v>7.1428571428571104</v>
      </c>
      <c r="S86" s="1">
        <v>104.66801079861899</v>
      </c>
      <c r="T86" s="1">
        <v>92.394948751660905</v>
      </c>
      <c r="U86" s="1">
        <v>6.9778673865746299</v>
      </c>
      <c r="V86" s="1">
        <v>6.1596632501107296</v>
      </c>
      <c r="W86" s="1">
        <v>113.22799999999999</v>
      </c>
      <c r="X86" s="1">
        <v>1.0609999999999999</v>
      </c>
      <c r="Y86" s="1">
        <v>4.5291199999999998</v>
      </c>
      <c r="Z86" s="1">
        <v>2.1219999999999999</v>
      </c>
      <c r="AA86" s="1">
        <v>20210222</v>
      </c>
      <c r="AB86" s="1"/>
      <c r="AC86" s="1">
        <v>69.44</v>
      </c>
      <c r="AD86" s="1"/>
      <c r="AE86" s="1">
        <v>50</v>
      </c>
      <c r="AF86" s="1"/>
      <c r="AG86" s="1">
        <v>72.44</v>
      </c>
      <c r="AH86" s="1"/>
      <c r="AI86" s="1"/>
      <c r="AJ86" s="1">
        <v>1.6246153846153899</v>
      </c>
      <c r="AK86" s="1">
        <v>5</v>
      </c>
      <c r="AL86" s="1">
        <v>687</v>
      </c>
      <c r="AM86" s="1">
        <v>638</v>
      </c>
      <c r="AN86" s="1">
        <v>2961.1610000000001</v>
      </c>
      <c r="AO86" s="1">
        <v>391</v>
      </c>
      <c r="AP86" s="1">
        <v>49</v>
      </c>
      <c r="AQ86" s="1">
        <v>16.547563607652499</v>
      </c>
      <c r="AR86" s="1">
        <v>75.703324808184107</v>
      </c>
      <c r="AS86" s="1">
        <v>7.5703324808184096</v>
      </c>
      <c r="AT86" s="1">
        <v>4.0999999999999996</v>
      </c>
      <c r="AU86" s="1"/>
      <c r="AV86" s="1" t="s">
        <v>611</v>
      </c>
      <c r="AW86" s="1" t="s">
        <v>100</v>
      </c>
      <c r="AX86" s="1" t="s">
        <v>424</v>
      </c>
      <c r="AY86" s="1" t="s">
        <v>100</v>
      </c>
      <c r="AZ86" s="1" t="s">
        <v>135</v>
      </c>
      <c r="BA86" s="1" t="s">
        <v>100</v>
      </c>
      <c r="BB86" s="1" t="s">
        <v>119</v>
      </c>
      <c r="BC86" s="1" t="s">
        <v>96</v>
      </c>
      <c r="BD86" s="1" t="s">
        <v>136</v>
      </c>
      <c r="BE86" s="1" t="s">
        <v>100</v>
      </c>
      <c r="BF86" s="1" t="s">
        <v>137</v>
      </c>
      <c r="BG86" s="1" t="s">
        <v>100</v>
      </c>
      <c r="BH86" s="1" t="s">
        <v>121</v>
      </c>
      <c r="BI86" t="s">
        <v>100</v>
      </c>
      <c r="BJ86" t="s">
        <v>612</v>
      </c>
      <c r="BK86" t="s">
        <v>98</v>
      </c>
      <c r="BL86" t="s">
        <v>105</v>
      </c>
      <c r="BN86" t="s">
        <v>259</v>
      </c>
      <c r="BO86" t="s">
        <v>98</v>
      </c>
      <c r="BP86" t="s">
        <v>169</v>
      </c>
      <c r="BQ86" t="s">
        <v>100</v>
      </c>
      <c r="BR86" t="s">
        <v>105</v>
      </c>
      <c r="BT86" t="s">
        <v>105</v>
      </c>
      <c r="BV86" t="s">
        <v>125</v>
      </c>
      <c r="BW86" t="s">
        <v>96</v>
      </c>
      <c r="BX86" t="s">
        <v>126</v>
      </c>
      <c r="BY86" t="s">
        <v>100</v>
      </c>
      <c r="BZ86" t="s">
        <v>141</v>
      </c>
      <c r="CA86" t="s">
        <v>96</v>
      </c>
      <c r="CB86" t="s">
        <v>613</v>
      </c>
      <c r="CC86" t="s">
        <v>98</v>
      </c>
      <c r="CD86">
        <v>0</v>
      </c>
      <c r="CE86" t="s">
        <v>96</v>
      </c>
      <c r="CF86">
        <v>0</v>
      </c>
      <c r="CG86" t="s">
        <v>96</v>
      </c>
      <c r="CH86">
        <v>1.4</v>
      </c>
      <c r="CI86" t="s">
        <v>96</v>
      </c>
      <c r="CJ86" t="s">
        <v>105</v>
      </c>
      <c r="CL86" t="s">
        <v>130</v>
      </c>
      <c r="CM86" t="s">
        <v>96</v>
      </c>
      <c r="CN86">
        <v>5.25</v>
      </c>
      <c r="CO86">
        <v>0</v>
      </c>
    </row>
    <row r="87" spans="1:93" x14ac:dyDescent="0.2">
      <c r="A87" s="3">
        <v>129</v>
      </c>
      <c r="B87" s="3" t="s">
        <v>614</v>
      </c>
      <c r="C87" s="3" t="s">
        <v>615</v>
      </c>
      <c r="D87" s="1"/>
      <c r="E87" s="1">
        <f t="shared" si="6"/>
        <v>7.5828754440515498</v>
      </c>
      <c r="F87" s="1">
        <f t="shared" si="7"/>
        <v>5.75</v>
      </c>
      <c r="G87" s="1">
        <f t="shared" si="8"/>
        <v>10</v>
      </c>
      <c r="H87" s="1"/>
      <c r="I87" s="1">
        <v>42.1</v>
      </c>
      <c r="J87" s="1">
        <v>5.58</v>
      </c>
      <c r="K87" s="1">
        <v>0.9</v>
      </c>
      <c r="L87" s="1">
        <v>0.7</v>
      </c>
      <c r="M87" s="1"/>
      <c r="N87" s="1"/>
      <c r="O87" s="1">
        <v>1</v>
      </c>
      <c r="P87" s="1">
        <v>0.7</v>
      </c>
      <c r="Q87" s="1">
        <v>0.8</v>
      </c>
      <c r="R87" s="1">
        <v>10</v>
      </c>
      <c r="S87" s="1">
        <v>24.657534246575299</v>
      </c>
      <c r="T87" s="1">
        <v>86.328582972667206</v>
      </c>
      <c r="U87" s="1">
        <v>1.6438356164383601</v>
      </c>
      <c r="V87" s="1">
        <v>5.7552388648444799</v>
      </c>
      <c r="W87" s="1">
        <v>230.71299999999999</v>
      </c>
      <c r="X87" s="1">
        <v>1.3859999999999999</v>
      </c>
      <c r="Y87" s="1">
        <v>9.2285199999999996</v>
      </c>
      <c r="Z87" s="1">
        <v>2.7719999999999998</v>
      </c>
      <c r="AA87" s="1">
        <v>20210222</v>
      </c>
      <c r="AB87" s="1"/>
      <c r="AC87" s="1">
        <v>56.22</v>
      </c>
      <c r="AD87" s="1"/>
      <c r="AE87" s="1">
        <v>37.5</v>
      </c>
      <c r="AF87" s="1"/>
      <c r="AG87" s="1">
        <v>59.1</v>
      </c>
      <c r="AH87" s="1"/>
      <c r="AI87" s="1"/>
      <c r="AJ87" s="1">
        <v>3.6584615384615402</v>
      </c>
      <c r="AK87" s="1">
        <v>6.25</v>
      </c>
      <c r="AL87" s="1">
        <v>6305</v>
      </c>
      <c r="AM87" s="1">
        <v>5959</v>
      </c>
      <c r="AN87" s="1">
        <v>10203.14</v>
      </c>
      <c r="AO87" s="1">
        <v>4543</v>
      </c>
      <c r="AP87" s="1">
        <v>346</v>
      </c>
      <c r="AQ87" s="1">
        <v>33.911129319013597</v>
      </c>
      <c r="AR87" s="1">
        <v>38.784943869689599</v>
      </c>
      <c r="AS87" s="1">
        <v>3.8784943869689599</v>
      </c>
      <c r="AT87" s="1">
        <v>4.3</v>
      </c>
      <c r="AU87" s="1"/>
      <c r="AV87" s="1" t="s">
        <v>616</v>
      </c>
      <c r="AW87" s="1" t="s">
        <v>98</v>
      </c>
      <c r="AX87" s="1" t="s">
        <v>617</v>
      </c>
      <c r="AY87" s="1" t="s">
        <v>96</v>
      </c>
      <c r="AZ87" s="1" t="s">
        <v>135</v>
      </c>
      <c r="BA87" s="1" t="s">
        <v>100</v>
      </c>
      <c r="BB87" s="1" t="s">
        <v>119</v>
      </c>
      <c r="BC87" s="1" t="s">
        <v>96</v>
      </c>
      <c r="BD87" s="1" t="s">
        <v>136</v>
      </c>
      <c r="BE87" s="1" t="s">
        <v>100</v>
      </c>
      <c r="BF87" s="1" t="s">
        <v>137</v>
      </c>
      <c r="BG87" s="1" t="s">
        <v>100</v>
      </c>
      <c r="BH87" s="1" t="s">
        <v>121</v>
      </c>
      <c r="BI87" t="s">
        <v>100</v>
      </c>
      <c r="BJ87" t="s">
        <v>104</v>
      </c>
      <c r="BK87" t="s">
        <v>98</v>
      </c>
      <c r="BL87" t="s">
        <v>105</v>
      </c>
      <c r="BN87" t="s">
        <v>618</v>
      </c>
      <c r="BO87" t="s">
        <v>100</v>
      </c>
      <c r="BP87" t="s">
        <v>169</v>
      </c>
      <c r="BQ87" t="s">
        <v>100</v>
      </c>
      <c r="BR87" t="s">
        <v>105</v>
      </c>
      <c r="BT87" t="s">
        <v>105</v>
      </c>
      <c r="BV87" t="s">
        <v>125</v>
      </c>
      <c r="BW87" t="s">
        <v>96</v>
      </c>
      <c r="BX87" t="s">
        <v>126</v>
      </c>
      <c r="BY87" t="s">
        <v>100</v>
      </c>
      <c r="BZ87" t="s">
        <v>141</v>
      </c>
      <c r="CA87" t="s">
        <v>96</v>
      </c>
      <c r="CB87" t="s">
        <v>105</v>
      </c>
      <c r="CD87">
        <v>0</v>
      </c>
      <c r="CE87" t="s">
        <v>96</v>
      </c>
      <c r="CF87">
        <v>0</v>
      </c>
      <c r="CG87" t="s">
        <v>96</v>
      </c>
      <c r="CH87">
        <v>5.5</v>
      </c>
      <c r="CI87" t="s">
        <v>100</v>
      </c>
      <c r="CJ87" t="s">
        <v>105</v>
      </c>
      <c r="CL87" t="s">
        <v>98</v>
      </c>
      <c r="CM87" t="s">
        <v>98</v>
      </c>
      <c r="CN87">
        <v>5.75</v>
      </c>
      <c r="CO87">
        <v>0</v>
      </c>
    </row>
    <row r="88" spans="1:93" x14ac:dyDescent="0.2">
      <c r="A88" s="3">
        <v>130</v>
      </c>
      <c r="B88" s="3" t="s">
        <v>619</v>
      </c>
      <c r="C88" s="3" t="s">
        <v>620</v>
      </c>
      <c r="D88" s="1"/>
      <c r="E88" s="1">
        <f t="shared" si="6"/>
        <v>2.865894946810482</v>
      </c>
      <c r="F88" s="1">
        <f t="shared" si="7"/>
        <v>2.04</v>
      </c>
      <c r="G88" s="1">
        <f t="shared" si="8"/>
        <v>4.02615384615385</v>
      </c>
      <c r="H88" s="1"/>
      <c r="I88" s="1">
        <v>59.8</v>
      </c>
      <c r="J88" s="1">
        <v>2.04</v>
      </c>
      <c r="K88" s="1">
        <v>0</v>
      </c>
      <c r="L88" s="1">
        <v>0.6</v>
      </c>
      <c r="M88" s="1"/>
      <c r="N88" s="1"/>
      <c r="O88" s="1">
        <v>0.8</v>
      </c>
      <c r="P88" s="1">
        <v>0.4</v>
      </c>
      <c r="Q88" s="1">
        <v>0.4</v>
      </c>
      <c r="R88" s="1">
        <v>2.3809523809523698</v>
      </c>
      <c r="S88" s="1">
        <v>-19.829405362180399</v>
      </c>
      <c r="T88" s="1">
        <v>-49.4087753539361</v>
      </c>
      <c r="U88" s="1">
        <v>0</v>
      </c>
      <c r="V88" s="1">
        <v>0</v>
      </c>
      <c r="W88" s="1">
        <v>9.9779999999999998</v>
      </c>
      <c r="X88" s="1">
        <v>0.58599999999999997</v>
      </c>
      <c r="Y88" s="1">
        <v>0.39911999999999997</v>
      </c>
      <c r="Z88" s="1">
        <v>1.1719999999999999</v>
      </c>
      <c r="AA88" s="1">
        <v>20210222</v>
      </c>
      <c r="AB88" s="1"/>
      <c r="AC88" s="1">
        <v>53.83</v>
      </c>
      <c r="AD88" s="1"/>
      <c r="AE88" s="1">
        <v>100</v>
      </c>
      <c r="AF88" s="1"/>
      <c r="AG88" s="1">
        <v>46.73</v>
      </c>
      <c r="AH88" s="1"/>
      <c r="AI88" s="1"/>
      <c r="AJ88" s="1">
        <v>4.02615384615385</v>
      </c>
      <c r="AK88" s="1">
        <v>0</v>
      </c>
      <c r="AL88" s="1">
        <v>9136</v>
      </c>
      <c r="AM88" s="1">
        <v>9014</v>
      </c>
      <c r="AN88" s="1">
        <v>126476.458</v>
      </c>
      <c r="AO88" s="1">
        <v>7438</v>
      </c>
      <c r="AP88" s="1">
        <v>122</v>
      </c>
      <c r="AQ88" s="1">
        <v>0.96460639338903698</v>
      </c>
      <c r="AR88" s="1">
        <v>22.828717397149799</v>
      </c>
      <c r="AS88" s="1">
        <v>2.28287173971498</v>
      </c>
      <c r="AT88" s="1">
        <v>2.2999999999999998</v>
      </c>
      <c r="AU88" s="1"/>
      <c r="AV88" s="1" t="s">
        <v>621</v>
      </c>
      <c r="AW88" s="1" t="s">
        <v>100</v>
      </c>
      <c r="AX88" s="1" t="s">
        <v>270</v>
      </c>
      <c r="AY88" s="1" t="s">
        <v>100</v>
      </c>
      <c r="AZ88" s="1" t="s">
        <v>174</v>
      </c>
      <c r="BA88" s="1" t="s">
        <v>96</v>
      </c>
      <c r="BB88" s="1" t="s">
        <v>146</v>
      </c>
      <c r="BC88" s="1" t="s">
        <v>100</v>
      </c>
      <c r="BD88" s="1" t="s">
        <v>120</v>
      </c>
      <c r="BE88" s="1" t="s">
        <v>100</v>
      </c>
      <c r="BF88" s="1" t="s">
        <v>137</v>
      </c>
      <c r="BG88" s="1" t="s">
        <v>100</v>
      </c>
      <c r="BH88" s="1" t="s">
        <v>121</v>
      </c>
      <c r="BI88" t="s">
        <v>100</v>
      </c>
      <c r="BJ88" t="s">
        <v>323</v>
      </c>
      <c r="BK88" t="s">
        <v>98</v>
      </c>
      <c r="BL88" t="s">
        <v>405</v>
      </c>
      <c r="BM88" t="s">
        <v>96</v>
      </c>
      <c r="BN88" t="s">
        <v>622</v>
      </c>
      <c r="BO88" t="s">
        <v>100</v>
      </c>
      <c r="BP88" t="s">
        <v>124</v>
      </c>
      <c r="BQ88" t="s">
        <v>96</v>
      </c>
      <c r="BR88" t="s">
        <v>105</v>
      </c>
      <c r="BT88" t="s">
        <v>128</v>
      </c>
      <c r="BU88" t="s">
        <v>100</v>
      </c>
      <c r="BV88" t="s">
        <v>125</v>
      </c>
      <c r="BW88" t="s">
        <v>96</v>
      </c>
      <c r="BX88" t="s">
        <v>110</v>
      </c>
      <c r="BY88" t="s">
        <v>96</v>
      </c>
      <c r="BZ88" t="s">
        <v>141</v>
      </c>
      <c r="CA88" t="s">
        <v>96</v>
      </c>
      <c r="CB88" t="s">
        <v>105</v>
      </c>
      <c r="CD88">
        <v>0</v>
      </c>
      <c r="CE88" t="s">
        <v>96</v>
      </c>
      <c r="CF88">
        <v>0.2</v>
      </c>
      <c r="CG88" t="s">
        <v>96</v>
      </c>
      <c r="CH88">
        <v>0.1</v>
      </c>
      <c r="CI88" t="s">
        <v>96</v>
      </c>
      <c r="CJ88" t="s">
        <v>105</v>
      </c>
      <c r="CL88" t="s">
        <v>130</v>
      </c>
      <c r="CM88" t="s">
        <v>96</v>
      </c>
      <c r="CN88">
        <v>0.75</v>
      </c>
      <c r="CO88">
        <v>0</v>
      </c>
    </row>
    <row r="89" spans="1:93" x14ac:dyDescent="0.2">
      <c r="A89" s="3">
        <v>131</v>
      </c>
      <c r="B89" s="3" t="s">
        <v>623</v>
      </c>
      <c r="C89" s="3" t="s">
        <v>624</v>
      </c>
      <c r="D89" s="1"/>
      <c r="E89" s="1">
        <f t="shared" si="6"/>
        <v>6.4697096424138438</v>
      </c>
      <c r="F89" s="1">
        <f t="shared" si="7"/>
        <v>5.86</v>
      </c>
      <c r="G89" s="1">
        <f t="shared" si="8"/>
        <v>7.1428571428571104</v>
      </c>
      <c r="H89" s="1"/>
      <c r="I89" s="1">
        <v>40.700000000000003</v>
      </c>
      <c r="J89" s="1">
        <v>5.86</v>
      </c>
      <c r="K89" s="1">
        <v>0</v>
      </c>
      <c r="L89" s="1">
        <v>0.8</v>
      </c>
      <c r="M89" s="1"/>
      <c r="N89" s="1"/>
      <c r="O89" s="1">
        <v>1</v>
      </c>
      <c r="P89" s="1">
        <v>0.5</v>
      </c>
      <c r="Q89" s="1">
        <v>0.6</v>
      </c>
      <c r="R89" s="1">
        <v>7.1428571428571104</v>
      </c>
      <c r="S89" s="1">
        <v>-81.476426799007498</v>
      </c>
      <c r="T89" s="1">
        <v>-30.425930898600601</v>
      </c>
      <c r="U89" s="1">
        <v>0</v>
      </c>
      <c r="V89" s="1">
        <v>0</v>
      </c>
      <c r="W89" s="1">
        <v>44.378999999999998</v>
      </c>
      <c r="X89" s="1">
        <v>9.0999999999999998E-2</v>
      </c>
      <c r="Y89" s="1">
        <v>1.7751600000000001</v>
      </c>
      <c r="Z89" s="1">
        <v>0.182</v>
      </c>
      <c r="AA89" s="1">
        <v>20210222</v>
      </c>
      <c r="AB89" s="1"/>
      <c r="AC89" s="1">
        <v>66.33</v>
      </c>
      <c r="AD89" s="1"/>
      <c r="AE89" s="1">
        <v>75</v>
      </c>
      <c r="AF89" s="1"/>
      <c r="AG89" s="1">
        <v>65</v>
      </c>
      <c r="AH89" s="1"/>
      <c r="AI89" s="1"/>
      <c r="AJ89" s="1">
        <v>2.10307692307692</v>
      </c>
      <c r="AK89" s="1">
        <v>2.5</v>
      </c>
      <c r="AL89" s="1">
        <v>3216</v>
      </c>
      <c r="AM89" s="1">
        <v>3211</v>
      </c>
      <c r="AN89" s="1">
        <v>18776.706999999999</v>
      </c>
      <c r="AO89" s="1">
        <v>3150</v>
      </c>
      <c r="AP89" s="1">
        <v>5</v>
      </c>
      <c r="AQ89" s="1">
        <v>0.26628737403209202</v>
      </c>
      <c r="AR89" s="1">
        <v>2.0952380952380998</v>
      </c>
      <c r="AS89" s="1">
        <v>0.209523809523811</v>
      </c>
      <c r="AT89" s="1">
        <v>3.1</v>
      </c>
      <c r="AU89" s="1"/>
      <c r="AV89" s="1" t="s">
        <v>625</v>
      </c>
      <c r="AW89" s="1" t="s">
        <v>100</v>
      </c>
      <c r="AX89" s="1" t="s">
        <v>397</v>
      </c>
      <c r="AY89" s="1" t="s">
        <v>100</v>
      </c>
      <c r="AZ89" s="1" t="s">
        <v>135</v>
      </c>
      <c r="BA89" s="1" t="s">
        <v>100</v>
      </c>
      <c r="BB89" s="1" t="s">
        <v>119</v>
      </c>
      <c r="BC89" s="1" t="s">
        <v>96</v>
      </c>
      <c r="BD89" s="1" t="s">
        <v>120</v>
      </c>
      <c r="BE89" s="1" t="s">
        <v>100</v>
      </c>
      <c r="BF89" s="1" t="s">
        <v>102</v>
      </c>
      <c r="BG89" s="1" t="s">
        <v>98</v>
      </c>
      <c r="BH89" s="1" t="s">
        <v>103</v>
      </c>
      <c r="BI89" t="s">
        <v>98</v>
      </c>
      <c r="BJ89" t="s">
        <v>491</v>
      </c>
      <c r="BK89" t="s">
        <v>98</v>
      </c>
      <c r="BL89" t="s">
        <v>463</v>
      </c>
      <c r="BM89" t="s">
        <v>100</v>
      </c>
      <c r="BN89" t="s">
        <v>177</v>
      </c>
      <c r="BO89" t="s">
        <v>98</v>
      </c>
      <c r="BP89" t="s">
        <v>169</v>
      </c>
      <c r="BQ89" t="s">
        <v>100</v>
      </c>
      <c r="BR89" t="s">
        <v>105</v>
      </c>
      <c r="BT89" t="s">
        <v>105</v>
      </c>
      <c r="BV89" t="s">
        <v>125</v>
      </c>
      <c r="BW89" t="s">
        <v>96</v>
      </c>
      <c r="BX89" t="s">
        <v>200</v>
      </c>
      <c r="BY89" t="s">
        <v>100</v>
      </c>
      <c r="BZ89" t="s">
        <v>253</v>
      </c>
      <c r="CA89" t="s">
        <v>98</v>
      </c>
      <c r="CB89" t="s">
        <v>105</v>
      </c>
      <c r="CD89">
        <v>4</v>
      </c>
      <c r="CE89" t="s">
        <v>100</v>
      </c>
      <c r="CF89">
        <v>0</v>
      </c>
      <c r="CG89" t="s">
        <v>96</v>
      </c>
      <c r="CH89">
        <v>1.1000000000000001</v>
      </c>
      <c r="CI89" t="s">
        <v>96</v>
      </c>
      <c r="CJ89" t="s">
        <v>112</v>
      </c>
      <c r="CK89" t="s">
        <v>96</v>
      </c>
      <c r="CL89" t="s">
        <v>130</v>
      </c>
      <c r="CM89" t="s">
        <v>96</v>
      </c>
      <c r="CN89">
        <v>2.75</v>
      </c>
      <c r="CO89">
        <v>0</v>
      </c>
    </row>
    <row r="90" spans="1:93" x14ac:dyDescent="0.2">
      <c r="A90" s="3">
        <v>132</v>
      </c>
      <c r="B90" s="3" t="s">
        <v>626</v>
      </c>
      <c r="C90" s="3" t="s">
        <v>627</v>
      </c>
      <c r="D90" s="1"/>
      <c r="E90" s="1">
        <f t="shared" si="6"/>
        <v>6.4450338663548994</v>
      </c>
      <c r="F90" s="1">
        <f t="shared" si="7"/>
        <v>9</v>
      </c>
      <c r="G90" s="1">
        <f t="shared" si="8"/>
        <v>4.6153846153846203</v>
      </c>
      <c r="H90" s="1"/>
      <c r="I90" s="1">
        <v>47.1</v>
      </c>
      <c r="J90" s="1">
        <v>4.58</v>
      </c>
      <c r="K90" s="1">
        <v>0</v>
      </c>
      <c r="L90" s="1">
        <v>0.7</v>
      </c>
      <c r="M90" s="1"/>
      <c r="N90" s="1"/>
      <c r="O90" s="1">
        <v>0.5</v>
      </c>
      <c r="P90" s="1">
        <v>0.4</v>
      </c>
      <c r="Q90" s="1">
        <v>0.4</v>
      </c>
      <c r="R90" s="1">
        <v>2.3809523809523698</v>
      </c>
      <c r="S90" s="1">
        <v>-5.1150895140664998</v>
      </c>
      <c r="T90" s="1">
        <v>28.464402281437</v>
      </c>
      <c r="U90" s="1">
        <v>0</v>
      </c>
      <c r="V90" s="1">
        <v>1.8976268187624601</v>
      </c>
      <c r="W90" s="1">
        <v>3.544</v>
      </c>
      <c r="X90" s="1">
        <v>7.3999999999999996E-2</v>
      </c>
      <c r="Y90" s="1">
        <v>0.141760000000001</v>
      </c>
      <c r="Z90" s="1">
        <v>0.14799999999999999</v>
      </c>
      <c r="AA90" s="1">
        <v>20210222</v>
      </c>
      <c r="AB90" s="1"/>
      <c r="AC90" s="1">
        <v>50</v>
      </c>
      <c r="AD90" s="1"/>
      <c r="AE90" s="1">
        <v>25</v>
      </c>
      <c r="AF90" s="1"/>
      <c r="AG90" s="1">
        <v>53.85</v>
      </c>
      <c r="AH90" s="1"/>
      <c r="AI90" s="1"/>
      <c r="AJ90" s="1">
        <v>4.6153846153846203</v>
      </c>
      <c r="AK90" s="1">
        <v>7.5</v>
      </c>
      <c r="AL90" s="1">
        <v>2070</v>
      </c>
      <c r="AM90" s="1">
        <v>2029</v>
      </c>
      <c r="AN90" s="1">
        <v>53771.3</v>
      </c>
      <c r="AO90" s="1">
        <v>1817</v>
      </c>
      <c r="AP90" s="1">
        <v>41</v>
      </c>
      <c r="AQ90" s="1">
        <v>0.76248853942530703</v>
      </c>
      <c r="AR90" s="1">
        <v>13.924050632911401</v>
      </c>
      <c r="AS90" s="1">
        <v>1.39240506329114</v>
      </c>
      <c r="AT90" s="1">
        <v>5.6</v>
      </c>
      <c r="AU90" s="1"/>
      <c r="AV90" s="1" t="s">
        <v>628</v>
      </c>
      <c r="AW90" s="1" t="s">
        <v>96</v>
      </c>
      <c r="AX90" s="1" t="s">
        <v>117</v>
      </c>
      <c r="AY90" s="1" t="s">
        <v>100</v>
      </c>
      <c r="AZ90" s="1" t="s">
        <v>99</v>
      </c>
      <c r="BA90" s="1" t="s">
        <v>100</v>
      </c>
      <c r="BB90" s="1" t="s">
        <v>146</v>
      </c>
      <c r="BC90" s="1" t="s">
        <v>100</v>
      </c>
      <c r="BD90" s="1" t="s">
        <v>136</v>
      </c>
      <c r="BE90" s="1" t="s">
        <v>100</v>
      </c>
      <c r="BF90" s="1" t="s">
        <v>102</v>
      </c>
      <c r="BG90" s="1" t="s">
        <v>98</v>
      </c>
      <c r="BH90" s="1" t="s">
        <v>121</v>
      </c>
      <c r="BI90" t="s">
        <v>100</v>
      </c>
      <c r="BJ90" t="s">
        <v>168</v>
      </c>
      <c r="BK90" t="s">
        <v>96</v>
      </c>
      <c r="BL90" t="s">
        <v>105</v>
      </c>
      <c r="BN90" t="s">
        <v>499</v>
      </c>
      <c r="BO90" t="s">
        <v>98</v>
      </c>
      <c r="BP90" t="s">
        <v>124</v>
      </c>
      <c r="BQ90" t="s">
        <v>96</v>
      </c>
      <c r="BR90" t="s">
        <v>629</v>
      </c>
      <c r="BS90" t="s">
        <v>98</v>
      </c>
      <c r="BT90" t="s">
        <v>105</v>
      </c>
      <c r="BV90" t="s">
        <v>125</v>
      </c>
      <c r="BW90" t="s">
        <v>96</v>
      </c>
      <c r="BX90" t="s">
        <v>126</v>
      </c>
      <c r="BY90" t="s">
        <v>100</v>
      </c>
      <c r="BZ90" t="s">
        <v>141</v>
      </c>
      <c r="CA90" t="s">
        <v>96</v>
      </c>
      <c r="CB90" t="s">
        <v>630</v>
      </c>
      <c r="CC90" t="s">
        <v>98</v>
      </c>
      <c r="CD90">
        <v>0</v>
      </c>
      <c r="CE90" t="s">
        <v>96</v>
      </c>
      <c r="CF90">
        <v>0</v>
      </c>
      <c r="CG90" t="s">
        <v>96</v>
      </c>
      <c r="CH90">
        <v>5.3</v>
      </c>
      <c r="CI90" t="s">
        <v>100</v>
      </c>
      <c r="CJ90" t="s">
        <v>112</v>
      </c>
      <c r="CK90" t="s">
        <v>96</v>
      </c>
      <c r="CL90" t="s">
        <v>100</v>
      </c>
      <c r="CM90" t="s">
        <v>100</v>
      </c>
      <c r="CN90">
        <v>9</v>
      </c>
      <c r="CO90">
        <v>0</v>
      </c>
    </row>
    <row r="91" spans="1:93" x14ac:dyDescent="0.2">
      <c r="A91" s="3">
        <v>133</v>
      </c>
      <c r="B91" s="3" t="s">
        <v>631</v>
      </c>
      <c r="C91" s="3" t="s">
        <v>632</v>
      </c>
      <c r="D91" s="1"/>
      <c r="E91" s="1">
        <f t="shared" si="6"/>
        <v>5.5467246052200805</v>
      </c>
      <c r="F91" s="1">
        <f t="shared" si="7"/>
        <v>4.5</v>
      </c>
      <c r="G91" s="1">
        <f t="shared" si="8"/>
        <v>6.83692307692308</v>
      </c>
      <c r="H91" s="1"/>
      <c r="I91" s="1">
        <v>49.3</v>
      </c>
      <c r="J91" s="1">
        <v>4.1399999999999997</v>
      </c>
      <c r="K91" s="1"/>
      <c r="L91" s="1"/>
      <c r="M91" s="1"/>
      <c r="N91" s="1"/>
      <c r="O91" s="1"/>
      <c r="P91" s="1"/>
      <c r="Q91" s="1"/>
      <c r="R91" s="1"/>
      <c r="S91" s="1">
        <v>0.280286515104333</v>
      </c>
      <c r="T91" s="1">
        <v>-15.9078477165795</v>
      </c>
      <c r="U91" s="1">
        <v>1.8685767673623802E-2</v>
      </c>
      <c r="V91" s="1">
        <v>0</v>
      </c>
      <c r="W91" s="1">
        <v>9.9410000000000007</v>
      </c>
      <c r="X91" s="1">
        <v>0.35</v>
      </c>
      <c r="Y91" s="1">
        <v>0.39764000000000099</v>
      </c>
      <c r="Z91" s="1">
        <v>0.69999999999999896</v>
      </c>
      <c r="AA91" s="1">
        <v>20210222</v>
      </c>
      <c r="AB91" s="1"/>
      <c r="AC91" s="1">
        <v>35.56</v>
      </c>
      <c r="AD91" s="1"/>
      <c r="AE91" s="1">
        <v>25</v>
      </c>
      <c r="AF91" s="1"/>
      <c r="AG91" s="1">
        <v>37.18</v>
      </c>
      <c r="AH91" s="1"/>
      <c r="AI91" s="1"/>
      <c r="AJ91" s="1">
        <v>6.83692307692308</v>
      </c>
      <c r="AK91" s="1">
        <v>7.5</v>
      </c>
      <c r="AL91" s="1">
        <v>1538</v>
      </c>
      <c r="AM91" s="1">
        <v>1529</v>
      </c>
      <c r="AN91" s="1">
        <v>6524.1909999999998</v>
      </c>
      <c r="AO91" s="1">
        <v>1452</v>
      </c>
      <c r="AP91" s="1">
        <v>9</v>
      </c>
      <c r="AQ91" s="1">
        <v>1.3794813793771501</v>
      </c>
      <c r="AR91" s="1">
        <v>5.9228650137740999</v>
      </c>
      <c r="AS91" s="1">
        <v>0.59228650137741001</v>
      </c>
      <c r="AT91" s="1">
        <v>3.8</v>
      </c>
      <c r="AU91" s="1"/>
      <c r="AV91" s="1" t="s">
        <v>633</v>
      </c>
      <c r="AW91" s="1" t="s">
        <v>96</v>
      </c>
      <c r="AX91" s="1" t="s">
        <v>634</v>
      </c>
      <c r="AY91" s="1" t="s">
        <v>100</v>
      </c>
      <c r="AZ91" s="1" t="s">
        <v>118</v>
      </c>
      <c r="BA91" s="1" t="s">
        <v>100</v>
      </c>
      <c r="BB91" s="1" t="s">
        <v>101</v>
      </c>
      <c r="BC91" s="1" t="s">
        <v>98</v>
      </c>
      <c r="BD91" s="1" t="s">
        <v>120</v>
      </c>
      <c r="BE91" s="1" t="s">
        <v>100</v>
      </c>
      <c r="BF91" s="1" t="s">
        <v>102</v>
      </c>
      <c r="BG91" s="1" t="s">
        <v>98</v>
      </c>
      <c r="BH91" s="1" t="s">
        <v>121</v>
      </c>
      <c r="BI91" t="s">
        <v>100</v>
      </c>
      <c r="BJ91" t="s">
        <v>635</v>
      </c>
      <c r="BK91" t="s">
        <v>98</v>
      </c>
      <c r="BL91" t="s">
        <v>636</v>
      </c>
      <c r="BM91" t="s">
        <v>100</v>
      </c>
      <c r="BN91" t="s">
        <v>272</v>
      </c>
      <c r="BO91" t="s">
        <v>98</v>
      </c>
      <c r="BP91" t="s">
        <v>169</v>
      </c>
      <c r="BQ91" t="s">
        <v>100</v>
      </c>
      <c r="BR91" t="s">
        <v>105</v>
      </c>
      <c r="BT91" t="s">
        <v>105</v>
      </c>
      <c r="BV91" t="s">
        <v>125</v>
      </c>
      <c r="BW91" t="s">
        <v>96</v>
      </c>
      <c r="BX91" t="s">
        <v>126</v>
      </c>
      <c r="BY91" t="s">
        <v>100</v>
      </c>
      <c r="BZ91" t="s">
        <v>127</v>
      </c>
      <c r="CA91" t="s">
        <v>100</v>
      </c>
      <c r="CB91" t="s">
        <v>105</v>
      </c>
      <c r="CD91">
        <v>0</v>
      </c>
      <c r="CE91" t="s">
        <v>96</v>
      </c>
      <c r="CF91">
        <v>0</v>
      </c>
      <c r="CG91" t="s">
        <v>96</v>
      </c>
      <c r="CH91">
        <v>3.1</v>
      </c>
      <c r="CI91" t="s">
        <v>100</v>
      </c>
      <c r="CJ91" t="s">
        <v>112</v>
      </c>
      <c r="CK91" t="s">
        <v>96</v>
      </c>
      <c r="CL91" t="s">
        <v>130</v>
      </c>
      <c r="CM91" t="s">
        <v>96</v>
      </c>
      <c r="CN91">
        <v>4.5</v>
      </c>
      <c r="CO91">
        <v>0</v>
      </c>
    </row>
    <row r="92" spans="1:93" x14ac:dyDescent="0.2">
      <c r="A92" s="3">
        <v>134</v>
      </c>
      <c r="B92" s="3" t="s">
        <v>637</v>
      </c>
      <c r="C92" s="3" t="s">
        <v>638</v>
      </c>
      <c r="D92" s="1"/>
      <c r="E92" s="1">
        <f t="shared" si="6"/>
        <v>7.1962291712892279</v>
      </c>
      <c r="F92" s="1">
        <f t="shared" si="7"/>
        <v>7.25</v>
      </c>
      <c r="G92" s="1">
        <f t="shared" si="8"/>
        <v>7.1428571428571104</v>
      </c>
      <c r="H92" s="1"/>
      <c r="I92" s="1">
        <v>39.200000000000003</v>
      </c>
      <c r="J92" s="1">
        <v>6.16</v>
      </c>
      <c r="K92" s="1">
        <v>1</v>
      </c>
      <c r="L92" s="1">
        <v>0.2</v>
      </c>
      <c r="M92" s="1"/>
      <c r="N92" s="1"/>
      <c r="O92" s="1">
        <v>0.5</v>
      </c>
      <c r="P92" s="1">
        <v>0.8</v>
      </c>
      <c r="Q92" s="1">
        <v>0.6</v>
      </c>
      <c r="R92" s="1">
        <v>7.1428571428571104</v>
      </c>
      <c r="S92" s="1"/>
      <c r="T92" s="1"/>
      <c r="U92" s="1"/>
      <c r="V92" s="1"/>
      <c r="W92" s="1">
        <v>0.76</v>
      </c>
      <c r="X92" s="1">
        <v>0</v>
      </c>
      <c r="Y92" s="1">
        <v>3.0400000000000201E-2</v>
      </c>
      <c r="Z92" s="1">
        <v>0</v>
      </c>
      <c r="AA92" s="1">
        <v>20210222</v>
      </c>
      <c r="AB92" s="1"/>
      <c r="AC92" s="1">
        <v>44.67</v>
      </c>
      <c r="AD92" s="1"/>
      <c r="AE92" s="1">
        <v>0</v>
      </c>
      <c r="AF92" s="1"/>
      <c r="AG92" s="1">
        <v>51.54</v>
      </c>
      <c r="AH92" s="1"/>
      <c r="AI92" s="1"/>
      <c r="AJ92" s="1">
        <v>5.4353846153846197</v>
      </c>
      <c r="AK92" s="1">
        <v>10</v>
      </c>
      <c r="AL92" s="1">
        <v>0</v>
      </c>
      <c r="AM92" s="1">
        <v>0</v>
      </c>
      <c r="AN92" s="1">
        <v>16718.971000000001</v>
      </c>
      <c r="AO92" s="1">
        <v>0</v>
      </c>
      <c r="AP92" s="1">
        <v>0</v>
      </c>
      <c r="AQ92" s="1">
        <v>0</v>
      </c>
      <c r="AR92" s="1"/>
      <c r="AS92" s="1"/>
      <c r="AT92" s="1">
        <v>4.9000000000000004</v>
      </c>
      <c r="AU92" s="1"/>
      <c r="AV92" s="1" t="s">
        <v>333</v>
      </c>
      <c r="AW92" s="1" t="s">
        <v>96</v>
      </c>
      <c r="AX92" s="1" t="s">
        <v>639</v>
      </c>
      <c r="AY92" s="1" t="s">
        <v>100</v>
      </c>
      <c r="AZ92" s="1" t="s">
        <v>118</v>
      </c>
      <c r="BA92" s="1" t="s">
        <v>100</v>
      </c>
      <c r="BB92" s="1" t="s">
        <v>101</v>
      </c>
      <c r="BC92" s="1" t="s">
        <v>98</v>
      </c>
      <c r="BD92" s="1" t="s">
        <v>120</v>
      </c>
      <c r="BE92" s="1" t="s">
        <v>100</v>
      </c>
      <c r="BF92" s="1" t="s">
        <v>102</v>
      </c>
      <c r="BG92" s="1" t="s">
        <v>98</v>
      </c>
      <c r="BH92" s="1" t="s">
        <v>103</v>
      </c>
      <c r="BI92" t="s">
        <v>98</v>
      </c>
      <c r="BJ92" t="s">
        <v>347</v>
      </c>
      <c r="BK92" t="s">
        <v>98</v>
      </c>
      <c r="BL92" t="s">
        <v>105</v>
      </c>
      <c r="BN92" t="s">
        <v>213</v>
      </c>
      <c r="BO92" t="s">
        <v>96</v>
      </c>
      <c r="BP92" t="s">
        <v>124</v>
      </c>
      <c r="BQ92" t="s">
        <v>96</v>
      </c>
      <c r="BR92" t="s">
        <v>105</v>
      </c>
      <c r="BT92" t="s">
        <v>105</v>
      </c>
      <c r="BV92" t="s">
        <v>125</v>
      </c>
      <c r="BW92" t="s">
        <v>96</v>
      </c>
      <c r="BX92" t="s">
        <v>200</v>
      </c>
      <c r="BY92" t="s">
        <v>100</v>
      </c>
      <c r="BZ92" t="s">
        <v>127</v>
      </c>
      <c r="CA92" t="s">
        <v>100</v>
      </c>
      <c r="CB92" t="s">
        <v>105</v>
      </c>
      <c r="CD92">
        <v>0</v>
      </c>
      <c r="CE92" t="s">
        <v>96</v>
      </c>
      <c r="CF92">
        <v>0.1</v>
      </c>
      <c r="CG92" t="s">
        <v>96</v>
      </c>
      <c r="CH92">
        <v>3.9</v>
      </c>
      <c r="CI92" t="s">
        <v>100</v>
      </c>
      <c r="CJ92" t="s">
        <v>112</v>
      </c>
      <c r="CK92" t="s">
        <v>96</v>
      </c>
      <c r="CL92" t="s">
        <v>130</v>
      </c>
      <c r="CM92" t="s">
        <v>96</v>
      </c>
      <c r="CN92">
        <v>7.25</v>
      </c>
      <c r="CO92">
        <v>0</v>
      </c>
    </row>
    <row r="93" spans="1:93" x14ac:dyDescent="0.2">
      <c r="A93" s="3">
        <v>135</v>
      </c>
      <c r="B93" s="3" t="s">
        <v>640</v>
      </c>
      <c r="C93" s="3" t="s">
        <v>641</v>
      </c>
      <c r="D93" s="1"/>
      <c r="E93" s="1">
        <f t="shared" si="6"/>
        <v>9.9568298940205615</v>
      </c>
      <c r="F93" s="1">
        <f t="shared" si="7"/>
        <v>10</v>
      </c>
      <c r="G93" s="1">
        <f t="shared" si="8"/>
        <v>9.9138461538461495</v>
      </c>
      <c r="H93" s="1"/>
      <c r="I93" s="1">
        <v>19.2</v>
      </c>
      <c r="J93" s="1">
        <v>10</v>
      </c>
      <c r="K93" s="1"/>
      <c r="L93" s="1"/>
      <c r="M93" s="1"/>
      <c r="N93" s="1"/>
      <c r="O93" s="1"/>
      <c r="P93" s="1"/>
      <c r="Q93" s="1"/>
      <c r="R93" s="1"/>
      <c r="S93" s="1"/>
      <c r="T93" s="1"/>
      <c r="U93" s="1"/>
      <c r="V93" s="1"/>
      <c r="W93" s="1"/>
      <c r="X93" s="1"/>
      <c r="Y93" s="1"/>
      <c r="Z93" s="1"/>
      <c r="AA93" s="1">
        <v>20210222</v>
      </c>
      <c r="AB93" s="1">
        <v>15.56</v>
      </c>
      <c r="AC93" s="1">
        <v>15.56</v>
      </c>
      <c r="AD93" s="1">
        <v>0</v>
      </c>
      <c r="AE93" s="1">
        <v>0</v>
      </c>
      <c r="AF93" s="1">
        <v>17.95</v>
      </c>
      <c r="AG93" s="1">
        <v>17.95</v>
      </c>
      <c r="AH93" s="1">
        <v>0</v>
      </c>
      <c r="AI93" s="1"/>
      <c r="AJ93" s="1">
        <v>9.9138461538461495</v>
      </c>
      <c r="AK93" s="1">
        <v>10</v>
      </c>
      <c r="AL93" s="1"/>
      <c r="AM93" s="1"/>
      <c r="AN93" s="1"/>
      <c r="AO93" s="1"/>
      <c r="AP93" s="1"/>
      <c r="AQ93" s="1"/>
      <c r="AR93" s="1"/>
      <c r="AS93" s="1"/>
      <c r="AT93" s="1">
        <v>5.9</v>
      </c>
      <c r="AU93" s="1"/>
      <c r="AV93" s="1" t="s">
        <v>105</v>
      </c>
      <c r="AW93" s="1"/>
      <c r="AX93" s="1" t="s">
        <v>105</v>
      </c>
      <c r="AY93" s="1"/>
      <c r="AZ93" s="1" t="s">
        <v>105</v>
      </c>
      <c r="BA93" s="1"/>
      <c r="BB93" s="1" t="s">
        <v>105</v>
      </c>
      <c r="BC93" s="1"/>
      <c r="BD93" s="1" t="s">
        <v>105</v>
      </c>
      <c r="BE93" s="1"/>
      <c r="BF93" s="1" t="s">
        <v>105</v>
      </c>
      <c r="BG93" s="1"/>
      <c r="BH93" s="1" t="s">
        <v>105</v>
      </c>
      <c r="BJ93" t="s">
        <v>642</v>
      </c>
      <c r="BK93" t="s">
        <v>98</v>
      </c>
      <c r="BL93" t="s">
        <v>105</v>
      </c>
      <c r="BN93" t="s">
        <v>643</v>
      </c>
      <c r="BO93" t="s">
        <v>96</v>
      </c>
      <c r="BP93" t="s">
        <v>124</v>
      </c>
      <c r="BQ93" t="s">
        <v>96</v>
      </c>
      <c r="BR93" t="s">
        <v>105</v>
      </c>
      <c r="BT93" t="s">
        <v>105</v>
      </c>
      <c r="BV93" t="s">
        <v>105</v>
      </c>
      <c r="BX93" t="s">
        <v>105</v>
      </c>
      <c r="BZ93" t="s">
        <v>105</v>
      </c>
      <c r="CB93" t="s">
        <v>105</v>
      </c>
      <c r="CD93">
        <v>0.1</v>
      </c>
      <c r="CE93" t="s">
        <v>96</v>
      </c>
      <c r="CF93">
        <v>0</v>
      </c>
      <c r="CG93" t="s">
        <v>96</v>
      </c>
      <c r="CH93">
        <v>3.8</v>
      </c>
      <c r="CI93" t="s">
        <v>100</v>
      </c>
      <c r="CJ93" t="s">
        <v>105</v>
      </c>
      <c r="CL93" t="s">
        <v>130</v>
      </c>
      <c r="CM93" t="s">
        <v>96</v>
      </c>
      <c r="CN93">
        <v>9.75</v>
      </c>
      <c r="CO93">
        <v>0</v>
      </c>
    </row>
    <row r="94" spans="1:93" x14ac:dyDescent="0.2">
      <c r="A94" s="3">
        <v>136</v>
      </c>
      <c r="B94" s="3" t="s">
        <v>644</v>
      </c>
      <c r="C94" s="3" t="s">
        <v>645</v>
      </c>
      <c r="D94" s="1"/>
      <c r="E94" s="1">
        <f t="shared" si="6"/>
        <v>8.76</v>
      </c>
      <c r="F94" s="1">
        <f t="shared" si="7"/>
        <v>8.76</v>
      </c>
      <c r="G94" s="1">
        <f t="shared" si="8"/>
        <v>0</v>
      </c>
      <c r="H94" s="1"/>
      <c r="I94" s="1">
        <v>26.2</v>
      </c>
      <c r="J94" s="1">
        <v>8.76</v>
      </c>
      <c r="K94" s="1"/>
      <c r="L94" s="1"/>
      <c r="M94" s="1"/>
      <c r="N94" s="1"/>
      <c r="O94" s="1"/>
      <c r="P94" s="1"/>
      <c r="Q94" s="1"/>
      <c r="R94" s="1"/>
      <c r="S94" s="1"/>
      <c r="T94" s="1"/>
      <c r="U94" s="1"/>
      <c r="V94" s="1"/>
      <c r="W94" s="1">
        <v>0</v>
      </c>
      <c r="X94" s="1">
        <v>0</v>
      </c>
      <c r="Y94" s="1">
        <v>0</v>
      </c>
      <c r="Z94" s="1">
        <v>0</v>
      </c>
      <c r="AA94" s="1"/>
      <c r="AB94" s="1"/>
      <c r="AC94" s="1"/>
      <c r="AD94" s="1"/>
      <c r="AE94" s="1"/>
      <c r="AF94" s="1"/>
      <c r="AG94" s="1"/>
      <c r="AH94" s="1"/>
      <c r="AI94" s="1"/>
      <c r="AJ94" s="1"/>
      <c r="AK94" s="1"/>
      <c r="AL94" s="1">
        <v>0</v>
      </c>
      <c r="AM94" s="1">
        <v>0</v>
      </c>
      <c r="AN94" s="1"/>
      <c r="AO94" s="1">
        <v>0</v>
      </c>
      <c r="AP94" s="1">
        <v>0</v>
      </c>
      <c r="AQ94" s="1"/>
      <c r="AR94" s="1"/>
      <c r="AS94" s="1"/>
      <c r="AT94" s="1">
        <v>3.3</v>
      </c>
      <c r="AU94" s="1"/>
      <c r="AV94" s="1" t="s">
        <v>646</v>
      </c>
      <c r="AW94" s="1" t="s">
        <v>96</v>
      </c>
      <c r="AX94" s="1" t="s">
        <v>105</v>
      </c>
      <c r="AY94" s="1"/>
      <c r="AZ94" s="1" t="s">
        <v>105</v>
      </c>
      <c r="BA94" s="1"/>
      <c r="BB94" s="1" t="s">
        <v>105</v>
      </c>
      <c r="BC94" s="1"/>
      <c r="BD94" s="1" t="s">
        <v>105</v>
      </c>
      <c r="BE94" s="1"/>
      <c r="BF94" s="1" t="s">
        <v>105</v>
      </c>
      <c r="BG94" s="1"/>
      <c r="BH94" s="1" t="s">
        <v>105</v>
      </c>
      <c r="BJ94" t="s">
        <v>647</v>
      </c>
      <c r="BK94" t="s">
        <v>98</v>
      </c>
      <c r="BL94" t="s">
        <v>105</v>
      </c>
      <c r="BN94" t="s">
        <v>178</v>
      </c>
      <c r="BO94" t="s">
        <v>96</v>
      </c>
      <c r="BP94" t="s">
        <v>124</v>
      </c>
      <c r="BQ94" t="s">
        <v>96</v>
      </c>
      <c r="BR94" t="s">
        <v>105</v>
      </c>
      <c r="BT94" t="s">
        <v>105</v>
      </c>
      <c r="BV94" t="s">
        <v>105</v>
      </c>
      <c r="BX94" t="s">
        <v>105</v>
      </c>
      <c r="BZ94" t="s">
        <v>105</v>
      </c>
      <c r="CB94" t="s">
        <v>105</v>
      </c>
      <c r="CD94">
        <v>0.1</v>
      </c>
      <c r="CE94" t="s">
        <v>96</v>
      </c>
      <c r="CF94">
        <v>0</v>
      </c>
      <c r="CG94" t="s">
        <v>96</v>
      </c>
      <c r="CH94">
        <v>0</v>
      </c>
      <c r="CI94" t="s">
        <v>96</v>
      </c>
      <c r="CJ94" t="s">
        <v>105</v>
      </c>
      <c r="CL94" t="s">
        <v>130</v>
      </c>
      <c r="CM94" t="s">
        <v>96</v>
      </c>
      <c r="CN94">
        <v>3.25</v>
      </c>
      <c r="CO94">
        <v>0</v>
      </c>
    </row>
    <row r="95" spans="1:93" x14ac:dyDescent="0.2">
      <c r="A95" s="3">
        <v>137</v>
      </c>
      <c r="B95" s="3" t="s">
        <v>648</v>
      </c>
      <c r="C95" s="3" t="s">
        <v>649</v>
      </c>
      <c r="D95" s="1"/>
      <c r="E95" s="1">
        <f t="shared" si="6"/>
        <v>5.3908754819174316</v>
      </c>
      <c r="F95" s="1">
        <f t="shared" si="7"/>
        <v>10</v>
      </c>
      <c r="G95" s="1">
        <f t="shared" si="8"/>
        <v>2.9061538461538499</v>
      </c>
      <c r="H95" s="1"/>
      <c r="I95" s="1">
        <v>17.5</v>
      </c>
      <c r="J95" s="1">
        <v>10</v>
      </c>
      <c r="K95" s="1"/>
      <c r="L95" s="1"/>
      <c r="M95" s="1"/>
      <c r="N95" s="1"/>
      <c r="O95" s="1"/>
      <c r="P95" s="1"/>
      <c r="Q95" s="1"/>
      <c r="R95" s="1"/>
      <c r="S95" s="1">
        <v>-22.395999574422799</v>
      </c>
      <c r="T95" s="1">
        <v>12.010349921223099</v>
      </c>
      <c r="U95" s="1">
        <v>0</v>
      </c>
      <c r="V95" s="1">
        <v>0.80068999474820801</v>
      </c>
      <c r="W95" s="1">
        <v>9.6270000000000007</v>
      </c>
      <c r="X95" s="1">
        <v>9.8000000000000004E-2</v>
      </c>
      <c r="Y95" s="1">
        <v>0.38507999999999998</v>
      </c>
      <c r="Z95" s="1">
        <v>0.19600000000000001</v>
      </c>
      <c r="AA95" s="1">
        <v>20210222</v>
      </c>
      <c r="AB95" s="1"/>
      <c r="AC95" s="1">
        <v>61.11</v>
      </c>
      <c r="AD95" s="1"/>
      <c r="AE95" s="1">
        <v>50</v>
      </c>
      <c r="AF95" s="1"/>
      <c r="AG95" s="1">
        <v>62.82</v>
      </c>
      <c r="AH95" s="1"/>
      <c r="AI95" s="1"/>
      <c r="AJ95" s="1">
        <v>2.9061538461538499</v>
      </c>
      <c r="AK95" s="1">
        <v>5</v>
      </c>
      <c r="AL95" s="1">
        <v>1881</v>
      </c>
      <c r="AM95" s="1">
        <v>1835</v>
      </c>
      <c r="AN95" s="1">
        <v>51269.182999999997</v>
      </c>
      <c r="AO95" s="1">
        <v>1557</v>
      </c>
      <c r="AP95" s="1">
        <v>46</v>
      </c>
      <c r="AQ95" s="1">
        <v>0.89722514205073201</v>
      </c>
      <c r="AR95" s="1">
        <v>20.8092485549133</v>
      </c>
      <c r="AS95" s="1">
        <v>2.0809248554913302</v>
      </c>
      <c r="AT95" s="1">
        <v>2.9</v>
      </c>
      <c r="AU95" s="1"/>
      <c r="AV95" s="1" t="s">
        <v>418</v>
      </c>
      <c r="AW95" s="1" t="s">
        <v>96</v>
      </c>
      <c r="AX95" s="1" t="s">
        <v>386</v>
      </c>
      <c r="AY95" s="1" t="s">
        <v>100</v>
      </c>
      <c r="AZ95" s="1" t="s">
        <v>135</v>
      </c>
      <c r="BA95" s="1" t="s">
        <v>100</v>
      </c>
      <c r="BB95" s="1" t="s">
        <v>146</v>
      </c>
      <c r="BC95" s="1" t="s">
        <v>100</v>
      </c>
      <c r="BD95" s="1" t="s">
        <v>120</v>
      </c>
      <c r="BE95" s="1" t="s">
        <v>100</v>
      </c>
      <c r="BF95" s="1" t="s">
        <v>137</v>
      </c>
      <c r="BG95" s="1" t="s">
        <v>100</v>
      </c>
      <c r="BH95" s="1" t="s">
        <v>121</v>
      </c>
      <c r="BI95" t="s">
        <v>100</v>
      </c>
      <c r="BJ95" t="s">
        <v>650</v>
      </c>
      <c r="BK95" t="s">
        <v>98</v>
      </c>
      <c r="BL95" t="s">
        <v>651</v>
      </c>
      <c r="BM95" t="s">
        <v>96</v>
      </c>
      <c r="BN95" t="s">
        <v>411</v>
      </c>
      <c r="BO95" t="s">
        <v>96</v>
      </c>
      <c r="BP95" t="s">
        <v>107</v>
      </c>
      <c r="BQ95" t="s">
        <v>96</v>
      </c>
      <c r="BR95" t="s">
        <v>105</v>
      </c>
      <c r="BT95" t="s">
        <v>652</v>
      </c>
      <c r="BU95" t="s">
        <v>98</v>
      </c>
      <c r="BV95" t="s">
        <v>125</v>
      </c>
      <c r="BW95" t="s">
        <v>96</v>
      </c>
      <c r="BX95" t="s">
        <v>110</v>
      </c>
      <c r="BY95" t="s">
        <v>96</v>
      </c>
      <c r="BZ95" t="s">
        <v>141</v>
      </c>
      <c r="CA95" t="s">
        <v>96</v>
      </c>
      <c r="CB95" t="s">
        <v>105</v>
      </c>
      <c r="CD95">
        <v>0</v>
      </c>
      <c r="CE95" t="s">
        <v>96</v>
      </c>
      <c r="CF95">
        <v>0.2</v>
      </c>
      <c r="CG95" t="s">
        <v>96</v>
      </c>
      <c r="CH95">
        <v>0.3</v>
      </c>
      <c r="CI95" t="s">
        <v>96</v>
      </c>
      <c r="CJ95" t="s">
        <v>105</v>
      </c>
      <c r="CL95" t="s">
        <v>130</v>
      </c>
      <c r="CM95" t="s">
        <v>96</v>
      </c>
      <c r="CN95">
        <v>2.25</v>
      </c>
      <c r="CO95">
        <v>0</v>
      </c>
    </row>
    <row r="96" spans="1:93" x14ac:dyDescent="0.2">
      <c r="A96" s="3">
        <v>138</v>
      </c>
      <c r="B96" s="3" t="s">
        <v>653</v>
      </c>
      <c r="C96" s="3" t="s">
        <v>654</v>
      </c>
      <c r="D96" s="1"/>
      <c r="E96" s="1">
        <f t="shared" si="6"/>
        <v>6.9137544069774419</v>
      </c>
      <c r="F96" s="1">
        <f t="shared" si="7"/>
        <v>4.78</v>
      </c>
      <c r="G96" s="1">
        <f t="shared" si="8"/>
        <v>10</v>
      </c>
      <c r="H96" s="1"/>
      <c r="I96" s="1">
        <v>46.1</v>
      </c>
      <c r="J96" s="1">
        <v>4.78</v>
      </c>
      <c r="K96" s="1">
        <v>0</v>
      </c>
      <c r="L96" s="1">
        <v>0.6</v>
      </c>
      <c r="M96" s="1"/>
      <c r="N96" s="1"/>
      <c r="O96" s="1">
        <v>1</v>
      </c>
      <c r="P96" s="1">
        <v>0.6</v>
      </c>
      <c r="Q96" s="1">
        <v>0.5</v>
      </c>
      <c r="R96" s="1">
        <v>4.7619047619047397</v>
      </c>
      <c r="S96" s="1">
        <v>438.86039886039902</v>
      </c>
      <c r="T96" s="1">
        <v>27.498021879909999</v>
      </c>
      <c r="U96" s="1">
        <v>10</v>
      </c>
      <c r="V96" s="1">
        <v>1.83320145866067</v>
      </c>
      <c r="W96" s="1">
        <v>213.72200000000001</v>
      </c>
      <c r="X96" s="1">
        <v>1.3720000000000001</v>
      </c>
      <c r="Y96" s="1">
        <v>8.5488800000000005</v>
      </c>
      <c r="Z96" s="1">
        <v>2.7440000000000002</v>
      </c>
      <c r="AA96" s="1">
        <v>20210222</v>
      </c>
      <c r="AB96" s="1"/>
      <c r="AC96" s="1">
        <v>70.67</v>
      </c>
      <c r="AD96" s="1"/>
      <c r="AE96" s="1">
        <v>37.5</v>
      </c>
      <c r="AF96" s="1"/>
      <c r="AG96" s="1">
        <v>75.77</v>
      </c>
      <c r="AH96" s="1"/>
      <c r="AI96" s="1"/>
      <c r="AJ96" s="1">
        <v>1.4353846153846199</v>
      </c>
      <c r="AK96" s="1">
        <v>6.25</v>
      </c>
      <c r="AL96" s="1">
        <v>1404</v>
      </c>
      <c r="AM96" s="1">
        <v>1365</v>
      </c>
      <c r="AN96" s="1">
        <v>4270.5630000000001</v>
      </c>
      <c r="AO96" s="1">
        <v>1039</v>
      </c>
      <c r="AP96" s="1">
        <v>39</v>
      </c>
      <c r="AQ96" s="1">
        <v>9.1322853684631298</v>
      </c>
      <c r="AR96" s="1">
        <v>35.1299326275265</v>
      </c>
      <c r="AS96" s="1">
        <v>3.5129932627526501</v>
      </c>
      <c r="AT96" s="1">
        <v>3.9</v>
      </c>
      <c r="AU96" s="1"/>
      <c r="AV96" s="1" t="s">
        <v>655</v>
      </c>
      <c r="AW96" s="1" t="s">
        <v>98</v>
      </c>
      <c r="AX96" s="1" t="s">
        <v>656</v>
      </c>
      <c r="AY96" s="1" t="s">
        <v>100</v>
      </c>
      <c r="AZ96" s="1" t="s">
        <v>118</v>
      </c>
      <c r="BA96" s="1" t="s">
        <v>100</v>
      </c>
      <c r="BB96" s="1" t="s">
        <v>146</v>
      </c>
      <c r="BC96" s="1" t="s">
        <v>100</v>
      </c>
      <c r="BD96" s="1" t="s">
        <v>120</v>
      </c>
      <c r="BE96" s="1" t="s">
        <v>100</v>
      </c>
      <c r="BF96" s="1" t="s">
        <v>137</v>
      </c>
      <c r="BG96" s="1" t="s">
        <v>100</v>
      </c>
      <c r="BH96" s="1" t="s">
        <v>121</v>
      </c>
      <c r="BI96" t="s">
        <v>100</v>
      </c>
      <c r="BJ96" t="s">
        <v>657</v>
      </c>
      <c r="BK96" t="s">
        <v>98</v>
      </c>
      <c r="BL96" t="s">
        <v>105</v>
      </c>
      <c r="BN96" t="s">
        <v>168</v>
      </c>
      <c r="BO96" t="s">
        <v>96</v>
      </c>
      <c r="BP96" t="s">
        <v>107</v>
      </c>
      <c r="BQ96" t="s">
        <v>96</v>
      </c>
      <c r="BR96" t="s">
        <v>105</v>
      </c>
      <c r="BT96" t="s">
        <v>105</v>
      </c>
      <c r="BV96" t="s">
        <v>125</v>
      </c>
      <c r="BW96" t="s">
        <v>96</v>
      </c>
      <c r="BX96" t="s">
        <v>110</v>
      </c>
      <c r="BY96" t="s">
        <v>96</v>
      </c>
      <c r="BZ96" t="s">
        <v>141</v>
      </c>
      <c r="CA96" t="s">
        <v>96</v>
      </c>
      <c r="CB96" t="s">
        <v>105</v>
      </c>
      <c r="CD96">
        <v>0</v>
      </c>
      <c r="CE96" t="s">
        <v>96</v>
      </c>
      <c r="CF96">
        <v>0</v>
      </c>
      <c r="CG96" t="s">
        <v>96</v>
      </c>
      <c r="CH96">
        <v>0</v>
      </c>
      <c r="CI96" t="s">
        <v>96</v>
      </c>
      <c r="CJ96" t="s">
        <v>105</v>
      </c>
      <c r="CL96" t="s">
        <v>130</v>
      </c>
      <c r="CM96" t="s">
        <v>96</v>
      </c>
      <c r="CN96">
        <v>4.75</v>
      </c>
      <c r="CO96">
        <v>0</v>
      </c>
    </row>
    <row r="97" spans="1:93" x14ac:dyDescent="0.2">
      <c r="A97" s="3">
        <v>139</v>
      </c>
      <c r="B97" s="3" t="s">
        <v>658</v>
      </c>
      <c r="C97" s="3" t="s">
        <v>659</v>
      </c>
      <c r="D97" s="1"/>
      <c r="E97" s="1">
        <f t="shared" si="6"/>
        <v>8.0622577482985491</v>
      </c>
      <c r="F97" s="1">
        <f t="shared" si="7"/>
        <v>6.5</v>
      </c>
      <c r="G97" s="1">
        <f t="shared" si="8"/>
        <v>10</v>
      </c>
      <c r="H97" s="1"/>
      <c r="I97" s="1">
        <v>43.1</v>
      </c>
      <c r="J97" s="1">
        <v>5.38</v>
      </c>
      <c r="K97" s="1"/>
      <c r="L97" s="1"/>
      <c r="M97" s="1"/>
      <c r="N97" s="1"/>
      <c r="O97" s="1"/>
      <c r="P97" s="1"/>
      <c r="Q97" s="1"/>
      <c r="R97" s="1"/>
      <c r="S97" s="1"/>
      <c r="T97" s="1"/>
      <c r="U97" s="1"/>
      <c r="V97" s="1"/>
      <c r="W97" s="1">
        <v>0</v>
      </c>
      <c r="X97" s="1">
        <v>0</v>
      </c>
      <c r="Y97" s="1">
        <v>0</v>
      </c>
      <c r="Z97" s="1">
        <v>0</v>
      </c>
      <c r="AA97" s="1">
        <v>20210222</v>
      </c>
      <c r="AB97" s="1">
        <v>40.78</v>
      </c>
      <c r="AC97" s="1">
        <v>40.78</v>
      </c>
      <c r="AD97" s="1">
        <v>87.5</v>
      </c>
      <c r="AE97" s="1">
        <v>87.5</v>
      </c>
      <c r="AF97" s="1">
        <v>33.590000000000003</v>
      </c>
      <c r="AG97" s="1">
        <v>33.590000000000003</v>
      </c>
      <c r="AH97" s="1">
        <v>2</v>
      </c>
      <c r="AI97" s="1">
        <v>0</v>
      </c>
      <c r="AJ97" s="1">
        <v>6.0338461538461496</v>
      </c>
      <c r="AK97" s="1">
        <v>1.25</v>
      </c>
      <c r="AL97" s="1">
        <v>0</v>
      </c>
      <c r="AM97" s="1">
        <v>0</v>
      </c>
      <c r="AN97" s="1">
        <v>7275.5559999999996</v>
      </c>
      <c r="AO97" s="1">
        <v>0</v>
      </c>
      <c r="AP97" s="1">
        <v>0</v>
      </c>
      <c r="AQ97" s="1">
        <v>0</v>
      </c>
      <c r="AR97" s="1"/>
      <c r="AS97" s="1"/>
      <c r="AT97" s="1">
        <v>4.5999999999999996</v>
      </c>
      <c r="AU97" s="1"/>
      <c r="AV97" s="1" t="s">
        <v>533</v>
      </c>
      <c r="AW97" s="1" t="s">
        <v>96</v>
      </c>
      <c r="AX97" s="1" t="s">
        <v>660</v>
      </c>
      <c r="AY97" s="1" t="s">
        <v>100</v>
      </c>
      <c r="AZ97" s="1" t="s">
        <v>174</v>
      </c>
      <c r="BA97" s="1" t="s">
        <v>96</v>
      </c>
      <c r="BB97" s="1" t="s">
        <v>101</v>
      </c>
      <c r="BC97" s="1" t="s">
        <v>98</v>
      </c>
      <c r="BD97" s="1" t="s">
        <v>101</v>
      </c>
      <c r="BE97" s="1" t="s">
        <v>98</v>
      </c>
      <c r="BF97" s="1" t="s">
        <v>183</v>
      </c>
      <c r="BG97" s="1" t="s">
        <v>96</v>
      </c>
      <c r="BH97" s="1" t="s">
        <v>147</v>
      </c>
      <c r="BI97" t="s">
        <v>96</v>
      </c>
      <c r="BJ97" t="s">
        <v>464</v>
      </c>
      <c r="BK97" t="s">
        <v>100</v>
      </c>
      <c r="BL97" t="s">
        <v>105</v>
      </c>
      <c r="BN97" t="s">
        <v>191</v>
      </c>
      <c r="BO97" t="s">
        <v>98</v>
      </c>
      <c r="BP97" t="s">
        <v>124</v>
      </c>
      <c r="BQ97" t="s">
        <v>96</v>
      </c>
      <c r="BR97" t="s">
        <v>105</v>
      </c>
      <c r="BT97" t="s">
        <v>105</v>
      </c>
      <c r="BV97" t="s">
        <v>125</v>
      </c>
      <c r="BW97" t="s">
        <v>96</v>
      </c>
      <c r="BX97" t="s">
        <v>126</v>
      </c>
      <c r="BY97" t="s">
        <v>100</v>
      </c>
      <c r="BZ97" t="s">
        <v>141</v>
      </c>
      <c r="CA97" t="s">
        <v>96</v>
      </c>
      <c r="CB97" t="s">
        <v>105</v>
      </c>
      <c r="CD97">
        <v>0</v>
      </c>
      <c r="CE97" t="s">
        <v>96</v>
      </c>
      <c r="CF97">
        <v>0.1</v>
      </c>
      <c r="CG97" t="s">
        <v>96</v>
      </c>
      <c r="CH97">
        <v>2.4</v>
      </c>
      <c r="CI97" t="s">
        <v>100</v>
      </c>
      <c r="CJ97" t="s">
        <v>112</v>
      </c>
      <c r="CK97" t="s">
        <v>96</v>
      </c>
      <c r="CL97" t="s">
        <v>130</v>
      </c>
      <c r="CM97" t="s">
        <v>96</v>
      </c>
      <c r="CN97">
        <v>6.5</v>
      </c>
      <c r="CO97">
        <v>10</v>
      </c>
    </row>
    <row r="98" spans="1:93" x14ac:dyDescent="0.2">
      <c r="A98" s="3">
        <v>140</v>
      </c>
      <c r="B98" s="3" t="s">
        <v>661</v>
      </c>
      <c r="C98" s="3" t="s">
        <v>662</v>
      </c>
      <c r="D98" s="1"/>
      <c r="E98" s="1">
        <f t="shared" si="6"/>
        <v>8.6602540378443873</v>
      </c>
      <c r="F98" s="1">
        <f t="shared" si="7"/>
        <v>7.5</v>
      </c>
      <c r="G98" s="1">
        <f t="shared" si="8"/>
        <v>10</v>
      </c>
      <c r="H98" s="1"/>
      <c r="I98" s="1">
        <v>43.1</v>
      </c>
      <c r="J98" s="1">
        <v>5.38</v>
      </c>
      <c r="K98" s="1">
        <v>0</v>
      </c>
      <c r="L98" s="1">
        <v>0.6</v>
      </c>
      <c r="M98" s="1"/>
      <c r="N98" s="1"/>
      <c r="O98" s="1">
        <v>0.5</v>
      </c>
      <c r="P98" s="1">
        <v>0.5</v>
      </c>
      <c r="Q98" s="1">
        <v>0.4</v>
      </c>
      <c r="R98" s="1">
        <v>2.3809523809523698</v>
      </c>
      <c r="S98" s="1">
        <v>-45.203585066761697</v>
      </c>
      <c r="T98" s="1">
        <v>-10.3002474283472</v>
      </c>
      <c r="U98" s="1">
        <v>0</v>
      </c>
      <c r="V98" s="1">
        <v>0</v>
      </c>
      <c r="W98" s="1">
        <v>333.709</v>
      </c>
      <c r="X98" s="1">
        <v>7.2629999999999999</v>
      </c>
      <c r="Y98" s="1">
        <v>10</v>
      </c>
      <c r="Z98" s="1">
        <v>10</v>
      </c>
      <c r="AA98" s="1">
        <v>20210222</v>
      </c>
      <c r="AB98" s="1"/>
      <c r="AC98" s="1">
        <v>68.33</v>
      </c>
      <c r="AD98" s="1"/>
      <c r="AE98" s="1">
        <v>25</v>
      </c>
      <c r="AF98" s="1"/>
      <c r="AG98" s="1">
        <v>75</v>
      </c>
      <c r="AH98" s="1"/>
      <c r="AI98" s="1"/>
      <c r="AJ98" s="1">
        <v>1.79538461538461</v>
      </c>
      <c r="AK98" s="1">
        <v>7.5</v>
      </c>
      <c r="AL98" s="1">
        <v>6245</v>
      </c>
      <c r="AM98" s="1">
        <v>6075</v>
      </c>
      <c r="AN98" s="1">
        <v>6825.442</v>
      </c>
      <c r="AO98" s="1">
        <v>4297</v>
      </c>
      <c r="AP98" s="1">
        <v>170</v>
      </c>
      <c r="AQ98" s="1">
        <v>24.906811895844999</v>
      </c>
      <c r="AR98" s="1">
        <v>45.333953921340502</v>
      </c>
      <c r="AS98" s="1">
        <v>4.5333953921340502</v>
      </c>
      <c r="AT98" s="1">
        <v>5</v>
      </c>
      <c r="AU98" s="1"/>
      <c r="AV98" s="1" t="s">
        <v>663</v>
      </c>
      <c r="AW98" s="1" t="s">
        <v>98</v>
      </c>
      <c r="AX98" s="1" t="s">
        <v>546</v>
      </c>
      <c r="AY98" s="1" t="s">
        <v>96</v>
      </c>
      <c r="AZ98" s="1" t="s">
        <v>118</v>
      </c>
      <c r="BA98" s="1" t="s">
        <v>100</v>
      </c>
      <c r="BB98" s="1" t="s">
        <v>119</v>
      </c>
      <c r="BC98" s="1" t="s">
        <v>96</v>
      </c>
      <c r="BD98" s="1" t="s">
        <v>136</v>
      </c>
      <c r="BE98" s="1" t="s">
        <v>100</v>
      </c>
      <c r="BF98" s="1" t="s">
        <v>102</v>
      </c>
      <c r="BG98" s="1" t="s">
        <v>98</v>
      </c>
      <c r="BH98" s="1" t="s">
        <v>121</v>
      </c>
      <c r="BI98" t="s">
        <v>100</v>
      </c>
      <c r="BJ98" t="s">
        <v>664</v>
      </c>
      <c r="BK98" t="s">
        <v>98</v>
      </c>
      <c r="BL98" t="s">
        <v>105</v>
      </c>
      <c r="BN98" t="s">
        <v>665</v>
      </c>
      <c r="BO98" t="s">
        <v>98</v>
      </c>
      <c r="BP98" t="s">
        <v>169</v>
      </c>
      <c r="BQ98" t="s">
        <v>100</v>
      </c>
      <c r="BR98" t="s">
        <v>105</v>
      </c>
      <c r="BT98" t="s">
        <v>666</v>
      </c>
      <c r="BU98" t="s">
        <v>98</v>
      </c>
      <c r="BV98" t="s">
        <v>125</v>
      </c>
      <c r="BW98" t="s">
        <v>96</v>
      </c>
      <c r="BX98" t="s">
        <v>126</v>
      </c>
      <c r="BY98" t="s">
        <v>100</v>
      </c>
      <c r="BZ98" t="s">
        <v>127</v>
      </c>
      <c r="CA98" t="s">
        <v>100</v>
      </c>
      <c r="CB98" t="s">
        <v>613</v>
      </c>
      <c r="CC98" t="s">
        <v>98</v>
      </c>
      <c r="CD98">
        <v>1.2</v>
      </c>
      <c r="CE98" t="s">
        <v>96</v>
      </c>
      <c r="CF98">
        <v>0</v>
      </c>
      <c r="CG98" t="s">
        <v>96</v>
      </c>
      <c r="CH98">
        <v>2.6</v>
      </c>
      <c r="CI98" t="s">
        <v>100</v>
      </c>
      <c r="CJ98" t="s">
        <v>105</v>
      </c>
      <c r="CL98" t="s">
        <v>98</v>
      </c>
      <c r="CM98" t="s">
        <v>98</v>
      </c>
      <c r="CN98">
        <v>7.5</v>
      </c>
      <c r="CO98">
        <v>0</v>
      </c>
    </row>
    <row r="99" spans="1:93" x14ac:dyDescent="0.2">
      <c r="A99" s="3">
        <v>141</v>
      </c>
      <c r="B99" s="3" t="s">
        <v>667</v>
      </c>
      <c r="C99" s="3" t="s">
        <v>668</v>
      </c>
      <c r="D99" s="1"/>
      <c r="E99" s="1">
        <f t="shared" ref="E99:E130" si="9">IFERROR(GEOMEAN(F99, G99), MAX(F99, G99))</f>
        <v>7.5671354197964833</v>
      </c>
      <c r="F99" s="1">
        <f t="shared" ref="F99:F130" si="10">MAX(J99, CN99)</f>
        <v>10</v>
      </c>
      <c r="G99" s="1">
        <f t="shared" ref="G99:G130" si="11">MAX(R99, U99, V99, Y99, Z99, AJ99, CO99)</f>
        <v>5.7261538461538501</v>
      </c>
      <c r="H99" s="1"/>
      <c r="I99" s="1">
        <v>35.1</v>
      </c>
      <c r="J99" s="1">
        <v>6.98</v>
      </c>
      <c r="K99" s="1">
        <v>0.9</v>
      </c>
      <c r="L99" s="1">
        <v>0.2</v>
      </c>
      <c r="M99" s="1"/>
      <c r="N99" s="1"/>
      <c r="O99" s="1">
        <v>0.5</v>
      </c>
      <c r="P99" s="1"/>
      <c r="Q99" s="1">
        <v>0.5</v>
      </c>
      <c r="R99" s="1">
        <v>4.7619047619047397</v>
      </c>
      <c r="S99" s="1">
        <v>0.01</v>
      </c>
      <c r="T99" s="1">
        <v>0.01</v>
      </c>
      <c r="U99" s="1">
        <v>6.6666666666748099E-4</v>
      </c>
      <c r="V99" s="1">
        <v>6.6666666666748099E-4</v>
      </c>
      <c r="W99" s="1">
        <v>0.90400000000000003</v>
      </c>
      <c r="X99" s="1">
        <v>2.8000000000000001E-2</v>
      </c>
      <c r="Y99" s="1">
        <v>3.6159999999998901E-2</v>
      </c>
      <c r="Z99" s="1">
        <v>5.5999999999999203E-2</v>
      </c>
      <c r="AA99" s="1">
        <v>20210222</v>
      </c>
      <c r="AB99" s="1"/>
      <c r="AC99" s="1">
        <v>42.78</v>
      </c>
      <c r="AD99" s="1"/>
      <c r="AE99" s="1">
        <v>0</v>
      </c>
      <c r="AF99" s="1"/>
      <c r="AG99" s="1">
        <v>49.36</v>
      </c>
      <c r="AH99" s="1"/>
      <c r="AI99" s="1"/>
      <c r="AJ99" s="1">
        <v>5.7261538461538501</v>
      </c>
      <c r="AK99" s="1">
        <v>10</v>
      </c>
      <c r="AL99" s="1">
        <v>85</v>
      </c>
      <c r="AM99" s="1">
        <v>85</v>
      </c>
      <c r="AN99" s="1">
        <v>5057.6769999999997</v>
      </c>
      <c r="AO99" s="1">
        <v>85</v>
      </c>
      <c r="AP99" s="1">
        <v>0</v>
      </c>
      <c r="AQ99" s="1">
        <v>0</v>
      </c>
      <c r="AR99" s="1">
        <v>0</v>
      </c>
      <c r="AS99" s="1">
        <v>0</v>
      </c>
      <c r="AT99" s="1">
        <v>6.2</v>
      </c>
      <c r="AU99" s="1"/>
      <c r="AV99" s="1" t="s">
        <v>669</v>
      </c>
      <c r="AW99" s="1" t="s">
        <v>96</v>
      </c>
      <c r="AX99" s="1" t="s">
        <v>232</v>
      </c>
      <c r="AY99" s="1" t="s">
        <v>100</v>
      </c>
      <c r="AZ99" s="1" t="s">
        <v>99</v>
      </c>
      <c r="BA99" s="1" t="s">
        <v>100</v>
      </c>
      <c r="BB99" s="1" t="s">
        <v>101</v>
      </c>
      <c r="BC99" s="1" t="s">
        <v>98</v>
      </c>
      <c r="BD99" s="1" t="s">
        <v>101</v>
      </c>
      <c r="BE99" s="1" t="s">
        <v>98</v>
      </c>
      <c r="BF99" s="1" t="s">
        <v>102</v>
      </c>
      <c r="BG99" s="1" t="s">
        <v>98</v>
      </c>
      <c r="BH99" s="1" t="s">
        <v>103</v>
      </c>
      <c r="BI99" t="s">
        <v>98</v>
      </c>
      <c r="BJ99" t="s">
        <v>258</v>
      </c>
      <c r="BK99" t="s">
        <v>98</v>
      </c>
      <c r="BL99" t="s">
        <v>105</v>
      </c>
      <c r="BN99" t="s">
        <v>670</v>
      </c>
      <c r="BO99" t="s">
        <v>98</v>
      </c>
      <c r="BP99" t="s">
        <v>124</v>
      </c>
      <c r="BQ99" t="s">
        <v>96</v>
      </c>
      <c r="BR99" t="s">
        <v>671</v>
      </c>
      <c r="BS99" t="s">
        <v>100</v>
      </c>
      <c r="BT99" t="s">
        <v>105</v>
      </c>
      <c r="BV99" t="s">
        <v>125</v>
      </c>
      <c r="BW99" t="s">
        <v>96</v>
      </c>
      <c r="BX99" t="s">
        <v>110</v>
      </c>
      <c r="BY99" t="s">
        <v>96</v>
      </c>
      <c r="BZ99" t="s">
        <v>141</v>
      </c>
      <c r="CA99" t="s">
        <v>96</v>
      </c>
      <c r="CB99" t="s">
        <v>105</v>
      </c>
      <c r="CD99">
        <v>0</v>
      </c>
      <c r="CE99" t="s">
        <v>96</v>
      </c>
      <c r="CF99">
        <v>0</v>
      </c>
      <c r="CG99" t="s">
        <v>96</v>
      </c>
      <c r="CH99">
        <v>0</v>
      </c>
      <c r="CI99" t="s">
        <v>96</v>
      </c>
      <c r="CJ99" t="s">
        <v>112</v>
      </c>
      <c r="CK99" t="s">
        <v>96</v>
      </c>
      <c r="CL99" t="s">
        <v>130</v>
      </c>
      <c r="CM99" t="s">
        <v>96</v>
      </c>
      <c r="CN99">
        <v>10</v>
      </c>
      <c r="CO99">
        <v>0</v>
      </c>
    </row>
    <row r="100" spans="1:93" x14ac:dyDescent="0.2">
      <c r="A100" s="3">
        <v>142</v>
      </c>
      <c r="B100" s="3" t="s">
        <v>672</v>
      </c>
      <c r="C100" s="3" t="s">
        <v>673</v>
      </c>
      <c r="D100" s="1"/>
      <c r="E100" s="1">
        <f t="shared" si="9"/>
        <v>6.0293665951293347</v>
      </c>
      <c r="F100" s="1">
        <f t="shared" si="10"/>
        <v>8.86</v>
      </c>
      <c r="G100" s="1">
        <f t="shared" si="11"/>
        <v>4.1030769230769204</v>
      </c>
      <c r="H100" s="1"/>
      <c r="I100" s="1">
        <v>25.7</v>
      </c>
      <c r="J100" s="1">
        <v>8.86</v>
      </c>
      <c r="K100" s="1">
        <v>0</v>
      </c>
      <c r="L100" s="1">
        <v>0.2</v>
      </c>
      <c r="M100" s="1"/>
      <c r="N100" s="1"/>
      <c r="O100" s="1">
        <v>0.8</v>
      </c>
      <c r="P100" s="1">
        <v>0.3</v>
      </c>
      <c r="Q100" s="1">
        <v>0.3</v>
      </c>
      <c r="R100" s="1">
        <v>0</v>
      </c>
      <c r="S100" s="1">
        <v>-21.470906433151001</v>
      </c>
      <c r="T100" s="1">
        <v>-49.363113140066197</v>
      </c>
      <c r="U100" s="1">
        <v>0</v>
      </c>
      <c r="V100" s="1">
        <v>0</v>
      </c>
      <c r="W100" s="1">
        <v>50.790999999999997</v>
      </c>
      <c r="X100" s="1">
        <v>1.996</v>
      </c>
      <c r="Y100" s="1">
        <v>2.0316399999999999</v>
      </c>
      <c r="Z100" s="1">
        <v>3.992</v>
      </c>
      <c r="AA100" s="1">
        <v>20210222</v>
      </c>
      <c r="AB100" s="1"/>
      <c r="AC100" s="1">
        <v>53.33</v>
      </c>
      <c r="AD100" s="1"/>
      <c r="AE100" s="1">
        <v>0</v>
      </c>
      <c r="AF100" s="1"/>
      <c r="AG100" s="1">
        <v>61.54</v>
      </c>
      <c r="AH100" s="1"/>
      <c r="AI100" s="1"/>
      <c r="AJ100" s="1">
        <v>4.1030769230769204</v>
      </c>
      <c r="AK100" s="1">
        <v>10</v>
      </c>
      <c r="AL100" s="1">
        <v>2362</v>
      </c>
      <c r="AM100" s="1">
        <v>2349</v>
      </c>
      <c r="AN100" s="1">
        <v>6871.2870000000003</v>
      </c>
      <c r="AO100" s="1">
        <v>2088</v>
      </c>
      <c r="AP100" s="1">
        <v>13</v>
      </c>
      <c r="AQ100" s="1">
        <v>1.8919308711745</v>
      </c>
      <c r="AR100" s="1">
        <v>13.1226053639847</v>
      </c>
      <c r="AS100" s="1">
        <v>1.3122605363984701</v>
      </c>
      <c r="AT100" s="1">
        <v>4.3</v>
      </c>
      <c r="AU100" s="1"/>
      <c r="AV100" s="1" t="s">
        <v>674</v>
      </c>
      <c r="AW100" s="1" t="s">
        <v>98</v>
      </c>
      <c r="AX100" s="1" t="s">
        <v>601</v>
      </c>
      <c r="AY100" s="1" t="s">
        <v>100</v>
      </c>
      <c r="AZ100" s="1" t="s">
        <v>135</v>
      </c>
      <c r="BA100" s="1" t="s">
        <v>100</v>
      </c>
      <c r="BB100" s="1" t="s">
        <v>119</v>
      </c>
      <c r="BC100" s="1" t="s">
        <v>96</v>
      </c>
      <c r="BD100" s="1" t="s">
        <v>136</v>
      </c>
      <c r="BE100" s="1" t="s">
        <v>100</v>
      </c>
      <c r="BF100" s="1" t="s">
        <v>102</v>
      </c>
      <c r="BG100" s="1" t="s">
        <v>98</v>
      </c>
      <c r="BH100" s="1" t="s">
        <v>103</v>
      </c>
      <c r="BI100" t="s">
        <v>98</v>
      </c>
      <c r="BJ100" t="s">
        <v>675</v>
      </c>
      <c r="BK100" t="s">
        <v>98</v>
      </c>
      <c r="BL100" t="s">
        <v>105</v>
      </c>
      <c r="BN100" t="s">
        <v>162</v>
      </c>
      <c r="BO100" t="s">
        <v>98</v>
      </c>
      <c r="BP100" t="s">
        <v>124</v>
      </c>
      <c r="BQ100" t="s">
        <v>96</v>
      </c>
      <c r="BR100" t="s">
        <v>105</v>
      </c>
      <c r="BT100" t="s">
        <v>105</v>
      </c>
      <c r="BV100" t="s">
        <v>125</v>
      </c>
      <c r="BW100" t="s">
        <v>96</v>
      </c>
      <c r="BX100" t="s">
        <v>200</v>
      </c>
      <c r="BY100" t="s">
        <v>100</v>
      </c>
      <c r="BZ100" t="s">
        <v>253</v>
      </c>
      <c r="CA100" t="s">
        <v>98</v>
      </c>
      <c r="CB100" t="s">
        <v>586</v>
      </c>
      <c r="CC100" t="s">
        <v>98</v>
      </c>
      <c r="CD100">
        <v>0</v>
      </c>
      <c r="CE100" t="s">
        <v>96</v>
      </c>
      <c r="CF100">
        <v>0</v>
      </c>
      <c r="CG100" t="s">
        <v>96</v>
      </c>
      <c r="CH100">
        <v>4.5</v>
      </c>
      <c r="CI100" t="s">
        <v>100</v>
      </c>
      <c r="CJ100" t="s">
        <v>112</v>
      </c>
      <c r="CK100" t="s">
        <v>96</v>
      </c>
      <c r="CL100" t="s">
        <v>100</v>
      </c>
      <c r="CM100" t="s">
        <v>100</v>
      </c>
      <c r="CN100">
        <v>5.75</v>
      </c>
      <c r="CO100">
        <v>0</v>
      </c>
    </row>
    <row r="101" spans="1:93" x14ac:dyDescent="0.2">
      <c r="A101" s="3">
        <v>143</v>
      </c>
      <c r="B101" s="3" t="s">
        <v>676</v>
      </c>
      <c r="C101" s="3" t="s">
        <v>677</v>
      </c>
      <c r="D101" s="1"/>
      <c r="E101" s="1">
        <f t="shared" si="9"/>
        <v>8.3306662398634117</v>
      </c>
      <c r="F101" s="1">
        <f t="shared" si="10"/>
        <v>6.94</v>
      </c>
      <c r="G101" s="1">
        <f t="shared" si="11"/>
        <v>10</v>
      </c>
      <c r="H101" s="1"/>
      <c r="I101" s="1">
        <v>35.299999999999997</v>
      </c>
      <c r="J101" s="1">
        <v>6.94</v>
      </c>
      <c r="K101" s="1"/>
      <c r="L101" s="1"/>
      <c r="M101" s="1"/>
      <c r="N101" s="1"/>
      <c r="O101" s="1"/>
      <c r="P101" s="1"/>
      <c r="Q101" s="1"/>
      <c r="R101" s="1"/>
      <c r="S101" s="1">
        <v>61.531046074747898</v>
      </c>
      <c r="T101" s="1">
        <v>-0.80228633338681798</v>
      </c>
      <c r="U101" s="1">
        <v>4.1020697383165201</v>
      </c>
      <c r="V101" s="1">
        <v>0</v>
      </c>
      <c r="W101" s="1">
        <v>434.88299999999998</v>
      </c>
      <c r="X101" s="1">
        <v>6.2240000000000002</v>
      </c>
      <c r="Y101" s="1">
        <v>10</v>
      </c>
      <c r="Z101" s="1">
        <v>10</v>
      </c>
      <c r="AA101" s="1"/>
      <c r="AB101" s="1"/>
      <c r="AC101" s="1"/>
      <c r="AD101" s="1"/>
      <c r="AE101" s="1"/>
      <c r="AF101" s="1"/>
      <c r="AG101" s="1"/>
      <c r="AH101" s="1"/>
      <c r="AI101" s="1"/>
      <c r="AJ101" s="1"/>
      <c r="AK101" s="1"/>
      <c r="AL101" s="1">
        <v>86</v>
      </c>
      <c r="AM101" s="1">
        <v>77</v>
      </c>
      <c r="AN101" s="1">
        <v>183.62899999999999</v>
      </c>
      <c r="AO101" s="1">
        <v>28</v>
      </c>
      <c r="AP101" s="1">
        <v>9</v>
      </c>
      <c r="AQ101" s="1">
        <v>49.011866317411702</v>
      </c>
      <c r="AR101" s="1">
        <v>207.142857142857</v>
      </c>
      <c r="AS101" s="1">
        <v>10</v>
      </c>
      <c r="AT101" s="1">
        <v>3.9</v>
      </c>
      <c r="AU101" s="1"/>
      <c r="AV101" s="1" t="s">
        <v>678</v>
      </c>
      <c r="AW101" s="1" t="s">
        <v>98</v>
      </c>
      <c r="AX101" s="1" t="s">
        <v>105</v>
      </c>
      <c r="AY101" s="1"/>
      <c r="AZ101" s="1" t="s">
        <v>105</v>
      </c>
      <c r="BA101" s="1"/>
      <c r="BB101" s="1" t="s">
        <v>105</v>
      </c>
      <c r="BC101" s="1"/>
      <c r="BD101" s="1" t="s">
        <v>105</v>
      </c>
      <c r="BE101" s="1"/>
      <c r="BF101" s="1" t="s">
        <v>105</v>
      </c>
      <c r="BG101" s="1"/>
      <c r="BH101" s="1" t="s">
        <v>105</v>
      </c>
      <c r="BJ101" t="s">
        <v>679</v>
      </c>
      <c r="BK101" t="s">
        <v>98</v>
      </c>
      <c r="BL101" t="s">
        <v>105</v>
      </c>
      <c r="BN101" t="s">
        <v>295</v>
      </c>
      <c r="BO101" t="s">
        <v>96</v>
      </c>
      <c r="BP101" t="s">
        <v>227</v>
      </c>
      <c r="BQ101" t="s">
        <v>98</v>
      </c>
      <c r="BR101" t="s">
        <v>105</v>
      </c>
      <c r="BT101" t="s">
        <v>105</v>
      </c>
      <c r="BV101" t="s">
        <v>105</v>
      </c>
      <c r="BX101" t="s">
        <v>105</v>
      </c>
      <c r="BZ101" t="s">
        <v>105</v>
      </c>
      <c r="CB101" t="s">
        <v>105</v>
      </c>
      <c r="CD101">
        <v>0.1</v>
      </c>
      <c r="CE101" t="s">
        <v>96</v>
      </c>
      <c r="CF101">
        <v>0</v>
      </c>
      <c r="CG101" t="s">
        <v>96</v>
      </c>
      <c r="CH101">
        <v>0.5</v>
      </c>
      <c r="CI101" t="s">
        <v>96</v>
      </c>
      <c r="CJ101" t="s">
        <v>105</v>
      </c>
      <c r="CL101" t="s">
        <v>130</v>
      </c>
      <c r="CM101" t="s">
        <v>96</v>
      </c>
      <c r="CN101">
        <v>4.75</v>
      </c>
      <c r="CO101">
        <v>0</v>
      </c>
    </row>
    <row r="102" spans="1:93" x14ac:dyDescent="0.2">
      <c r="A102" s="3">
        <v>144</v>
      </c>
      <c r="B102" s="3" t="s">
        <v>680</v>
      </c>
      <c r="C102" s="3" t="s">
        <v>681</v>
      </c>
      <c r="D102" s="1"/>
      <c r="E102" s="1">
        <f t="shared" si="9"/>
        <v>7.2801098892805181</v>
      </c>
      <c r="F102" s="1">
        <f t="shared" si="10"/>
        <v>5.3</v>
      </c>
      <c r="G102" s="1">
        <f t="shared" si="11"/>
        <v>10</v>
      </c>
      <c r="H102" s="1"/>
      <c r="I102" s="1">
        <v>43.5</v>
      </c>
      <c r="J102" s="1">
        <v>5.3</v>
      </c>
      <c r="K102" s="1"/>
      <c r="L102" s="1"/>
      <c r="M102" s="1"/>
      <c r="N102" s="1"/>
      <c r="O102" s="1"/>
      <c r="P102" s="1"/>
      <c r="Q102" s="1"/>
      <c r="R102" s="1"/>
      <c r="S102" s="1">
        <v>0.01</v>
      </c>
      <c r="T102" s="1">
        <v>0.01</v>
      </c>
      <c r="U102" s="1">
        <v>6.6666666666748099E-4</v>
      </c>
      <c r="V102" s="1">
        <v>6.6666666666748099E-4</v>
      </c>
      <c r="W102" s="1">
        <v>26.221</v>
      </c>
      <c r="X102" s="1">
        <v>7.492</v>
      </c>
      <c r="Y102" s="1">
        <v>1.04884</v>
      </c>
      <c r="Z102" s="1">
        <v>10</v>
      </c>
      <c r="AA102" s="1"/>
      <c r="AB102" s="1"/>
      <c r="AC102" s="1"/>
      <c r="AD102" s="1"/>
      <c r="AE102" s="1"/>
      <c r="AF102" s="1"/>
      <c r="AG102" s="1"/>
      <c r="AH102" s="1"/>
      <c r="AI102" s="1"/>
      <c r="AJ102" s="1"/>
      <c r="AK102" s="1"/>
      <c r="AL102" s="1">
        <v>54</v>
      </c>
      <c r="AM102" s="1">
        <v>54</v>
      </c>
      <c r="AN102" s="1"/>
      <c r="AO102" s="1">
        <v>54</v>
      </c>
      <c r="AP102" s="1">
        <v>0</v>
      </c>
      <c r="AQ102" s="1"/>
      <c r="AR102" s="1">
        <v>0</v>
      </c>
      <c r="AS102" s="1">
        <v>0</v>
      </c>
      <c r="AT102" s="1">
        <v>1.9</v>
      </c>
      <c r="AU102" s="1"/>
      <c r="AV102" s="1" t="s">
        <v>682</v>
      </c>
      <c r="AW102" s="1" t="s">
        <v>98</v>
      </c>
      <c r="AX102" s="1" t="s">
        <v>105</v>
      </c>
      <c r="AY102" s="1"/>
      <c r="AZ102" s="1" t="s">
        <v>105</v>
      </c>
      <c r="BA102" s="1"/>
      <c r="BB102" s="1" t="s">
        <v>105</v>
      </c>
      <c r="BC102" s="1"/>
      <c r="BD102" s="1" t="s">
        <v>105</v>
      </c>
      <c r="BE102" s="1"/>
      <c r="BF102" s="1" t="s">
        <v>105</v>
      </c>
      <c r="BG102" s="1"/>
      <c r="BH102" s="1" t="s">
        <v>105</v>
      </c>
      <c r="BJ102" t="s">
        <v>105</v>
      </c>
      <c r="BL102" t="s">
        <v>105</v>
      </c>
      <c r="BN102" t="s">
        <v>105</v>
      </c>
      <c r="BP102" t="s">
        <v>124</v>
      </c>
      <c r="BQ102" t="s">
        <v>96</v>
      </c>
      <c r="BR102" t="s">
        <v>105</v>
      </c>
      <c r="BT102" t="s">
        <v>105</v>
      </c>
      <c r="BV102" t="s">
        <v>105</v>
      </c>
      <c r="BX102" t="s">
        <v>105</v>
      </c>
      <c r="BZ102" t="s">
        <v>105</v>
      </c>
      <c r="CB102" t="s">
        <v>105</v>
      </c>
      <c r="CD102">
        <v>0.1</v>
      </c>
      <c r="CE102" t="s">
        <v>96</v>
      </c>
      <c r="CF102">
        <v>0</v>
      </c>
      <c r="CG102" t="s">
        <v>96</v>
      </c>
      <c r="CH102">
        <v>0</v>
      </c>
      <c r="CI102" t="s">
        <v>96</v>
      </c>
      <c r="CJ102" t="s">
        <v>105</v>
      </c>
      <c r="CL102" t="s">
        <v>130</v>
      </c>
      <c r="CM102" t="s">
        <v>96</v>
      </c>
      <c r="CN102">
        <v>0</v>
      </c>
      <c r="CO102">
        <v>0</v>
      </c>
    </row>
    <row r="103" spans="1:93" x14ac:dyDescent="0.2">
      <c r="A103" s="3">
        <v>145</v>
      </c>
      <c r="B103" s="3" t="s">
        <v>683</v>
      </c>
      <c r="C103" s="3" t="s">
        <v>684</v>
      </c>
      <c r="D103" s="1"/>
      <c r="E103" s="1">
        <f t="shared" si="9"/>
        <v>8.4970583144992009</v>
      </c>
      <c r="F103" s="1">
        <f t="shared" si="10"/>
        <v>7.22</v>
      </c>
      <c r="G103" s="1">
        <f t="shared" si="11"/>
        <v>10</v>
      </c>
      <c r="H103" s="1"/>
      <c r="I103" s="1">
        <v>33.9</v>
      </c>
      <c r="J103" s="1">
        <v>7.22</v>
      </c>
      <c r="K103" s="1">
        <v>0.9</v>
      </c>
      <c r="L103" s="1">
        <v>0.7</v>
      </c>
      <c r="M103" s="1"/>
      <c r="N103" s="1"/>
      <c r="O103" s="1">
        <v>1</v>
      </c>
      <c r="P103" s="1">
        <v>0.7</v>
      </c>
      <c r="Q103" s="1">
        <v>0.8</v>
      </c>
      <c r="R103" s="1">
        <v>10</v>
      </c>
      <c r="S103" s="1">
        <v>10.4407666976273</v>
      </c>
      <c r="T103" s="1">
        <v>-4.99613952937381</v>
      </c>
      <c r="U103" s="1">
        <v>0.696051113175155</v>
      </c>
      <c r="V103" s="1">
        <v>0</v>
      </c>
      <c r="W103" s="1">
        <v>28.986999999999998</v>
      </c>
      <c r="X103" s="1">
        <v>0.32</v>
      </c>
      <c r="Y103" s="1">
        <v>1.1594800000000001</v>
      </c>
      <c r="Z103" s="1">
        <v>0.64000000000000101</v>
      </c>
      <c r="AA103" s="1">
        <v>20210222</v>
      </c>
      <c r="AB103" s="1"/>
      <c r="AC103" s="1">
        <v>75.83</v>
      </c>
      <c r="AD103" s="1">
        <v>50</v>
      </c>
      <c r="AE103" s="1">
        <v>50</v>
      </c>
      <c r="AF103" s="1"/>
      <c r="AG103" s="1">
        <v>79.81</v>
      </c>
      <c r="AH103" s="1">
        <v>0</v>
      </c>
      <c r="AI103" s="1"/>
      <c r="AJ103" s="1">
        <v>0.64153846153846295</v>
      </c>
      <c r="AK103" s="1">
        <v>5</v>
      </c>
      <c r="AL103" s="1">
        <v>663</v>
      </c>
      <c r="AM103" s="1">
        <v>650</v>
      </c>
      <c r="AN103" s="1">
        <v>21413.25</v>
      </c>
      <c r="AO103" s="1">
        <v>435</v>
      </c>
      <c r="AP103" s="1">
        <v>13</v>
      </c>
      <c r="AQ103" s="1">
        <v>0.60710074369841105</v>
      </c>
      <c r="AR103" s="1">
        <v>52.413793103448299</v>
      </c>
      <c r="AS103" s="1">
        <v>5.2413793103448301</v>
      </c>
      <c r="AT103" s="1">
        <v>4.3</v>
      </c>
      <c r="AU103" s="1"/>
      <c r="AV103" s="1" t="s">
        <v>685</v>
      </c>
      <c r="AW103" s="1" t="s">
        <v>100</v>
      </c>
      <c r="AX103" s="1" t="s">
        <v>134</v>
      </c>
      <c r="AY103" s="1" t="s">
        <v>100</v>
      </c>
      <c r="AZ103" s="1" t="s">
        <v>174</v>
      </c>
      <c r="BA103" s="1" t="s">
        <v>96</v>
      </c>
      <c r="BB103" s="1" t="s">
        <v>101</v>
      </c>
      <c r="BC103" s="1" t="s">
        <v>98</v>
      </c>
      <c r="BD103" s="1" t="s">
        <v>120</v>
      </c>
      <c r="BE103" s="1" t="s">
        <v>100</v>
      </c>
      <c r="BF103" s="1" t="s">
        <v>102</v>
      </c>
      <c r="BG103" s="1" t="s">
        <v>98</v>
      </c>
      <c r="BH103" s="1" t="s">
        <v>147</v>
      </c>
      <c r="BI103" t="s">
        <v>96</v>
      </c>
      <c r="BJ103" t="s">
        <v>686</v>
      </c>
      <c r="BK103" t="s">
        <v>98</v>
      </c>
      <c r="BL103" t="s">
        <v>475</v>
      </c>
      <c r="BM103" t="s">
        <v>100</v>
      </c>
      <c r="BN103" t="s">
        <v>452</v>
      </c>
      <c r="BO103" t="s">
        <v>100</v>
      </c>
      <c r="BP103" t="s">
        <v>169</v>
      </c>
      <c r="BQ103" t="s">
        <v>100</v>
      </c>
      <c r="BR103" t="s">
        <v>105</v>
      </c>
      <c r="BT103" t="s">
        <v>687</v>
      </c>
      <c r="BU103" t="s">
        <v>98</v>
      </c>
      <c r="BV103" t="s">
        <v>125</v>
      </c>
      <c r="BW103" t="s">
        <v>96</v>
      </c>
      <c r="BX103" t="s">
        <v>126</v>
      </c>
      <c r="BY103" t="s">
        <v>100</v>
      </c>
      <c r="BZ103" t="s">
        <v>141</v>
      </c>
      <c r="CA103" t="s">
        <v>96</v>
      </c>
      <c r="CB103" t="s">
        <v>105</v>
      </c>
      <c r="CD103">
        <v>1.8</v>
      </c>
      <c r="CE103" t="s">
        <v>96</v>
      </c>
      <c r="CF103">
        <v>0</v>
      </c>
      <c r="CG103" t="s">
        <v>96</v>
      </c>
      <c r="CH103">
        <v>3.5</v>
      </c>
      <c r="CI103" t="s">
        <v>100</v>
      </c>
      <c r="CJ103" t="s">
        <v>112</v>
      </c>
      <c r="CK103" t="s">
        <v>96</v>
      </c>
      <c r="CL103" t="s">
        <v>130</v>
      </c>
      <c r="CM103" t="s">
        <v>96</v>
      </c>
      <c r="CN103">
        <v>5.75</v>
      </c>
      <c r="CO103">
        <v>0</v>
      </c>
    </row>
    <row r="104" spans="1:93" x14ac:dyDescent="0.2">
      <c r="A104" s="3">
        <v>146</v>
      </c>
      <c r="B104" s="3" t="s">
        <v>688</v>
      </c>
      <c r="C104" s="3" t="s">
        <v>689</v>
      </c>
      <c r="D104" s="1"/>
      <c r="E104" s="1">
        <f t="shared" si="9"/>
        <v>9.0985331928156814</v>
      </c>
      <c r="F104" s="1">
        <f t="shared" si="10"/>
        <v>10</v>
      </c>
      <c r="G104" s="1">
        <f t="shared" si="11"/>
        <v>8.2783306260768708</v>
      </c>
      <c r="H104" s="1"/>
      <c r="I104" s="1">
        <v>30.2</v>
      </c>
      <c r="J104" s="1">
        <v>7.96</v>
      </c>
      <c r="K104" s="1">
        <v>0.4</v>
      </c>
      <c r="L104" s="1">
        <v>0.2</v>
      </c>
      <c r="M104" s="1"/>
      <c r="N104" s="1"/>
      <c r="O104" s="1">
        <v>1</v>
      </c>
      <c r="P104" s="1"/>
      <c r="Q104" s="1">
        <v>0.5</v>
      </c>
      <c r="R104" s="1">
        <v>4.7619047619047397</v>
      </c>
      <c r="S104" s="1">
        <v>124.174959391153</v>
      </c>
      <c r="T104" s="1">
        <v>-12.862343263808199</v>
      </c>
      <c r="U104" s="1">
        <v>8.2783306260768708</v>
      </c>
      <c r="V104" s="1">
        <v>0</v>
      </c>
      <c r="W104" s="1">
        <v>33.076000000000001</v>
      </c>
      <c r="X104" s="1">
        <v>3.6680000000000001</v>
      </c>
      <c r="Y104" s="1">
        <v>1.32304</v>
      </c>
      <c r="Z104" s="1">
        <v>7.3360000000000003</v>
      </c>
      <c r="AA104" s="1">
        <v>20210222</v>
      </c>
      <c r="AB104" s="1">
        <v>63.33</v>
      </c>
      <c r="AC104" s="1">
        <v>63.33</v>
      </c>
      <c r="AD104" s="1">
        <v>0</v>
      </c>
      <c r="AE104" s="1">
        <v>0</v>
      </c>
      <c r="AF104" s="1">
        <v>73.08</v>
      </c>
      <c r="AG104" s="1">
        <v>73.08</v>
      </c>
      <c r="AH104" s="1">
        <v>0</v>
      </c>
      <c r="AI104" s="1"/>
      <c r="AJ104" s="1">
        <v>2.5646153846153799</v>
      </c>
      <c r="AK104" s="1">
        <v>10</v>
      </c>
      <c r="AL104" s="1"/>
      <c r="AM104" s="1"/>
      <c r="AN104" s="1"/>
      <c r="AO104" s="1"/>
      <c r="AP104" s="1"/>
      <c r="AQ104" s="1"/>
      <c r="AR104" s="1"/>
      <c r="AS104" s="1"/>
      <c r="AT104" s="1">
        <v>6</v>
      </c>
      <c r="AU104" s="1"/>
      <c r="AV104" s="1" t="s">
        <v>690</v>
      </c>
      <c r="AW104" s="1" t="s">
        <v>100</v>
      </c>
      <c r="AX104" s="1" t="s">
        <v>515</v>
      </c>
      <c r="AY104" s="1" t="s">
        <v>100</v>
      </c>
      <c r="AZ104" s="1" t="s">
        <v>174</v>
      </c>
      <c r="BA104" s="1" t="s">
        <v>96</v>
      </c>
      <c r="BB104" s="1" t="s">
        <v>146</v>
      </c>
      <c r="BC104" s="1" t="s">
        <v>100</v>
      </c>
      <c r="BD104" s="1" t="s">
        <v>136</v>
      </c>
      <c r="BE104" s="1" t="s">
        <v>100</v>
      </c>
      <c r="BF104" s="1" t="s">
        <v>102</v>
      </c>
      <c r="BG104" s="1" t="s">
        <v>98</v>
      </c>
      <c r="BH104" s="1" t="s">
        <v>103</v>
      </c>
      <c r="BI104" t="s">
        <v>98</v>
      </c>
      <c r="BJ104" t="s">
        <v>691</v>
      </c>
      <c r="BK104" t="s">
        <v>98</v>
      </c>
      <c r="BL104" t="s">
        <v>105</v>
      </c>
      <c r="BN104" t="s">
        <v>410</v>
      </c>
      <c r="BO104" t="s">
        <v>100</v>
      </c>
      <c r="BP104" t="s">
        <v>124</v>
      </c>
      <c r="BQ104" t="s">
        <v>96</v>
      </c>
      <c r="BR104" t="s">
        <v>692</v>
      </c>
      <c r="BS104" t="s">
        <v>100</v>
      </c>
      <c r="BT104" t="s">
        <v>105</v>
      </c>
      <c r="BV104" t="s">
        <v>125</v>
      </c>
      <c r="BW104" t="s">
        <v>96</v>
      </c>
      <c r="BX104" t="s">
        <v>200</v>
      </c>
      <c r="BY104" t="s">
        <v>100</v>
      </c>
      <c r="BZ104" t="s">
        <v>127</v>
      </c>
      <c r="CA104" t="s">
        <v>100</v>
      </c>
      <c r="CB104" t="s">
        <v>105</v>
      </c>
      <c r="CD104">
        <v>3</v>
      </c>
      <c r="CE104" t="s">
        <v>100</v>
      </c>
      <c r="CF104">
        <v>0</v>
      </c>
      <c r="CG104" t="s">
        <v>96</v>
      </c>
      <c r="CH104">
        <v>5</v>
      </c>
      <c r="CI104" t="s">
        <v>100</v>
      </c>
      <c r="CJ104" t="s">
        <v>112</v>
      </c>
      <c r="CK104" t="s">
        <v>96</v>
      </c>
      <c r="CL104" t="s">
        <v>98</v>
      </c>
      <c r="CM104" t="s">
        <v>98</v>
      </c>
      <c r="CN104">
        <v>10</v>
      </c>
      <c r="CO104">
        <v>0</v>
      </c>
    </row>
    <row r="105" spans="1:93" x14ac:dyDescent="0.2">
      <c r="A105" s="3">
        <v>147</v>
      </c>
      <c r="B105" s="3" t="s">
        <v>693</v>
      </c>
      <c r="C105" s="3" t="s">
        <v>694</v>
      </c>
      <c r="D105" s="1"/>
      <c r="E105" s="1">
        <f t="shared" si="9"/>
        <v>5.4772255750516612</v>
      </c>
      <c r="F105" s="1">
        <f t="shared" si="10"/>
        <v>3</v>
      </c>
      <c r="G105" s="1">
        <f t="shared" si="11"/>
        <v>10</v>
      </c>
      <c r="H105" s="1"/>
      <c r="I105" s="1">
        <v>55</v>
      </c>
      <c r="J105" s="1">
        <v>3</v>
      </c>
      <c r="K105" s="1">
        <v>0.7</v>
      </c>
      <c r="L105" s="1">
        <v>0.9</v>
      </c>
      <c r="M105" s="1"/>
      <c r="N105" s="1"/>
      <c r="O105" s="1">
        <v>0.5</v>
      </c>
      <c r="P105" s="1">
        <v>0.6</v>
      </c>
      <c r="Q105" s="1">
        <v>0.7</v>
      </c>
      <c r="R105" s="1">
        <v>9.5238095238094793</v>
      </c>
      <c r="S105" s="1">
        <v>-17.221880249141901</v>
      </c>
      <c r="T105" s="1">
        <v>-22.9136043514949</v>
      </c>
      <c r="U105" s="1">
        <v>0</v>
      </c>
      <c r="V105" s="1">
        <v>0</v>
      </c>
      <c r="W105" s="1">
        <v>174.59</v>
      </c>
      <c r="X105" s="1">
        <v>5.3</v>
      </c>
      <c r="Y105" s="1">
        <v>6.9836</v>
      </c>
      <c r="Z105" s="1">
        <v>10</v>
      </c>
      <c r="AA105" s="1">
        <v>20210222</v>
      </c>
      <c r="AB105" s="1"/>
      <c r="AC105" s="1">
        <v>63.78</v>
      </c>
      <c r="AD105" s="1"/>
      <c r="AE105" s="1">
        <v>62.5</v>
      </c>
      <c r="AF105" s="1"/>
      <c r="AG105" s="1">
        <v>63.97</v>
      </c>
      <c r="AH105" s="1"/>
      <c r="AI105" s="1"/>
      <c r="AJ105" s="1">
        <v>2.49538461538461</v>
      </c>
      <c r="AK105" s="1">
        <v>3.75</v>
      </c>
      <c r="AL105" s="1">
        <v>3687</v>
      </c>
      <c r="AM105" s="1">
        <v>3640</v>
      </c>
      <c r="AN105" s="1">
        <v>2722.2910000000002</v>
      </c>
      <c r="AO105" s="1">
        <v>3162</v>
      </c>
      <c r="AP105" s="1">
        <v>47</v>
      </c>
      <c r="AQ105" s="1">
        <v>17.264869920225301</v>
      </c>
      <c r="AR105" s="1">
        <v>16.603415559772301</v>
      </c>
      <c r="AS105" s="1">
        <v>1.6603415559772301</v>
      </c>
      <c r="AT105" s="1">
        <v>2.8</v>
      </c>
      <c r="AU105" s="1"/>
      <c r="AV105" s="1" t="s">
        <v>695</v>
      </c>
      <c r="AW105" s="1" t="s">
        <v>98</v>
      </c>
      <c r="AX105" s="1" t="s">
        <v>299</v>
      </c>
      <c r="AY105" s="1" t="s">
        <v>96</v>
      </c>
      <c r="AZ105" s="1" t="s">
        <v>135</v>
      </c>
      <c r="BA105" s="1" t="s">
        <v>100</v>
      </c>
      <c r="BB105" s="1" t="s">
        <v>119</v>
      </c>
      <c r="BC105" s="1" t="s">
        <v>96</v>
      </c>
      <c r="BD105" s="1" t="s">
        <v>136</v>
      </c>
      <c r="BE105" s="1" t="s">
        <v>100</v>
      </c>
      <c r="BF105" s="1" t="s">
        <v>183</v>
      </c>
      <c r="BG105" s="1" t="s">
        <v>96</v>
      </c>
      <c r="BH105" s="1" t="s">
        <v>147</v>
      </c>
      <c r="BI105" t="s">
        <v>96</v>
      </c>
      <c r="BJ105" t="s">
        <v>376</v>
      </c>
      <c r="BK105" t="s">
        <v>98</v>
      </c>
      <c r="BL105" t="s">
        <v>696</v>
      </c>
      <c r="BM105" t="s">
        <v>100</v>
      </c>
      <c r="BN105" t="s">
        <v>697</v>
      </c>
      <c r="BO105" t="s">
        <v>96</v>
      </c>
      <c r="BP105" t="s">
        <v>227</v>
      </c>
      <c r="BQ105" t="s">
        <v>98</v>
      </c>
      <c r="BR105" t="s">
        <v>105</v>
      </c>
      <c r="BT105" t="s">
        <v>105</v>
      </c>
      <c r="BV105" t="s">
        <v>125</v>
      </c>
      <c r="BW105" t="s">
        <v>96</v>
      </c>
      <c r="BX105" t="s">
        <v>126</v>
      </c>
      <c r="BY105" t="s">
        <v>100</v>
      </c>
      <c r="BZ105" t="s">
        <v>127</v>
      </c>
      <c r="CA105" t="s">
        <v>100</v>
      </c>
      <c r="CB105" t="s">
        <v>105</v>
      </c>
      <c r="CD105">
        <v>0</v>
      </c>
      <c r="CE105" t="s">
        <v>96</v>
      </c>
      <c r="CF105">
        <v>0</v>
      </c>
      <c r="CG105" t="s">
        <v>96</v>
      </c>
      <c r="CH105">
        <v>1</v>
      </c>
      <c r="CI105" t="s">
        <v>96</v>
      </c>
      <c r="CJ105" t="s">
        <v>105</v>
      </c>
      <c r="CL105" t="s">
        <v>130</v>
      </c>
      <c r="CM105" t="s">
        <v>96</v>
      </c>
      <c r="CN105">
        <v>2</v>
      </c>
      <c r="CO105">
        <v>0</v>
      </c>
    </row>
    <row r="106" spans="1:93" x14ac:dyDescent="0.2">
      <c r="A106" s="3">
        <v>148</v>
      </c>
      <c r="B106" s="3" t="s">
        <v>698</v>
      </c>
      <c r="C106" s="3" t="s">
        <v>699</v>
      </c>
      <c r="D106" s="1"/>
      <c r="E106" s="1">
        <f t="shared" si="9"/>
        <v>7.2387844283415435</v>
      </c>
      <c r="F106" s="1">
        <f t="shared" si="10"/>
        <v>5.24</v>
      </c>
      <c r="G106" s="1">
        <f t="shared" si="11"/>
        <v>10</v>
      </c>
      <c r="H106" s="1"/>
      <c r="I106" s="1">
        <v>43.8</v>
      </c>
      <c r="J106" s="1">
        <v>5.24</v>
      </c>
      <c r="K106" s="1">
        <v>0</v>
      </c>
      <c r="L106" s="1">
        <v>0.9</v>
      </c>
      <c r="M106" s="1"/>
      <c r="N106" s="1"/>
      <c r="O106" s="1">
        <v>0</v>
      </c>
      <c r="P106" s="1">
        <v>0.4</v>
      </c>
      <c r="Q106" s="1">
        <v>0.3</v>
      </c>
      <c r="R106" s="1">
        <v>0</v>
      </c>
      <c r="S106" s="1">
        <v>-13.1520662029889</v>
      </c>
      <c r="T106" s="1">
        <v>-4.5021228393133397</v>
      </c>
      <c r="U106" s="1">
        <v>0</v>
      </c>
      <c r="V106" s="1">
        <v>0</v>
      </c>
      <c r="W106" s="1">
        <v>283.67099999999999</v>
      </c>
      <c r="X106" s="1">
        <v>3.6509999999999998</v>
      </c>
      <c r="Y106" s="1">
        <v>10</v>
      </c>
      <c r="Z106" s="1">
        <v>7.3019999999999996</v>
      </c>
      <c r="AA106" s="1">
        <v>20210222</v>
      </c>
      <c r="AB106" s="1"/>
      <c r="AC106" s="1">
        <v>64.33</v>
      </c>
      <c r="AD106" s="1"/>
      <c r="AE106" s="1">
        <v>62.5</v>
      </c>
      <c r="AF106" s="1"/>
      <c r="AG106" s="1">
        <v>64.62</v>
      </c>
      <c r="AH106" s="1"/>
      <c r="AI106" s="1"/>
      <c r="AJ106" s="1">
        <v>2.4107692307692301</v>
      </c>
      <c r="AK106" s="1">
        <v>3.75</v>
      </c>
      <c r="AL106" s="1">
        <v>715</v>
      </c>
      <c r="AM106" s="1">
        <v>705</v>
      </c>
      <c r="AN106" s="1">
        <v>625.976</v>
      </c>
      <c r="AO106" s="1">
        <v>622</v>
      </c>
      <c r="AP106" s="1">
        <v>10</v>
      </c>
      <c r="AQ106" s="1">
        <v>15.975053356678201</v>
      </c>
      <c r="AR106" s="1">
        <v>14.951768488746</v>
      </c>
      <c r="AS106" s="1">
        <v>1.4951768488746</v>
      </c>
      <c r="AT106" s="1">
        <v>3.2</v>
      </c>
      <c r="AU106" s="1"/>
      <c r="AV106" s="1" t="s">
        <v>700</v>
      </c>
      <c r="AW106" s="1" t="s">
        <v>98</v>
      </c>
      <c r="AX106" s="1" t="s">
        <v>701</v>
      </c>
      <c r="AY106" s="1" t="s">
        <v>100</v>
      </c>
      <c r="AZ106" s="1" t="s">
        <v>135</v>
      </c>
      <c r="BA106" s="1" t="s">
        <v>100</v>
      </c>
      <c r="BB106" s="1" t="s">
        <v>101</v>
      </c>
      <c r="BC106" s="1" t="s">
        <v>98</v>
      </c>
      <c r="BD106" s="1" t="s">
        <v>120</v>
      </c>
      <c r="BE106" s="1" t="s">
        <v>100</v>
      </c>
      <c r="BF106" s="1" t="s">
        <v>137</v>
      </c>
      <c r="BG106" s="1" t="s">
        <v>100</v>
      </c>
      <c r="BH106" s="1" t="s">
        <v>147</v>
      </c>
      <c r="BI106" t="s">
        <v>96</v>
      </c>
      <c r="BJ106" t="s">
        <v>278</v>
      </c>
      <c r="BK106" t="s">
        <v>98</v>
      </c>
      <c r="BL106" t="s">
        <v>191</v>
      </c>
      <c r="BM106" t="s">
        <v>100</v>
      </c>
      <c r="BN106" t="s">
        <v>426</v>
      </c>
      <c r="BO106" t="s">
        <v>96</v>
      </c>
      <c r="BP106" t="s">
        <v>169</v>
      </c>
      <c r="BQ106" t="s">
        <v>100</v>
      </c>
      <c r="BR106" t="s">
        <v>105</v>
      </c>
      <c r="BT106" t="s">
        <v>105</v>
      </c>
      <c r="BV106" t="s">
        <v>125</v>
      </c>
      <c r="BW106" t="s">
        <v>96</v>
      </c>
      <c r="BX106" t="s">
        <v>110</v>
      </c>
      <c r="BY106" t="s">
        <v>96</v>
      </c>
      <c r="BZ106" t="s">
        <v>141</v>
      </c>
      <c r="CA106" t="s">
        <v>96</v>
      </c>
      <c r="CB106" t="s">
        <v>105</v>
      </c>
      <c r="CD106">
        <v>0</v>
      </c>
      <c r="CE106" t="s">
        <v>96</v>
      </c>
      <c r="CF106">
        <v>0</v>
      </c>
      <c r="CG106" t="s">
        <v>96</v>
      </c>
      <c r="CH106">
        <v>0</v>
      </c>
      <c r="CI106" t="s">
        <v>96</v>
      </c>
      <c r="CJ106" t="s">
        <v>105</v>
      </c>
      <c r="CL106" t="s">
        <v>130</v>
      </c>
      <c r="CM106" t="s">
        <v>96</v>
      </c>
      <c r="CN106">
        <v>3</v>
      </c>
      <c r="CO106">
        <v>0</v>
      </c>
    </row>
    <row r="107" spans="1:93" x14ac:dyDescent="0.2">
      <c r="A107" s="3">
        <v>149</v>
      </c>
      <c r="B107" s="3" t="s">
        <v>702</v>
      </c>
      <c r="C107" s="3" t="s">
        <v>703</v>
      </c>
      <c r="D107" s="1"/>
      <c r="E107" s="1">
        <f t="shared" si="9"/>
        <v>5.9160797830996161</v>
      </c>
      <c r="F107" s="1">
        <f t="shared" si="10"/>
        <v>3.5</v>
      </c>
      <c r="G107" s="1">
        <f t="shared" si="11"/>
        <v>10</v>
      </c>
      <c r="H107" s="1"/>
      <c r="I107" s="1">
        <v>62.9</v>
      </c>
      <c r="J107" s="1">
        <v>1.42</v>
      </c>
      <c r="K107" s="1">
        <v>0.9</v>
      </c>
      <c r="L107" s="1">
        <v>0.9</v>
      </c>
      <c r="M107" s="1"/>
      <c r="N107" s="1"/>
      <c r="O107" s="1">
        <v>0.5</v>
      </c>
      <c r="P107" s="1">
        <v>0.6</v>
      </c>
      <c r="Q107" s="1">
        <v>0.7</v>
      </c>
      <c r="R107" s="1">
        <v>9.5238095238094793</v>
      </c>
      <c r="S107" s="1">
        <v>-9.8710725192170798</v>
      </c>
      <c r="T107" s="1">
        <v>-6.4524237075014401</v>
      </c>
      <c r="U107" s="1">
        <v>0</v>
      </c>
      <c r="V107" s="1">
        <v>0</v>
      </c>
      <c r="W107" s="1">
        <v>364.52699999999999</v>
      </c>
      <c r="X107" s="1">
        <v>6.8920000000000003</v>
      </c>
      <c r="Y107" s="1">
        <v>10</v>
      </c>
      <c r="Z107" s="1">
        <v>10</v>
      </c>
      <c r="AA107" s="1">
        <v>20210222</v>
      </c>
      <c r="AB107" s="1">
        <v>62.67</v>
      </c>
      <c r="AC107" s="1">
        <v>62.67</v>
      </c>
      <c r="AD107" s="1">
        <v>100</v>
      </c>
      <c r="AE107" s="1">
        <v>100</v>
      </c>
      <c r="AF107" s="1">
        <v>56.92</v>
      </c>
      <c r="AG107" s="1">
        <v>56.92</v>
      </c>
      <c r="AH107" s="1">
        <v>2</v>
      </c>
      <c r="AI107" s="1">
        <v>1</v>
      </c>
      <c r="AJ107" s="1">
        <v>2.6661538461538501</v>
      </c>
      <c r="AK107" s="1">
        <v>0</v>
      </c>
      <c r="AL107" s="1">
        <v>2092</v>
      </c>
      <c r="AM107" s="1">
        <v>2037</v>
      </c>
      <c r="AN107" s="1">
        <v>1886.202</v>
      </c>
      <c r="AO107" s="1">
        <v>1538</v>
      </c>
      <c r="AP107" s="1">
        <v>55</v>
      </c>
      <c r="AQ107" s="1">
        <v>29.159125056595201</v>
      </c>
      <c r="AR107" s="1">
        <v>36.020806241872499</v>
      </c>
      <c r="AS107" s="1">
        <v>3.6020806241872498</v>
      </c>
      <c r="AT107" s="1">
        <v>3.4</v>
      </c>
      <c r="AU107" s="1"/>
      <c r="AV107" s="1" t="s">
        <v>704</v>
      </c>
      <c r="AW107" s="1" t="s">
        <v>98</v>
      </c>
      <c r="AX107" s="1" t="s">
        <v>232</v>
      </c>
      <c r="AY107" s="1" t="s">
        <v>100</v>
      </c>
      <c r="AZ107" s="1" t="s">
        <v>118</v>
      </c>
      <c r="BA107" s="1" t="s">
        <v>100</v>
      </c>
      <c r="BB107" s="1" t="s">
        <v>101</v>
      </c>
      <c r="BC107" s="1" t="s">
        <v>98</v>
      </c>
      <c r="BD107" s="1" t="s">
        <v>101</v>
      </c>
      <c r="BE107" s="1" t="s">
        <v>98</v>
      </c>
      <c r="BF107" s="1" t="s">
        <v>183</v>
      </c>
      <c r="BG107" s="1" t="s">
        <v>96</v>
      </c>
      <c r="BH107" s="1" t="s">
        <v>147</v>
      </c>
      <c r="BI107" t="s">
        <v>96</v>
      </c>
      <c r="BJ107" t="s">
        <v>328</v>
      </c>
      <c r="BK107" t="s">
        <v>98</v>
      </c>
      <c r="BL107" t="s">
        <v>705</v>
      </c>
      <c r="BM107" t="s">
        <v>100</v>
      </c>
      <c r="BN107" t="s">
        <v>207</v>
      </c>
      <c r="BO107" t="s">
        <v>96</v>
      </c>
      <c r="BP107" t="s">
        <v>124</v>
      </c>
      <c r="BQ107" t="s">
        <v>96</v>
      </c>
      <c r="BR107" t="s">
        <v>105</v>
      </c>
      <c r="BT107" t="s">
        <v>105</v>
      </c>
      <c r="BV107" t="s">
        <v>125</v>
      </c>
      <c r="BW107" t="s">
        <v>96</v>
      </c>
      <c r="BX107" t="s">
        <v>126</v>
      </c>
      <c r="BY107" t="s">
        <v>100</v>
      </c>
      <c r="BZ107" t="s">
        <v>127</v>
      </c>
      <c r="CA107" t="s">
        <v>100</v>
      </c>
      <c r="CB107" t="s">
        <v>105</v>
      </c>
      <c r="CD107">
        <v>0</v>
      </c>
      <c r="CE107" t="s">
        <v>96</v>
      </c>
      <c r="CF107">
        <v>0</v>
      </c>
      <c r="CG107" t="s">
        <v>96</v>
      </c>
      <c r="CH107">
        <v>0</v>
      </c>
      <c r="CI107" t="s">
        <v>96</v>
      </c>
      <c r="CJ107" t="s">
        <v>105</v>
      </c>
      <c r="CL107" t="s">
        <v>130</v>
      </c>
      <c r="CM107" t="s">
        <v>96</v>
      </c>
      <c r="CN107">
        <v>3.5</v>
      </c>
      <c r="CO107">
        <v>0</v>
      </c>
    </row>
    <row r="108" spans="1:93" x14ac:dyDescent="0.2">
      <c r="A108" s="3">
        <v>150</v>
      </c>
      <c r="B108" s="3" t="s">
        <v>706</v>
      </c>
      <c r="C108" s="3" t="s">
        <v>707</v>
      </c>
      <c r="D108" s="1"/>
      <c r="E108" s="1">
        <f t="shared" si="9"/>
        <v>6.4086994446165431</v>
      </c>
      <c r="F108" s="1">
        <f t="shared" si="10"/>
        <v>5.75</v>
      </c>
      <c r="G108" s="1">
        <f t="shared" si="11"/>
        <v>7.1428571428571104</v>
      </c>
      <c r="H108" s="1"/>
      <c r="I108" s="1">
        <v>43.7</v>
      </c>
      <c r="J108" s="1">
        <v>5.26</v>
      </c>
      <c r="K108" s="1">
        <v>0</v>
      </c>
      <c r="L108" s="1">
        <v>0.7</v>
      </c>
      <c r="M108" s="1"/>
      <c r="N108" s="1"/>
      <c r="O108" s="1">
        <v>1</v>
      </c>
      <c r="P108" s="1">
        <v>0.7</v>
      </c>
      <c r="Q108" s="1">
        <v>0.6</v>
      </c>
      <c r="R108" s="1">
        <v>7.1428571428571104</v>
      </c>
      <c r="S108" s="1">
        <v>-33.376649941642903</v>
      </c>
      <c r="T108" s="1">
        <v>-33.123711111603903</v>
      </c>
      <c r="U108" s="1">
        <v>0</v>
      </c>
      <c r="V108" s="1">
        <v>0</v>
      </c>
      <c r="W108" s="1">
        <v>10.375999999999999</v>
      </c>
      <c r="X108" s="1">
        <v>0.29799999999999999</v>
      </c>
      <c r="Y108" s="1">
        <v>0.41503999999999902</v>
      </c>
      <c r="Z108" s="1">
        <v>0.59599999999999997</v>
      </c>
      <c r="AA108" s="1">
        <v>20210222</v>
      </c>
      <c r="AB108" s="1"/>
      <c r="AC108" s="1">
        <v>63.56</v>
      </c>
      <c r="AD108" s="1"/>
      <c r="AE108" s="1">
        <v>25</v>
      </c>
      <c r="AF108" s="1"/>
      <c r="AG108" s="1">
        <v>69.489999999999995</v>
      </c>
      <c r="AH108" s="1"/>
      <c r="AI108" s="1"/>
      <c r="AJ108" s="1">
        <v>2.5292307692307698</v>
      </c>
      <c r="AK108" s="1">
        <v>7.5</v>
      </c>
      <c r="AL108" s="1">
        <v>8839</v>
      </c>
      <c r="AM108" s="1">
        <v>8821</v>
      </c>
      <c r="AN108" s="1">
        <v>36910.557999999997</v>
      </c>
      <c r="AO108" s="1">
        <v>8548</v>
      </c>
      <c r="AP108" s="1">
        <v>18</v>
      </c>
      <c r="AQ108" s="1">
        <v>0.48766534496715003</v>
      </c>
      <c r="AR108" s="1">
        <v>3.4043051006083398</v>
      </c>
      <c r="AS108" s="1">
        <v>0.34043051006083402</v>
      </c>
      <c r="AT108" s="1">
        <v>4.3</v>
      </c>
      <c r="AU108" s="1"/>
      <c r="AV108" s="1" t="s">
        <v>708</v>
      </c>
      <c r="AW108" s="1" t="s">
        <v>100</v>
      </c>
      <c r="AX108" s="1" t="s">
        <v>617</v>
      </c>
      <c r="AY108" s="1" t="s">
        <v>96</v>
      </c>
      <c r="AZ108" s="1" t="s">
        <v>135</v>
      </c>
      <c r="BA108" s="1" t="s">
        <v>100</v>
      </c>
      <c r="BB108" s="1" t="s">
        <v>119</v>
      </c>
      <c r="BC108" s="1" t="s">
        <v>96</v>
      </c>
      <c r="BD108" s="1" t="s">
        <v>136</v>
      </c>
      <c r="BE108" s="1" t="s">
        <v>100</v>
      </c>
      <c r="BF108" s="1" t="s">
        <v>137</v>
      </c>
      <c r="BG108" s="1" t="s">
        <v>100</v>
      </c>
      <c r="BH108" s="1" t="s">
        <v>103</v>
      </c>
      <c r="BI108" t="s">
        <v>98</v>
      </c>
      <c r="BJ108" t="s">
        <v>364</v>
      </c>
      <c r="BK108" t="s">
        <v>98</v>
      </c>
      <c r="BL108" t="s">
        <v>709</v>
      </c>
      <c r="BM108" t="s">
        <v>100</v>
      </c>
      <c r="BN108" t="s">
        <v>464</v>
      </c>
      <c r="BO108" t="s">
        <v>96</v>
      </c>
      <c r="BP108" t="s">
        <v>124</v>
      </c>
      <c r="BQ108" t="s">
        <v>96</v>
      </c>
      <c r="BR108" t="s">
        <v>105</v>
      </c>
      <c r="BT108" t="s">
        <v>710</v>
      </c>
      <c r="BU108" t="s">
        <v>96</v>
      </c>
      <c r="BV108" t="s">
        <v>125</v>
      </c>
      <c r="BW108" t="s">
        <v>96</v>
      </c>
      <c r="BX108" t="s">
        <v>126</v>
      </c>
      <c r="BY108" t="s">
        <v>100</v>
      </c>
      <c r="BZ108" t="s">
        <v>127</v>
      </c>
      <c r="CA108" t="s">
        <v>100</v>
      </c>
      <c r="CB108" t="s">
        <v>711</v>
      </c>
      <c r="CC108" t="s">
        <v>96</v>
      </c>
      <c r="CD108">
        <v>2.2999999999999998</v>
      </c>
      <c r="CE108" t="s">
        <v>100</v>
      </c>
      <c r="CF108">
        <v>0</v>
      </c>
      <c r="CG108" t="s">
        <v>96</v>
      </c>
      <c r="CH108">
        <v>5.5</v>
      </c>
      <c r="CI108" t="s">
        <v>100</v>
      </c>
      <c r="CJ108" t="s">
        <v>112</v>
      </c>
      <c r="CK108" t="s">
        <v>96</v>
      </c>
      <c r="CL108" t="s">
        <v>130</v>
      </c>
      <c r="CM108" t="s">
        <v>96</v>
      </c>
      <c r="CN108">
        <v>5.75</v>
      </c>
      <c r="CO108">
        <v>0</v>
      </c>
    </row>
    <row r="109" spans="1:93" x14ac:dyDescent="0.2">
      <c r="A109" s="3">
        <v>151</v>
      </c>
      <c r="B109" s="3" t="s">
        <v>712</v>
      </c>
      <c r="C109" s="3" t="s">
        <v>713</v>
      </c>
      <c r="D109" s="1"/>
      <c r="E109" s="1">
        <f t="shared" si="9"/>
        <v>7.4703574211680133</v>
      </c>
      <c r="F109" s="1">
        <f t="shared" si="10"/>
        <v>6</v>
      </c>
      <c r="G109" s="1">
        <f t="shared" si="11"/>
        <v>9.3010400000000004</v>
      </c>
      <c r="H109" s="1"/>
      <c r="I109" s="1">
        <v>42.9</v>
      </c>
      <c r="J109" s="1">
        <v>5.42</v>
      </c>
      <c r="K109" s="1"/>
      <c r="L109" s="1"/>
      <c r="M109" s="1"/>
      <c r="N109" s="1"/>
      <c r="O109" s="1"/>
      <c r="P109" s="1"/>
      <c r="Q109" s="1"/>
      <c r="R109" s="1"/>
      <c r="S109" s="1">
        <v>27.066901339077599</v>
      </c>
      <c r="T109" s="1">
        <v>51.908581063247603</v>
      </c>
      <c r="U109" s="1">
        <v>1.8044600892718401</v>
      </c>
      <c r="V109" s="1">
        <v>3.46057207088317</v>
      </c>
      <c r="W109" s="1">
        <v>232.52600000000001</v>
      </c>
      <c r="X109" s="1">
        <v>4.5679999999999996</v>
      </c>
      <c r="Y109" s="1">
        <v>9.3010400000000004</v>
      </c>
      <c r="Z109" s="1">
        <v>9.1359999999999992</v>
      </c>
      <c r="AA109" s="1">
        <v>20210222</v>
      </c>
      <c r="AB109" s="1"/>
      <c r="AC109" s="1">
        <v>45.56</v>
      </c>
      <c r="AD109" s="1"/>
      <c r="AE109" s="1">
        <v>37.5</v>
      </c>
      <c r="AF109" s="1"/>
      <c r="AG109" s="1">
        <v>46.79</v>
      </c>
      <c r="AH109" s="1"/>
      <c r="AI109" s="1"/>
      <c r="AJ109" s="1">
        <v>5.2984615384615399</v>
      </c>
      <c r="AK109" s="1">
        <v>6.25</v>
      </c>
      <c r="AL109" s="1">
        <v>5065</v>
      </c>
      <c r="AM109" s="1">
        <v>4909</v>
      </c>
      <c r="AN109" s="1">
        <v>4033.9630000000002</v>
      </c>
      <c r="AO109" s="1">
        <v>3760</v>
      </c>
      <c r="AP109" s="1">
        <v>156</v>
      </c>
      <c r="AQ109" s="1">
        <v>38.6716486988106</v>
      </c>
      <c r="AR109" s="1">
        <v>34.707446808510603</v>
      </c>
      <c r="AS109" s="1">
        <v>3.4707446808510598</v>
      </c>
      <c r="AT109" s="1">
        <v>4.4000000000000004</v>
      </c>
      <c r="AU109" s="1"/>
      <c r="AV109" s="1" t="s">
        <v>714</v>
      </c>
      <c r="AW109" s="1" t="s">
        <v>98</v>
      </c>
      <c r="AX109" s="1" t="s">
        <v>715</v>
      </c>
      <c r="AY109" s="1" t="s">
        <v>100</v>
      </c>
      <c r="AZ109" s="1" t="s">
        <v>118</v>
      </c>
      <c r="BA109" s="1" t="s">
        <v>100</v>
      </c>
      <c r="BB109" s="1" t="s">
        <v>101</v>
      </c>
      <c r="BC109" s="1" t="s">
        <v>98</v>
      </c>
      <c r="BD109" s="1" t="s">
        <v>101</v>
      </c>
      <c r="BE109" s="1" t="s">
        <v>98</v>
      </c>
      <c r="BF109" s="1" t="s">
        <v>137</v>
      </c>
      <c r="BG109" s="1" t="s">
        <v>100</v>
      </c>
      <c r="BH109" s="1" t="s">
        <v>121</v>
      </c>
      <c r="BI109" t="s">
        <v>100</v>
      </c>
      <c r="BJ109" t="s">
        <v>161</v>
      </c>
      <c r="BK109" t="s">
        <v>98</v>
      </c>
      <c r="BL109" t="s">
        <v>272</v>
      </c>
      <c r="BM109" t="s">
        <v>100</v>
      </c>
      <c r="BN109" t="s">
        <v>348</v>
      </c>
      <c r="BO109" t="s">
        <v>96</v>
      </c>
      <c r="BP109" t="s">
        <v>124</v>
      </c>
      <c r="BQ109" t="s">
        <v>96</v>
      </c>
      <c r="BR109" t="s">
        <v>105</v>
      </c>
      <c r="BT109" t="s">
        <v>105</v>
      </c>
      <c r="BV109" t="s">
        <v>125</v>
      </c>
      <c r="BW109" t="s">
        <v>96</v>
      </c>
      <c r="BX109" t="s">
        <v>126</v>
      </c>
      <c r="BY109" t="s">
        <v>100</v>
      </c>
      <c r="BZ109" t="s">
        <v>141</v>
      </c>
      <c r="CA109" t="s">
        <v>96</v>
      </c>
      <c r="CB109" t="s">
        <v>105</v>
      </c>
      <c r="CD109">
        <v>0</v>
      </c>
      <c r="CE109" t="s">
        <v>96</v>
      </c>
      <c r="CF109">
        <v>0</v>
      </c>
      <c r="CG109" t="s">
        <v>96</v>
      </c>
      <c r="CH109">
        <v>1.9</v>
      </c>
      <c r="CI109" t="s">
        <v>96</v>
      </c>
      <c r="CJ109" t="s">
        <v>105</v>
      </c>
      <c r="CL109" t="s">
        <v>130</v>
      </c>
      <c r="CM109" t="s">
        <v>96</v>
      </c>
      <c r="CN109">
        <v>6</v>
      </c>
      <c r="CO109">
        <v>0</v>
      </c>
    </row>
    <row r="110" spans="1:93" x14ac:dyDescent="0.2">
      <c r="A110" s="3">
        <v>152</v>
      </c>
      <c r="B110" s="3" t="s">
        <v>716</v>
      </c>
      <c r="C110" s="3" t="s">
        <v>717</v>
      </c>
      <c r="D110" s="1"/>
      <c r="E110" s="1">
        <f t="shared" si="9"/>
        <v>8.8083962362345503</v>
      </c>
      <c r="F110" s="1">
        <f t="shared" si="10"/>
        <v>10</v>
      </c>
      <c r="G110" s="1">
        <f t="shared" si="11"/>
        <v>7.7587844254510996</v>
      </c>
      <c r="H110" s="1"/>
      <c r="I110" s="1">
        <v>40.1</v>
      </c>
      <c r="J110" s="1">
        <v>5.98</v>
      </c>
      <c r="K110" s="1">
        <v>0</v>
      </c>
      <c r="L110" s="1">
        <v>0.5</v>
      </c>
      <c r="M110" s="1"/>
      <c r="N110" s="1"/>
      <c r="O110" s="1">
        <v>1</v>
      </c>
      <c r="P110" s="1"/>
      <c r="Q110" s="1">
        <v>0.5</v>
      </c>
      <c r="R110" s="1">
        <v>4.7619047619047397</v>
      </c>
      <c r="S110" s="1">
        <v>116.381766381766</v>
      </c>
      <c r="T110" s="1">
        <v>-17.789216752459001</v>
      </c>
      <c r="U110" s="1">
        <v>7.7587844254510996</v>
      </c>
      <c r="V110" s="1">
        <v>0</v>
      </c>
      <c r="W110" s="1">
        <v>1.202</v>
      </c>
      <c r="X110" s="1">
        <v>2.5999999999999999E-2</v>
      </c>
      <c r="Y110" s="1">
        <v>4.8080000000000601E-2</v>
      </c>
      <c r="Z110" s="1">
        <v>5.1999999999999602E-2</v>
      </c>
      <c r="AA110" s="1">
        <v>20210222</v>
      </c>
      <c r="AB110" s="1">
        <v>41.11</v>
      </c>
      <c r="AC110" s="1">
        <v>41.11</v>
      </c>
      <c r="AD110" s="1">
        <v>50</v>
      </c>
      <c r="AE110" s="1">
        <v>50</v>
      </c>
      <c r="AF110" s="1">
        <v>39.74</v>
      </c>
      <c r="AG110" s="1">
        <v>39.74</v>
      </c>
      <c r="AH110" s="1">
        <v>1</v>
      </c>
      <c r="AI110" s="1">
        <v>1</v>
      </c>
      <c r="AJ110" s="1">
        <v>5.9830769230769203</v>
      </c>
      <c r="AK110" s="1">
        <v>5</v>
      </c>
      <c r="AL110" s="1">
        <v>3487</v>
      </c>
      <c r="AM110" s="1">
        <v>1743</v>
      </c>
      <c r="AN110" s="1">
        <v>27691.019</v>
      </c>
      <c r="AO110" s="1">
        <v>292</v>
      </c>
      <c r="AP110" s="1">
        <v>1744</v>
      </c>
      <c r="AQ110" s="1">
        <v>62.980708655033602</v>
      </c>
      <c r="AR110" s="1">
        <v>1094.17808219178</v>
      </c>
      <c r="AS110" s="1">
        <v>10</v>
      </c>
      <c r="AT110" s="1">
        <v>6.2</v>
      </c>
      <c r="AU110" s="1"/>
      <c r="AV110" s="1" t="s">
        <v>718</v>
      </c>
      <c r="AW110" s="1" t="s">
        <v>96</v>
      </c>
      <c r="AX110" s="1" t="s">
        <v>510</v>
      </c>
      <c r="AY110" s="1" t="s">
        <v>100</v>
      </c>
      <c r="AZ110" s="1" t="s">
        <v>135</v>
      </c>
      <c r="BA110" s="1" t="s">
        <v>100</v>
      </c>
      <c r="BB110" s="1" t="s">
        <v>119</v>
      </c>
      <c r="BC110" s="1" t="s">
        <v>96</v>
      </c>
      <c r="BD110" s="1" t="s">
        <v>101</v>
      </c>
      <c r="BE110" s="1" t="s">
        <v>98</v>
      </c>
      <c r="BF110" s="1" t="s">
        <v>137</v>
      </c>
      <c r="BG110" s="1" t="s">
        <v>100</v>
      </c>
      <c r="BH110" s="1" t="s">
        <v>121</v>
      </c>
      <c r="BI110" t="s">
        <v>100</v>
      </c>
      <c r="BJ110" t="s">
        <v>197</v>
      </c>
      <c r="BK110" t="s">
        <v>98</v>
      </c>
      <c r="BL110" t="s">
        <v>105</v>
      </c>
      <c r="BN110" t="s">
        <v>410</v>
      </c>
      <c r="BO110" t="s">
        <v>100</v>
      </c>
      <c r="BP110" t="s">
        <v>124</v>
      </c>
      <c r="BQ110" t="s">
        <v>96</v>
      </c>
      <c r="BR110" t="s">
        <v>719</v>
      </c>
      <c r="BS110" t="s">
        <v>100</v>
      </c>
      <c r="BT110" t="s">
        <v>105</v>
      </c>
      <c r="BV110" t="s">
        <v>125</v>
      </c>
      <c r="BW110" t="s">
        <v>96</v>
      </c>
      <c r="BX110" t="s">
        <v>200</v>
      </c>
      <c r="BY110" t="s">
        <v>100</v>
      </c>
      <c r="BZ110" t="s">
        <v>127</v>
      </c>
      <c r="CA110" t="s">
        <v>100</v>
      </c>
      <c r="CB110" t="s">
        <v>720</v>
      </c>
      <c r="CC110" t="s">
        <v>100</v>
      </c>
      <c r="CD110">
        <v>7.2</v>
      </c>
      <c r="CE110" t="s">
        <v>98</v>
      </c>
      <c r="CF110">
        <v>7.2</v>
      </c>
      <c r="CG110" t="s">
        <v>98</v>
      </c>
      <c r="CH110">
        <v>4.2</v>
      </c>
      <c r="CI110" t="s">
        <v>100</v>
      </c>
      <c r="CJ110" t="s">
        <v>112</v>
      </c>
      <c r="CK110" t="s">
        <v>96</v>
      </c>
      <c r="CL110" t="s">
        <v>98</v>
      </c>
      <c r="CM110" t="s">
        <v>98</v>
      </c>
      <c r="CN110">
        <v>10</v>
      </c>
      <c r="CO110">
        <v>0</v>
      </c>
    </row>
    <row r="111" spans="1:93" x14ac:dyDescent="0.2">
      <c r="A111" s="3">
        <v>153</v>
      </c>
      <c r="B111" s="3" t="s">
        <v>721</v>
      </c>
      <c r="C111" s="3" t="s">
        <v>722</v>
      </c>
      <c r="D111" s="1"/>
      <c r="E111" s="1">
        <f t="shared" si="9"/>
        <v>8.4865306928096356</v>
      </c>
      <c r="F111" s="1">
        <f t="shared" si="10"/>
        <v>7.24</v>
      </c>
      <c r="G111" s="1">
        <f t="shared" si="11"/>
        <v>9.9476800000000001</v>
      </c>
      <c r="H111" s="1"/>
      <c r="I111" s="1">
        <v>33.799999999999997</v>
      </c>
      <c r="J111" s="1">
        <v>7.24</v>
      </c>
      <c r="K111" s="1"/>
      <c r="L111" s="1"/>
      <c r="M111" s="1"/>
      <c r="N111" s="1"/>
      <c r="O111" s="1"/>
      <c r="P111" s="1"/>
      <c r="Q111" s="1"/>
      <c r="R111" s="1"/>
      <c r="S111" s="1">
        <v>34.615384615384599</v>
      </c>
      <c r="T111" s="1">
        <v>10.851008697303699</v>
      </c>
      <c r="U111" s="1">
        <v>2.3076923076923102</v>
      </c>
      <c r="V111" s="1">
        <v>0.72340057982024697</v>
      </c>
      <c r="W111" s="1">
        <v>248.69200000000001</v>
      </c>
      <c r="X111" s="1">
        <v>0.52900000000000003</v>
      </c>
      <c r="Y111" s="1">
        <v>9.9476800000000001</v>
      </c>
      <c r="Z111" s="1">
        <v>1.0580000000000001</v>
      </c>
      <c r="AA111" s="1"/>
      <c r="AB111" s="1"/>
      <c r="AC111" s="1"/>
      <c r="AD111" s="1"/>
      <c r="AE111" s="1"/>
      <c r="AF111" s="1"/>
      <c r="AG111" s="1"/>
      <c r="AH111" s="1"/>
      <c r="AI111" s="1"/>
      <c r="AJ111" s="1"/>
      <c r="AK111" s="1"/>
      <c r="AL111" s="1">
        <v>77</v>
      </c>
      <c r="AM111" s="1">
        <v>75</v>
      </c>
      <c r="AN111" s="1">
        <v>540.54200000000003</v>
      </c>
      <c r="AO111" s="1">
        <v>60</v>
      </c>
      <c r="AP111" s="1">
        <v>2</v>
      </c>
      <c r="AQ111" s="1">
        <v>3.69999001002697</v>
      </c>
      <c r="AR111" s="1">
        <v>28.3333333333333</v>
      </c>
      <c r="AS111" s="1">
        <v>2.8333333333333299</v>
      </c>
      <c r="AT111" s="1">
        <v>4</v>
      </c>
      <c r="AU111" s="1"/>
      <c r="AV111" s="1" t="s">
        <v>723</v>
      </c>
      <c r="AW111" s="1" t="s">
        <v>98</v>
      </c>
      <c r="AX111" s="1" t="s">
        <v>105</v>
      </c>
      <c r="AY111" s="1"/>
      <c r="AZ111" s="1" t="s">
        <v>105</v>
      </c>
      <c r="BA111" s="1"/>
      <c r="BB111" s="1" t="s">
        <v>105</v>
      </c>
      <c r="BC111" s="1"/>
      <c r="BD111" s="1" t="s">
        <v>105</v>
      </c>
      <c r="BE111" s="1"/>
      <c r="BF111" s="1" t="s">
        <v>105</v>
      </c>
      <c r="BG111" s="1"/>
      <c r="BH111" s="1" t="s">
        <v>105</v>
      </c>
      <c r="BJ111" t="s">
        <v>724</v>
      </c>
      <c r="BK111" t="s">
        <v>98</v>
      </c>
      <c r="BL111" t="s">
        <v>105</v>
      </c>
      <c r="BN111" t="s">
        <v>426</v>
      </c>
      <c r="BO111" t="s">
        <v>96</v>
      </c>
      <c r="BP111" t="s">
        <v>124</v>
      </c>
      <c r="BQ111" t="s">
        <v>96</v>
      </c>
      <c r="BR111" t="s">
        <v>105</v>
      </c>
      <c r="BT111" t="s">
        <v>105</v>
      </c>
      <c r="BV111" t="s">
        <v>105</v>
      </c>
      <c r="BX111" t="s">
        <v>105</v>
      </c>
      <c r="BZ111" t="s">
        <v>105</v>
      </c>
      <c r="CB111" t="s">
        <v>105</v>
      </c>
      <c r="CD111">
        <v>0.1</v>
      </c>
      <c r="CE111" t="s">
        <v>96</v>
      </c>
      <c r="CF111">
        <v>0</v>
      </c>
      <c r="CG111" t="s">
        <v>96</v>
      </c>
      <c r="CH111">
        <v>0</v>
      </c>
      <c r="CI111" t="s">
        <v>96</v>
      </c>
      <c r="CJ111" t="s">
        <v>105</v>
      </c>
      <c r="CL111" t="s">
        <v>130</v>
      </c>
      <c r="CM111" t="s">
        <v>96</v>
      </c>
      <c r="CN111">
        <v>5</v>
      </c>
      <c r="CO111">
        <v>0</v>
      </c>
    </row>
    <row r="112" spans="1:93" x14ac:dyDescent="0.2">
      <c r="A112" s="3">
        <v>154</v>
      </c>
      <c r="B112" s="3" t="s">
        <v>725</v>
      </c>
      <c r="C112" s="3" t="s">
        <v>726</v>
      </c>
      <c r="D112" s="1"/>
      <c r="E112" s="1">
        <f t="shared" si="9"/>
        <v>6.5192024052026483</v>
      </c>
      <c r="F112" s="1">
        <f t="shared" si="10"/>
        <v>4.25</v>
      </c>
      <c r="G112" s="1">
        <f t="shared" si="11"/>
        <v>10</v>
      </c>
      <c r="H112" s="1"/>
      <c r="I112" s="1">
        <v>57.6</v>
      </c>
      <c r="J112" s="1">
        <v>2.48</v>
      </c>
      <c r="K112" s="1">
        <v>0</v>
      </c>
      <c r="L112" s="1">
        <v>0.3</v>
      </c>
      <c r="M112" s="1"/>
      <c r="N112" s="1"/>
      <c r="O112" s="1">
        <v>0.8</v>
      </c>
      <c r="P112" s="1">
        <v>0.6</v>
      </c>
      <c r="Q112" s="1">
        <v>0.4</v>
      </c>
      <c r="R112" s="1">
        <v>2.3809523809523698</v>
      </c>
      <c r="S112" s="1">
        <v>-12.473160657606799</v>
      </c>
      <c r="T112" s="1">
        <v>-30.924447788391401</v>
      </c>
      <c r="U112" s="1">
        <v>0</v>
      </c>
      <c r="V112" s="1">
        <v>0</v>
      </c>
      <c r="W112" s="1">
        <v>53.832999999999998</v>
      </c>
      <c r="X112" s="1">
        <v>6.5369999999999999</v>
      </c>
      <c r="Y112" s="1">
        <v>2.1533199999999999</v>
      </c>
      <c r="Z112" s="1">
        <v>10</v>
      </c>
      <c r="AA112" s="1">
        <v>20210222</v>
      </c>
      <c r="AB112" s="1"/>
      <c r="AC112" s="1">
        <v>69.11</v>
      </c>
      <c r="AD112" s="1"/>
      <c r="AE112" s="1">
        <v>75</v>
      </c>
      <c r="AF112" s="1"/>
      <c r="AG112" s="1">
        <v>68.209999999999994</v>
      </c>
      <c r="AH112" s="1"/>
      <c r="AI112" s="1"/>
      <c r="AJ112" s="1">
        <v>1.6753846153846199</v>
      </c>
      <c r="AK112" s="1">
        <v>2.5</v>
      </c>
      <c r="AL112" s="1">
        <v>202303</v>
      </c>
      <c r="AM112" s="1">
        <v>200824</v>
      </c>
      <c r="AN112" s="1">
        <v>128932.753</v>
      </c>
      <c r="AO112" s="1">
        <v>179797</v>
      </c>
      <c r="AP112" s="1">
        <v>1479</v>
      </c>
      <c r="AQ112" s="1">
        <v>11.47109609922</v>
      </c>
      <c r="AR112" s="1">
        <v>12.5174502355434</v>
      </c>
      <c r="AS112" s="1">
        <v>1.2517450235543399</v>
      </c>
      <c r="AT112" s="1">
        <v>3.7</v>
      </c>
      <c r="AU112" s="1"/>
      <c r="AV112" s="1" t="s">
        <v>674</v>
      </c>
      <c r="AW112" s="1" t="s">
        <v>98</v>
      </c>
      <c r="AX112" s="1" t="s">
        <v>263</v>
      </c>
      <c r="AY112" s="1" t="s">
        <v>100</v>
      </c>
      <c r="AZ112" s="1" t="s">
        <v>99</v>
      </c>
      <c r="BA112" s="1" t="s">
        <v>100</v>
      </c>
      <c r="BB112" s="1" t="s">
        <v>119</v>
      </c>
      <c r="BC112" s="1" t="s">
        <v>96</v>
      </c>
      <c r="BD112" s="1" t="s">
        <v>136</v>
      </c>
      <c r="BE112" s="1" t="s">
        <v>100</v>
      </c>
      <c r="BF112" s="1" t="s">
        <v>137</v>
      </c>
      <c r="BG112" s="1" t="s">
        <v>100</v>
      </c>
      <c r="BH112" s="1" t="s">
        <v>147</v>
      </c>
      <c r="BI112" t="s">
        <v>96</v>
      </c>
      <c r="BJ112" t="s">
        <v>552</v>
      </c>
      <c r="BK112" t="s">
        <v>98</v>
      </c>
      <c r="BL112" t="s">
        <v>727</v>
      </c>
      <c r="BM112" t="s">
        <v>100</v>
      </c>
      <c r="BN112" t="s">
        <v>728</v>
      </c>
      <c r="BO112" t="s">
        <v>100</v>
      </c>
      <c r="BP112" t="s">
        <v>227</v>
      </c>
      <c r="BQ112" t="s">
        <v>98</v>
      </c>
      <c r="BR112" t="s">
        <v>105</v>
      </c>
      <c r="BT112" t="s">
        <v>729</v>
      </c>
      <c r="BU112" t="s">
        <v>100</v>
      </c>
      <c r="BV112" t="s">
        <v>125</v>
      </c>
      <c r="BW112" t="s">
        <v>96</v>
      </c>
      <c r="BX112" t="s">
        <v>200</v>
      </c>
      <c r="BY112" t="s">
        <v>100</v>
      </c>
      <c r="BZ112" t="s">
        <v>127</v>
      </c>
      <c r="CA112" t="s">
        <v>100</v>
      </c>
      <c r="CB112" t="s">
        <v>730</v>
      </c>
      <c r="CC112" t="s">
        <v>98</v>
      </c>
      <c r="CD112">
        <v>1</v>
      </c>
      <c r="CE112" t="s">
        <v>96</v>
      </c>
      <c r="CF112">
        <v>0</v>
      </c>
      <c r="CG112" t="s">
        <v>96</v>
      </c>
      <c r="CH112">
        <v>3.4</v>
      </c>
      <c r="CI112" t="s">
        <v>100</v>
      </c>
      <c r="CJ112" t="s">
        <v>105</v>
      </c>
      <c r="CL112" t="s">
        <v>96</v>
      </c>
      <c r="CM112" t="s">
        <v>100</v>
      </c>
      <c r="CN112">
        <v>4.25</v>
      </c>
      <c r="CO112">
        <v>10</v>
      </c>
    </row>
    <row r="113" spans="1:93" x14ac:dyDescent="0.2">
      <c r="A113" s="3">
        <v>155</v>
      </c>
      <c r="B113" s="3" t="s">
        <v>731</v>
      </c>
      <c r="C113" s="3" t="s">
        <v>732</v>
      </c>
      <c r="D113" s="1"/>
      <c r="E113" s="1">
        <f t="shared" si="9"/>
        <v>10</v>
      </c>
      <c r="F113" s="1">
        <f t="shared" si="10"/>
        <v>10</v>
      </c>
      <c r="G113" s="1">
        <f t="shared" si="11"/>
        <v>0</v>
      </c>
      <c r="H113" s="1"/>
      <c r="I113" s="1">
        <v>18.2</v>
      </c>
      <c r="J113" s="1">
        <v>10</v>
      </c>
      <c r="K113" s="1"/>
      <c r="L113" s="1"/>
      <c r="M113" s="1"/>
      <c r="N113" s="1"/>
      <c r="O113" s="1"/>
      <c r="P113" s="1"/>
      <c r="Q113" s="1"/>
      <c r="R113" s="1"/>
      <c r="S113" s="1"/>
      <c r="T113" s="1"/>
      <c r="U113" s="1"/>
      <c r="V113" s="1"/>
      <c r="W113" s="1">
        <v>0</v>
      </c>
      <c r="X113" s="1">
        <v>0</v>
      </c>
      <c r="Y113" s="1">
        <v>0</v>
      </c>
      <c r="Z113" s="1">
        <v>0</v>
      </c>
      <c r="AA113" s="1"/>
      <c r="AB113" s="1"/>
      <c r="AC113" s="1"/>
      <c r="AD113" s="1"/>
      <c r="AE113" s="1"/>
      <c r="AF113" s="1"/>
      <c r="AG113" s="1"/>
      <c r="AH113" s="1"/>
      <c r="AI113" s="1"/>
      <c r="AJ113" s="1"/>
      <c r="AK113" s="1"/>
      <c r="AL113" s="1"/>
      <c r="AM113" s="1"/>
      <c r="AN113" s="1"/>
      <c r="AO113" s="1"/>
      <c r="AP113" s="1"/>
      <c r="AQ113" s="1"/>
      <c r="AR113" s="1"/>
      <c r="AS113" s="1"/>
      <c r="AT113" s="1">
        <v>5.4</v>
      </c>
      <c r="AU113" s="1"/>
      <c r="AV113" s="1" t="s">
        <v>533</v>
      </c>
      <c r="AW113" s="1" t="s">
        <v>96</v>
      </c>
      <c r="AX113" s="1" t="s">
        <v>105</v>
      </c>
      <c r="AY113" s="1"/>
      <c r="AZ113" s="1" t="s">
        <v>105</v>
      </c>
      <c r="BA113" s="1"/>
      <c r="BB113" s="1" t="s">
        <v>105</v>
      </c>
      <c r="BC113" s="1"/>
      <c r="BD113" s="1" t="s">
        <v>105</v>
      </c>
      <c r="BE113" s="1"/>
      <c r="BF113" s="1" t="s">
        <v>105</v>
      </c>
      <c r="BG113" s="1"/>
      <c r="BH113" s="1" t="s">
        <v>105</v>
      </c>
      <c r="BJ113" t="s">
        <v>161</v>
      </c>
      <c r="BK113" t="s">
        <v>98</v>
      </c>
      <c r="BL113" t="s">
        <v>105</v>
      </c>
      <c r="BN113" t="s">
        <v>163</v>
      </c>
      <c r="BO113" t="s">
        <v>96</v>
      </c>
      <c r="BP113" t="s">
        <v>124</v>
      </c>
      <c r="BQ113" t="s">
        <v>96</v>
      </c>
      <c r="BR113" t="s">
        <v>105</v>
      </c>
      <c r="BT113" t="s">
        <v>105</v>
      </c>
      <c r="BV113" t="s">
        <v>105</v>
      </c>
      <c r="BX113" t="s">
        <v>105</v>
      </c>
      <c r="BZ113" t="s">
        <v>105</v>
      </c>
      <c r="CB113" t="s">
        <v>105</v>
      </c>
      <c r="CD113">
        <v>0.1</v>
      </c>
      <c r="CE113" t="s">
        <v>96</v>
      </c>
      <c r="CF113">
        <v>0</v>
      </c>
      <c r="CG113" t="s">
        <v>96</v>
      </c>
      <c r="CH113">
        <v>3.4</v>
      </c>
      <c r="CI113" t="s">
        <v>100</v>
      </c>
      <c r="CJ113" t="s">
        <v>105</v>
      </c>
      <c r="CL113" t="s">
        <v>130</v>
      </c>
      <c r="CM113" t="s">
        <v>96</v>
      </c>
      <c r="CN113">
        <v>8.5</v>
      </c>
      <c r="CO113">
        <v>0</v>
      </c>
    </row>
    <row r="114" spans="1:93" x14ac:dyDescent="0.2">
      <c r="A114" s="3">
        <v>156</v>
      </c>
      <c r="B114" s="3" t="s">
        <v>733</v>
      </c>
      <c r="C114" s="3" t="s">
        <v>734</v>
      </c>
      <c r="D114" s="1"/>
      <c r="E114" s="1">
        <f t="shared" si="9"/>
        <v>7.8612976028134183</v>
      </c>
      <c r="F114" s="1">
        <f t="shared" si="10"/>
        <v>6.18</v>
      </c>
      <c r="G114" s="1">
        <f t="shared" si="11"/>
        <v>10</v>
      </c>
      <c r="H114" s="1"/>
      <c r="I114" s="1">
        <v>39.1</v>
      </c>
      <c r="J114" s="1">
        <v>6.18</v>
      </c>
      <c r="K114" s="1"/>
      <c r="L114" s="1"/>
      <c r="M114" s="1"/>
      <c r="N114" s="1"/>
      <c r="O114" s="1"/>
      <c r="P114" s="1"/>
      <c r="Q114" s="1"/>
      <c r="R114" s="1"/>
      <c r="S114" s="1">
        <v>-18.709677419354801</v>
      </c>
      <c r="T114" s="1">
        <v>14.432731485346601</v>
      </c>
      <c r="U114" s="1">
        <v>0</v>
      </c>
      <c r="V114" s="1">
        <v>0.96218209902310603</v>
      </c>
      <c r="W114" s="1">
        <v>153.11699999999999</v>
      </c>
      <c r="X114" s="1">
        <v>5.0739999999999998</v>
      </c>
      <c r="Y114" s="1">
        <v>6.1246799999999997</v>
      </c>
      <c r="Z114" s="1">
        <v>10</v>
      </c>
      <c r="AA114" s="1"/>
      <c r="AB114" s="1"/>
      <c r="AC114" s="1"/>
      <c r="AD114" s="1"/>
      <c r="AE114" s="1"/>
      <c r="AF114" s="1"/>
      <c r="AG114" s="1"/>
      <c r="AH114" s="1"/>
      <c r="AI114" s="1"/>
      <c r="AJ114" s="1"/>
      <c r="AK114" s="1"/>
      <c r="AL114" s="1">
        <v>3634</v>
      </c>
      <c r="AM114" s="1">
        <v>3574</v>
      </c>
      <c r="AN114" s="1">
        <v>2083.38</v>
      </c>
      <c r="AO114" s="1">
        <v>3047</v>
      </c>
      <c r="AP114" s="1">
        <v>60</v>
      </c>
      <c r="AQ114" s="1">
        <v>28.799354894450399</v>
      </c>
      <c r="AR114" s="1">
        <v>19.2648506727929</v>
      </c>
      <c r="AS114" s="1">
        <v>1.9264850672792899</v>
      </c>
      <c r="AT114" s="1">
        <v>3.7</v>
      </c>
      <c r="AU114" s="1"/>
      <c r="AV114" s="1" t="s">
        <v>735</v>
      </c>
      <c r="AW114" s="1" t="s">
        <v>98</v>
      </c>
      <c r="AX114" s="1" t="s">
        <v>105</v>
      </c>
      <c r="AY114" s="1"/>
      <c r="AZ114" s="1" t="s">
        <v>105</v>
      </c>
      <c r="BA114" s="1"/>
      <c r="BB114" s="1" t="s">
        <v>105</v>
      </c>
      <c r="BC114" s="1"/>
      <c r="BD114" s="1" t="s">
        <v>105</v>
      </c>
      <c r="BE114" s="1"/>
      <c r="BF114" s="1" t="s">
        <v>105</v>
      </c>
      <c r="BG114" s="1"/>
      <c r="BH114" s="1" t="s">
        <v>105</v>
      </c>
      <c r="BJ114" t="s">
        <v>736</v>
      </c>
      <c r="BK114" t="s">
        <v>98</v>
      </c>
      <c r="BL114" t="s">
        <v>468</v>
      </c>
      <c r="BM114" t="s">
        <v>98</v>
      </c>
      <c r="BN114" t="s">
        <v>163</v>
      </c>
      <c r="BO114" t="s">
        <v>96</v>
      </c>
      <c r="BP114" t="s">
        <v>169</v>
      </c>
      <c r="BQ114" t="s">
        <v>100</v>
      </c>
      <c r="BR114" t="s">
        <v>105</v>
      </c>
      <c r="BT114" t="s">
        <v>105</v>
      </c>
      <c r="BV114" t="s">
        <v>105</v>
      </c>
      <c r="BX114" t="s">
        <v>105</v>
      </c>
      <c r="BZ114" t="s">
        <v>105</v>
      </c>
      <c r="CB114" t="s">
        <v>105</v>
      </c>
      <c r="CD114">
        <v>0</v>
      </c>
      <c r="CE114" t="s">
        <v>96</v>
      </c>
      <c r="CF114">
        <v>0</v>
      </c>
      <c r="CG114" t="s">
        <v>96</v>
      </c>
      <c r="CH114">
        <v>0.8</v>
      </c>
      <c r="CI114" t="s">
        <v>96</v>
      </c>
      <c r="CJ114" t="s">
        <v>105</v>
      </c>
      <c r="CL114" t="s">
        <v>130</v>
      </c>
      <c r="CM114" t="s">
        <v>96</v>
      </c>
      <c r="CN114">
        <v>4.25</v>
      </c>
      <c r="CO114">
        <v>0</v>
      </c>
    </row>
    <row r="115" spans="1:93" x14ac:dyDescent="0.2">
      <c r="A115" s="3">
        <v>157</v>
      </c>
      <c r="B115" s="3" t="s">
        <v>737</v>
      </c>
      <c r="C115" s="3" t="s">
        <v>738</v>
      </c>
      <c r="D115" s="1"/>
      <c r="E115" s="1">
        <f t="shared" si="9"/>
        <v>9.6176920308356717</v>
      </c>
      <c r="F115" s="1">
        <f t="shared" si="10"/>
        <v>9.25</v>
      </c>
      <c r="G115" s="1">
        <f t="shared" si="11"/>
        <v>10</v>
      </c>
      <c r="H115" s="1"/>
      <c r="I115" s="1">
        <v>29</v>
      </c>
      <c r="J115" s="1">
        <v>8.1999999999999993</v>
      </c>
      <c r="K115" s="1">
        <v>0.9</v>
      </c>
      <c r="L115" s="1">
        <v>0.6</v>
      </c>
      <c r="M115" s="1"/>
      <c r="N115" s="1"/>
      <c r="O115" s="1">
        <v>1</v>
      </c>
      <c r="P115" s="1">
        <v>0.6</v>
      </c>
      <c r="Q115" s="1">
        <v>0.8</v>
      </c>
      <c r="R115" s="1">
        <v>10</v>
      </c>
      <c r="S115" s="1">
        <v>-35.297179140210297</v>
      </c>
      <c r="T115" s="1">
        <v>-31.660412757973699</v>
      </c>
      <c r="U115" s="1">
        <v>0</v>
      </c>
      <c r="V115" s="1">
        <v>0</v>
      </c>
      <c r="W115" s="1">
        <v>0.49399999999999999</v>
      </c>
      <c r="X115" s="1">
        <v>4.2000000000000003E-2</v>
      </c>
      <c r="Y115" s="1">
        <v>1.9759999999999799E-2</v>
      </c>
      <c r="Z115" s="1">
        <v>8.3999999999999603E-2</v>
      </c>
      <c r="AA115" s="1">
        <v>20210222</v>
      </c>
      <c r="AB115" s="1">
        <v>42.78</v>
      </c>
      <c r="AC115" s="1">
        <v>42.78</v>
      </c>
      <c r="AD115" s="1">
        <v>0</v>
      </c>
      <c r="AE115" s="1">
        <v>0</v>
      </c>
      <c r="AF115" s="1">
        <v>49.36</v>
      </c>
      <c r="AG115" s="1">
        <v>49.36</v>
      </c>
      <c r="AH115" s="1">
        <v>0</v>
      </c>
      <c r="AI115" s="1"/>
      <c r="AJ115" s="1">
        <v>5.7261538461538501</v>
      </c>
      <c r="AK115" s="1">
        <v>10</v>
      </c>
      <c r="AL115" s="1">
        <v>366</v>
      </c>
      <c r="AM115" s="1">
        <v>364</v>
      </c>
      <c r="AN115" s="1">
        <v>20250.833999999999</v>
      </c>
      <c r="AO115" s="1">
        <v>347</v>
      </c>
      <c r="AP115" s="1">
        <v>2</v>
      </c>
      <c r="AQ115" s="1">
        <v>9.8761364593675502E-2</v>
      </c>
      <c r="AR115" s="1">
        <v>5.4755043227665796</v>
      </c>
      <c r="AS115" s="1">
        <v>0.54755043227665801</v>
      </c>
      <c r="AT115" s="1">
        <v>5.7</v>
      </c>
      <c r="AU115" s="1"/>
      <c r="AV115" s="1" t="s">
        <v>739</v>
      </c>
      <c r="AW115" s="1" t="s">
        <v>96</v>
      </c>
      <c r="AX115" s="1" t="s">
        <v>639</v>
      </c>
      <c r="AY115" s="1" t="s">
        <v>100</v>
      </c>
      <c r="AZ115" s="1" t="s">
        <v>99</v>
      </c>
      <c r="BA115" s="1" t="s">
        <v>100</v>
      </c>
      <c r="BB115" s="1" t="s">
        <v>101</v>
      </c>
      <c r="BC115" s="1" t="s">
        <v>98</v>
      </c>
      <c r="BD115" s="1" t="s">
        <v>101</v>
      </c>
      <c r="BE115" s="1" t="s">
        <v>98</v>
      </c>
      <c r="BF115" s="1" t="s">
        <v>102</v>
      </c>
      <c r="BG115" s="1" t="s">
        <v>98</v>
      </c>
      <c r="BH115" s="1" t="s">
        <v>103</v>
      </c>
      <c r="BI115" t="s">
        <v>98</v>
      </c>
      <c r="BJ115" t="s">
        <v>219</v>
      </c>
      <c r="BK115" t="s">
        <v>98</v>
      </c>
      <c r="BL115" t="s">
        <v>105</v>
      </c>
      <c r="BN115" t="s">
        <v>411</v>
      </c>
      <c r="BO115" t="s">
        <v>96</v>
      </c>
      <c r="BP115" t="s">
        <v>124</v>
      </c>
      <c r="BQ115" t="s">
        <v>96</v>
      </c>
      <c r="BR115" t="s">
        <v>740</v>
      </c>
      <c r="BS115" t="s">
        <v>100</v>
      </c>
      <c r="BT115" t="s">
        <v>105</v>
      </c>
      <c r="BV115" t="s">
        <v>125</v>
      </c>
      <c r="BW115" t="s">
        <v>96</v>
      </c>
      <c r="BX115" t="s">
        <v>110</v>
      </c>
      <c r="BY115" t="s">
        <v>96</v>
      </c>
      <c r="BZ115" t="s">
        <v>141</v>
      </c>
      <c r="CA115" t="s">
        <v>96</v>
      </c>
      <c r="CB115" t="s">
        <v>741</v>
      </c>
      <c r="CC115" t="s">
        <v>98</v>
      </c>
      <c r="CD115">
        <v>0</v>
      </c>
      <c r="CE115" t="s">
        <v>96</v>
      </c>
      <c r="CF115">
        <v>0</v>
      </c>
      <c r="CG115" t="s">
        <v>96</v>
      </c>
      <c r="CH115">
        <v>3.5</v>
      </c>
      <c r="CI115" t="s">
        <v>100</v>
      </c>
      <c r="CJ115" t="s">
        <v>112</v>
      </c>
      <c r="CK115" t="s">
        <v>96</v>
      </c>
      <c r="CL115" t="s">
        <v>98</v>
      </c>
      <c r="CM115" t="s">
        <v>98</v>
      </c>
      <c r="CN115">
        <v>9.25</v>
      </c>
      <c r="CO115">
        <v>0</v>
      </c>
    </row>
    <row r="116" spans="1:93" x14ac:dyDescent="0.2">
      <c r="A116" s="3">
        <v>158</v>
      </c>
      <c r="B116" s="3" t="s">
        <v>742</v>
      </c>
      <c r="C116" s="3" t="s">
        <v>743</v>
      </c>
      <c r="D116" s="1"/>
      <c r="E116" s="1">
        <f t="shared" si="9"/>
        <v>8.0870266476622916</v>
      </c>
      <c r="F116" s="1">
        <f t="shared" si="10"/>
        <v>6.54</v>
      </c>
      <c r="G116" s="1">
        <f t="shared" si="11"/>
        <v>10</v>
      </c>
      <c r="H116" s="1"/>
      <c r="I116" s="1">
        <v>37.299999999999997</v>
      </c>
      <c r="J116" s="1">
        <v>6.54</v>
      </c>
      <c r="K116" s="1"/>
      <c r="L116" s="1"/>
      <c r="M116" s="1"/>
      <c r="N116" s="1"/>
      <c r="O116" s="1"/>
      <c r="P116" s="1"/>
      <c r="Q116" s="1"/>
      <c r="R116" s="1"/>
      <c r="S116" s="1">
        <v>-18.298203266001199</v>
      </c>
      <c r="T116" s="1">
        <v>14.698893852605</v>
      </c>
      <c r="U116" s="1">
        <v>0</v>
      </c>
      <c r="V116" s="1">
        <v>0.97992625684033596</v>
      </c>
      <c r="W116" s="1">
        <v>356.86900000000003</v>
      </c>
      <c r="X116" s="1">
        <v>3.5590000000000002</v>
      </c>
      <c r="Y116" s="1">
        <v>10</v>
      </c>
      <c r="Z116" s="1">
        <v>7.1180000000000003</v>
      </c>
      <c r="AA116" s="1">
        <v>20210222</v>
      </c>
      <c r="AB116" s="1"/>
      <c r="AC116" s="1">
        <v>64</v>
      </c>
      <c r="AD116" s="1">
        <v>62.5</v>
      </c>
      <c r="AE116" s="1">
        <v>62.5</v>
      </c>
      <c r="AF116" s="1"/>
      <c r="AG116" s="1">
        <v>64.23</v>
      </c>
      <c r="AH116" s="1">
        <v>2</v>
      </c>
      <c r="AI116" s="1">
        <v>0</v>
      </c>
      <c r="AJ116" s="1">
        <v>2.4615384615384599</v>
      </c>
      <c r="AK116" s="1">
        <v>3.75</v>
      </c>
      <c r="AL116" s="1">
        <v>404</v>
      </c>
      <c r="AM116" s="1">
        <v>391</v>
      </c>
      <c r="AN116" s="1">
        <v>441.53899999999999</v>
      </c>
      <c r="AO116" s="1">
        <v>303</v>
      </c>
      <c r="AP116" s="1">
        <v>13</v>
      </c>
      <c r="AQ116" s="1">
        <v>29.442472805346799</v>
      </c>
      <c r="AR116" s="1">
        <v>33.3333333333333</v>
      </c>
      <c r="AS116" s="1">
        <v>3.3333333333333299</v>
      </c>
      <c r="AT116" s="1">
        <v>4.0999999999999996</v>
      </c>
      <c r="AU116" s="1"/>
      <c r="AV116" s="1" t="s">
        <v>744</v>
      </c>
      <c r="AW116" s="1" t="s">
        <v>98</v>
      </c>
      <c r="AX116" s="1" t="s">
        <v>270</v>
      </c>
      <c r="AY116" s="1" t="s">
        <v>100</v>
      </c>
      <c r="AZ116" s="1" t="s">
        <v>135</v>
      </c>
      <c r="BA116" s="1" t="s">
        <v>100</v>
      </c>
      <c r="BB116" s="1" t="s">
        <v>101</v>
      </c>
      <c r="BC116" s="1" t="s">
        <v>98</v>
      </c>
      <c r="BD116" s="1" t="s">
        <v>101</v>
      </c>
      <c r="BE116" s="1" t="s">
        <v>98</v>
      </c>
      <c r="BF116" s="1" t="s">
        <v>183</v>
      </c>
      <c r="BG116" s="1" t="s">
        <v>96</v>
      </c>
      <c r="BH116" s="1" t="s">
        <v>121</v>
      </c>
      <c r="BI116" t="s">
        <v>100</v>
      </c>
      <c r="BJ116" t="s">
        <v>271</v>
      </c>
      <c r="BK116" t="s">
        <v>98</v>
      </c>
      <c r="BL116" t="s">
        <v>745</v>
      </c>
      <c r="BM116" t="s">
        <v>96</v>
      </c>
      <c r="BN116" t="s">
        <v>266</v>
      </c>
      <c r="BO116" t="s">
        <v>96</v>
      </c>
      <c r="BP116" t="s">
        <v>124</v>
      </c>
      <c r="BQ116" t="s">
        <v>96</v>
      </c>
      <c r="BR116" t="s">
        <v>105</v>
      </c>
      <c r="BT116" t="s">
        <v>105</v>
      </c>
      <c r="BV116" t="s">
        <v>125</v>
      </c>
      <c r="BW116" t="s">
        <v>96</v>
      </c>
      <c r="BX116" t="s">
        <v>110</v>
      </c>
      <c r="BY116" t="s">
        <v>96</v>
      </c>
      <c r="BZ116" t="s">
        <v>141</v>
      </c>
      <c r="CA116" t="s">
        <v>96</v>
      </c>
      <c r="CB116" t="s">
        <v>105</v>
      </c>
      <c r="CD116">
        <v>0.1</v>
      </c>
      <c r="CE116" t="s">
        <v>96</v>
      </c>
      <c r="CF116">
        <v>0</v>
      </c>
      <c r="CG116" t="s">
        <v>96</v>
      </c>
      <c r="CH116">
        <v>0</v>
      </c>
      <c r="CI116" t="s">
        <v>96</v>
      </c>
      <c r="CJ116" t="s">
        <v>105</v>
      </c>
      <c r="CL116" t="s">
        <v>130</v>
      </c>
      <c r="CM116" t="s">
        <v>96</v>
      </c>
      <c r="CN116">
        <v>5.25</v>
      </c>
      <c r="CO116">
        <v>0</v>
      </c>
    </row>
    <row r="117" spans="1:93" x14ac:dyDescent="0.2">
      <c r="A117" s="3">
        <v>159</v>
      </c>
      <c r="B117" s="3" t="s">
        <v>746</v>
      </c>
      <c r="C117" s="3" t="s">
        <v>747</v>
      </c>
      <c r="D117" s="1"/>
      <c r="E117" s="1">
        <f t="shared" si="9"/>
        <v>8.3666002653407556</v>
      </c>
      <c r="F117" s="1">
        <f t="shared" si="10"/>
        <v>7</v>
      </c>
      <c r="G117" s="1">
        <f t="shared" si="11"/>
        <v>10</v>
      </c>
      <c r="H117" s="1"/>
      <c r="I117" s="1">
        <v>43.4</v>
      </c>
      <c r="J117" s="1">
        <v>5.32</v>
      </c>
      <c r="K117" s="1">
        <v>1</v>
      </c>
      <c r="L117" s="1">
        <v>0.8</v>
      </c>
      <c r="M117" s="1"/>
      <c r="N117" s="1"/>
      <c r="O117" s="1">
        <v>0.8</v>
      </c>
      <c r="P117" s="1">
        <v>0.7</v>
      </c>
      <c r="Q117" s="1">
        <v>0.8</v>
      </c>
      <c r="R117" s="1">
        <v>10</v>
      </c>
      <c r="S117" s="1">
        <v>-81.065684944778098</v>
      </c>
      <c r="T117" s="1">
        <v>-89.974924647298707</v>
      </c>
      <c r="U117" s="1">
        <v>0</v>
      </c>
      <c r="V117" s="1">
        <v>0</v>
      </c>
      <c r="W117" s="1">
        <v>0.39100000000000001</v>
      </c>
      <c r="X117" s="1">
        <v>1.7999999999999999E-2</v>
      </c>
      <c r="Y117" s="1">
        <v>1.5639999999999401E-2</v>
      </c>
      <c r="Z117" s="1">
        <v>3.5999999999999602E-2</v>
      </c>
      <c r="AA117" s="1">
        <v>20210222</v>
      </c>
      <c r="AB117" s="1">
        <v>74.89</v>
      </c>
      <c r="AC117" s="1">
        <v>74.89</v>
      </c>
      <c r="AD117" s="1">
        <v>75</v>
      </c>
      <c r="AE117" s="1">
        <v>75</v>
      </c>
      <c r="AF117" s="1">
        <v>74.87</v>
      </c>
      <c r="AG117" s="1">
        <v>74.87</v>
      </c>
      <c r="AH117" s="1">
        <v>1</v>
      </c>
      <c r="AI117" s="1">
        <v>1</v>
      </c>
      <c r="AJ117" s="1">
        <v>0.78615384615384598</v>
      </c>
      <c r="AK117" s="1">
        <v>2.5</v>
      </c>
      <c r="AL117" s="1">
        <v>3204</v>
      </c>
      <c r="AM117" s="1">
        <v>3204</v>
      </c>
      <c r="AN117" s="1">
        <v>54409.794000000002</v>
      </c>
      <c r="AO117" s="1">
        <v>3196</v>
      </c>
      <c r="AP117" s="1">
        <v>0</v>
      </c>
      <c r="AQ117" s="1">
        <v>0</v>
      </c>
      <c r="AR117" s="1">
        <v>0.25031289111390698</v>
      </c>
      <c r="AS117" s="1">
        <v>2.5031289111389299E-2</v>
      </c>
      <c r="AT117" s="1">
        <v>4.8</v>
      </c>
      <c r="AU117" s="1"/>
      <c r="AV117" s="1" t="s">
        <v>748</v>
      </c>
      <c r="AW117" s="1" t="s">
        <v>96</v>
      </c>
      <c r="AX117" s="1" t="s">
        <v>190</v>
      </c>
      <c r="AY117" s="1" t="s">
        <v>100</v>
      </c>
      <c r="AZ117" s="1" t="s">
        <v>174</v>
      </c>
      <c r="BA117" s="1" t="s">
        <v>96</v>
      </c>
      <c r="BB117" s="1" t="s">
        <v>146</v>
      </c>
      <c r="BC117" s="1" t="s">
        <v>100</v>
      </c>
      <c r="BD117" s="1" t="s">
        <v>136</v>
      </c>
      <c r="BE117" s="1" t="s">
        <v>100</v>
      </c>
      <c r="BF117" s="1" t="s">
        <v>137</v>
      </c>
      <c r="BG117" s="1" t="s">
        <v>100</v>
      </c>
      <c r="BH117" s="1" t="s">
        <v>147</v>
      </c>
      <c r="BI117" t="s">
        <v>96</v>
      </c>
      <c r="BJ117" t="s">
        <v>212</v>
      </c>
      <c r="BK117" t="s">
        <v>96</v>
      </c>
      <c r="BL117" t="s">
        <v>749</v>
      </c>
      <c r="BM117" t="s">
        <v>96</v>
      </c>
      <c r="BN117" t="s">
        <v>206</v>
      </c>
      <c r="BO117" t="s">
        <v>98</v>
      </c>
      <c r="BP117" t="s">
        <v>227</v>
      </c>
      <c r="BQ117" t="s">
        <v>98</v>
      </c>
      <c r="BR117" t="s">
        <v>105</v>
      </c>
      <c r="BT117" t="s">
        <v>105</v>
      </c>
      <c r="BV117" t="s">
        <v>125</v>
      </c>
      <c r="BW117" t="s">
        <v>96</v>
      </c>
      <c r="BX117" t="s">
        <v>110</v>
      </c>
      <c r="BY117" t="s">
        <v>96</v>
      </c>
      <c r="BZ117" t="s">
        <v>141</v>
      </c>
      <c r="CA117" t="s">
        <v>96</v>
      </c>
      <c r="CB117" t="s">
        <v>750</v>
      </c>
      <c r="CC117" t="s">
        <v>98</v>
      </c>
      <c r="CD117">
        <v>0</v>
      </c>
      <c r="CE117" t="s">
        <v>96</v>
      </c>
      <c r="CF117">
        <v>0.1</v>
      </c>
      <c r="CG117" t="s">
        <v>96</v>
      </c>
      <c r="CH117">
        <v>0.3</v>
      </c>
      <c r="CI117" t="s">
        <v>96</v>
      </c>
      <c r="CJ117" t="s">
        <v>112</v>
      </c>
      <c r="CK117" t="s">
        <v>96</v>
      </c>
      <c r="CL117" t="s">
        <v>98</v>
      </c>
      <c r="CM117" t="s">
        <v>98</v>
      </c>
      <c r="CN117">
        <v>7</v>
      </c>
      <c r="CO117">
        <v>0</v>
      </c>
    </row>
    <row r="118" spans="1:93" x14ac:dyDescent="0.2">
      <c r="A118" s="3">
        <v>160</v>
      </c>
      <c r="B118" s="3" t="s">
        <v>751</v>
      </c>
      <c r="C118" s="3" t="s">
        <v>752</v>
      </c>
      <c r="D118" s="1"/>
      <c r="E118" s="1">
        <f t="shared" si="9"/>
        <v>7.2525857457874974</v>
      </c>
      <c r="F118" s="1">
        <f t="shared" si="10"/>
        <v>5.26</v>
      </c>
      <c r="G118" s="1">
        <f t="shared" si="11"/>
        <v>10</v>
      </c>
      <c r="H118" s="1"/>
      <c r="I118" s="1">
        <v>43.7</v>
      </c>
      <c r="J118" s="1">
        <v>5.26</v>
      </c>
      <c r="K118" s="1"/>
      <c r="L118" s="1"/>
      <c r="M118" s="1"/>
      <c r="N118" s="1"/>
      <c r="O118" s="1"/>
      <c r="P118" s="1"/>
      <c r="Q118" s="1"/>
      <c r="R118" s="1"/>
      <c r="S118" s="1">
        <v>61.541279823494797</v>
      </c>
      <c r="T118" s="1">
        <v>-1.93191737428281</v>
      </c>
      <c r="U118" s="1">
        <v>4.1027519882329901</v>
      </c>
      <c r="V118" s="1">
        <v>0</v>
      </c>
      <c r="W118" s="1">
        <v>699.20299999999997</v>
      </c>
      <c r="X118" s="1">
        <v>13.647</v>
      </c>
      <c r="Y118" s="1">
        <v>10</v>
      </c>
      <c r="Z118" s="1">
        <v>10</v>
      </c>
      <c r="AA118" s="1"/>
      <c r="AB118" s="1"/>
      <c r="AC118" s="1"/>
      <c r="AD118" s="1"/>
      <c r="AE118" s="1"/>
      <c r="AF118" s="1"/>
      <c r="AG118" s="1"/>
      <c r="AH118" s="1"/>
      <c r="AI118" s="1"/>
      <c r="AJ118" s="1"/>
      <c r="AK118" s="1"/>
      <c r="AL118" s="1">
        <v>1311</v>
      </c>
      <c r="AM118" s="1">
        <v>1279</v>
      </c>
      <c r="AN118" s="1">
        <v>628.06200000000001</v>
      </c>
      <c r="AO118" s="1">
        <v>939</v>
      </c>
      <c r="AP118" s="1">
        <v>32</v>
      </c>
      <c r="AQ118" s="1">
        <v>50.950383879298499</v>
      </c>
      <c r="AR118" s="1">
        <v>39.616613418530399</v>
      </c>
      <c r="AS118" s="1">
        <v>3.96166134185304</v>
      </c>
      <c r="AT118" s="1">
        <v>3.7</v>
      </c>
      <c r="AU118" s="1"/>
      <c r="AV118" s="1" t="s">
        <v>753</v>
      </c>
      <c r="AW118" s="1" t="s">
        <v>98</v>
      </c>
      <c r="AX118" s="1" t="s">
        <v>105</v>
      </c>
      <c r="AY118" s="1"/>
      <c r="AZ118" s="1" t="s">
        <v>105</v>
      </c>
      <c r="BA118" s="1"/>
      <c r="BB118" s="1" t="s">
        <v>105</v>
      </c>
      <c r="BC118" s="1"/>
      <c r="BD118" s="1" t="s">
        <v>105</v>
      </c>
      <c r="BE118" s="1"/>
      <c r="BF118" s="1" t="s">
        <v>105</v>
      </c>
      <c r="BG118" s="1"/>
      <c r="BH118" s="1" t="s">
        <v>105</v>
      </c>
      <c r="BJ118" t="s">
        <v>635</v>
      </c>
      <c r="BK118" t="s">
        <v>98</v>
      </c>
      <c r="BL118" t="s">
        <v>105</v>
      </c>
      <c r="BN118" t="s">
        <v>622</v>
      </c>
      <c r="BO118" t="s">
        <v>100</v>
      </c>
      <c r="BP118" t="s">
        <v>124</v>
      </c>
      <c r="BQ118" t="s">
        <v>96</v>
      </c>
      <c r="BR118" t="s">
        <v>105</v>
      </c>
      <c r="BT118" t="s">
        <v>105</v>
      </c>
      <c r="BV118" t="s">
        <v>105</v>
      </c>
      <c r="BX118" t="s">
        <v>105</v>
      </c>
      <c r="BZ118" t="s">
        <v>105</v>
      </c>
      <c r="CB118" t="s">
        <v>105</v>
      </c>
      <c r="CD118">
        <v>0</v>
      </c>
      <c r="CE118" t="s">
        <v>96</v>
      </c>
      <c r="CF118">
        <v>0</v>
      </c>
      <c r="CG118" t="s">
        <v>96</v>
      </c>
      <c r="CH118">
        <v>0</v>
      </c>
      <c r="CI118" t="s">
        <v>96</v>
      </c>
      <c r="CJ118" t="s">
        <v>105</v>
      </c>
      <c r="CL118" t="s">
        <v>130</v>
      </c>
      <c r="CM118" t="s">
        <v>96</v>
      </c>
      <c r="CN118">
        <v>4.25</v>
      </c>
      <c r="CO118">
        <v>0</v>
      </c>
    </row>
    <row r="119" spans="1:93" x14ac:dyDescent="0.2">
      <c r="A119" s="3">
        <v>161</v>
      </c>
      <c r="B119" s="3" t="s">
        <v>754</v>
      </c>
      <c r="C119" s="3" t="s">
        <v>755</v>
      </c>
      <c r="D119" s="1"/>
      <c r="E119" s="1">
        <f t="shared" si="9"/>
        <v>6.5192024052026483</v>
      </c>
      <c r="F119" s="1">
        <f t="shared" si="10"/>
        <v>4.25</v>
      </c>
      <c r="G119" s="1">
        <f t="shared" si="11"/>
        <v>10</v>
      </c>
      <c r="H119" s="1"/>
      <c r="I119" s="1">
        <v>49.5</v>
      </c>
      <c r="J119" s="1">
        <v>4.0999999999999996</v>
      </c>
      <c r="K119" s="1">
        <v>1</v>
      </c>
      <c r="L119" s="1">
        <v>0.4</v>
      </c>
      <c r="M119" s="1"/>
      <c r="N119" s="1"/>
      <c r="O119" s="1">
        <v>1</v>
      </c>
      <c r="P119" s="1">
        <v>0.7</v>
      </c>
      <c r="Q119" s="1">
        <v>0.8</v>
      </c>
      <c r="R119" s="1">
        <v>10</v>
      </c>
      <c r="S119" s="1">
        <v>0.01</v>
      </c>
      <c r="T119" s="1">
        <v>0.01</v>
      </c>
      <c r="U119" s="1">
        <v>6.6666666666748099E-4</v>
      </c>
      <c r="V119" s="1">
        <v>6.6666666666748099E-4</v>
      </c>
      <c r="W119" s="1">
        <v>13.509</v>
      </c>
      <c r="X119" s="1">
        <v>0</v>
      </c>
      <c r="Y119" s="1">
        <v>0.54036000000000195</v>
      </c>
      <c r="Z119" s="1">
        <v>0</v>
      </c>
      <c r="AA119" s="1">
        <v>20210222</v>
      </c>
      <c r="AB119" s="1">
        <v>70.28</v>
      </c>
      <c r="AC119" s="1">
        <v>70.28</v>
      </c>
      <c r="AD119" s="1">
        <v>75</v>
      </c>
      <c r="AE119" s="1">
        <v>75</v>
      </c>
      <c r="AF119" s="1">
        <v>69.55</v>
      </c>
      <c r="AG119" s="1">
        <v>69.55</v>
      </c>
      <c r="AH119" s="1">
        <v>1</v>
      </c>
      <c r="AI119" s="1">
        <v>1</v>
      </c>
      <c r="AJ119" s="1">
        <v>1.49538461538462</v>
      </c>
      <c r="AK119" s="1">
        <v>2.5</v>
      </c>
      <c r="AL119" s="1">
        <v>2</v>
      </c>
      <c r="AM119" s="1">
        <v>2</v>
      </c>
      <c r="AN119" s="1">
        <v>3278.2919999999999</v>
      </c>
      <c r="AO119" s="1">
        <v>2</v>
      </c>
      <c r="AP119" s="1">
        <v>0</v>
      </c>
      <c r="AQ119" s="1">
        <v>0</v>
      </c>
      <c r="AR119" s="1">
        <v>0</v>
      </c>
      <c r="AS119" s="1">
        <v>0</v>
      </c>
      <c r="AT119" s="1">
        <v>3.7</v>
      </c>
      <c r="AU119" s="1"/>
      <c r="AV119" s="1" t="s">
        <v>756</v>
      </c>
      <c r="AW119" s="1" t="s">
        <v>96</v>
      </c>
      <c r="AX119" s="1" t="s">
        <v>317</v>
      </c>
      <c r="AY119" s="1" t="s">
        <v>100</v>
      </c>
      <c r="AZ119" s="1" t="s">
        <v>174</v>
      </c>
      <c r="BA119" s="1" t="s">
        <v>96</v>
      </c>
      <c r="BB119" s="1" t="s">
        <v>119</v>
      </c>
      <c r="BC119" s="1" t="s">
        <v>96</v>
      </c>
      <c r="BD119" s="1" t="s">
        <v>136</v>
      </c>
      <c r="BE119" s="1" t="s">
        <v>100</v>
      </c>
      <c r="BF119" s="1" t="s">
        <v>137</v>
      </c>
      <c r="BG119" s="1" t="s">
        <v>100</v>
      </c>
      <c r="BH119" s="1" t="s">
        <v>147</v>
      </c>
      <c r="BI119" t="s">
        <v>96</v>
      </c>
      <c r="BJ119" t="s">
        <v>219</v>
      </c>
      <c r="BK119" t="s">
        <v>98</v>
      </c>
      <c r="BL119" t="s">
        <v>757</v>
      </c>
      <c r="BM119" t="s">
        <v>100</v>
      </c>
      <c r="BN119" t="s">
        <v>758</v>
      </c>
      <c r="BO119" t="s">
        <v>100</v>
      </c>
      <c r="BP119" t="s">
        <v>124</v>
      </c>
      <c r="BQ119" t="s">
        <v>96</v>
      </c>
      <c r="BR119" t="s">
        <v>105</v>
      </c>
      <c r="BT119" t="s">
        <v>128</v>
      </c>
      <c r="BU119" t="s">
        <v>100</v>
      </c>
      <c r="BV119" t="s">
        <v>125</v>
      </c>
      <c r="BW119" t="s">
        <v>96</v>
      </c>
      <c r="BX119" t="s">
        <v>126</v>
      </c>
      <c r="BY119" t="s">
        <v>100</v>
      </c>
      <c r="BZ119" t="s">
        <v>141</v>
      </c>
      <c r="CA119" t="s">
        <v>96</v>
      </c>
      <c r="CB119" t="s">
        <v>105</v>
      </c>
      <c r="CD119">
        <v>0</v>
      </c>
      <c r="CE119" t="s">
        <v>96</v>
      </c>
      <c r="CF119">
        <v>0</v>
      </c>
      <c r="CG119" t="s">
        <v>96</v>
      </c>
      <c r="CH119">
        <v>1.7</v>
      </c>
      <c r="CI119" t="s">
        <v>96</v>
      </c>
      <c r="CJ119" t="s">
        <v>105</v>
      </c>
      <c r="CL119" t="s">
        <v>130</v>
      </c>
      <c r="CM119" t="s">
        <v>96</v>
      </c>
      <c r="CN119">
        <v>4.25</v>
      </c>
      <c r="CO119">
        <v>0</v>
      </c>
    </row>
    <row r="120" spans="1:93" x14ac:dyDescent="0.2">
      <c r="A120" s="3">
        <v>162</v>
      </c>
      <c r="B120" s="3" t="s">
        <v>759</v>
      </c>
      <c r="C120" s="3" t="s">
        <v>760</v>
      </c>
      <c r="D120" s="1"/>
      <c r="E120" s="1">
        <f t="shared" si="9"/>
        <v>6.2017367294604258</v>
      </c>
      <c r="F120" s="1">
        <f t="shared" si="10"/>
        <v>10</v>
      </c>
      <c r="G120" s="1">
        <f t="shared" si="11"/>
        <v>3.8461538461538498</v>
      </c>
      <c r="H120" s="1"/>
      <c r="I120" s="1">
        <v>28.1</v>
      </c>
      <c r="J120" s="1">
        <v>8.3800000000000008</v>
      </c>
      <c r="K120" s="1">
        <v>0.2</v>
      </c>
      <c r="L120" s="1">
        <v>0.6</v>
      </c>
      <c r="M120" s="1"/>
      <c r="N120" s="1"/>
      <c r="O120" s="1">
        <v>0.5</v>
      </c>
      <c r="P120" s="1">
        <v>0.4</v>
      </c>
      <c r="Q120" s="1">
        <v>0.4</v>
      </c>
      <c r="R120" s="1">
        <v>2.3809523809523698</v>
      </c>
      <c r="S120" s="1">
        <v>37.254901960784302</v>
      </c>
      <c r="T120" s="1">
        <v>-4.7360436021305601</v>
      </c>
      <c r="U120" s="1">
        <v>2.4836601307189601</v>
      </c>
      <c r="V120" s="1">
        <v>0</v>
      </c>
      <c r="W120" s="1">
        <v>24.581</v>
      </c>
      <c r="X120" s="1">
        <v>0.27400000000000002</v>
      </c>
      <c r="Y120" s="1">
        <v>0.98324</v>
      </c>
      <c r="Z120" s="1">
        <v>0.54800000000000004</v>
      </c>
      <c r="AA120" s="1">
        <v>20210222</v>
      </c>
      <c r="AB120" s="1"/>
      <c r="AC120" s="1">
        <v>55</v>
      </c>
      <c r="AD120" s="1"/>
      <c r="AE120" s="1">
        <v>0</v>
      </c>
      <c r="AF120" s="1"/>
      <c r="AG120" s="1">
        <v>63.46</v>
      </c>
      <c r="AH120" s="1"/>
      <c r="AI120" s="1"/>
      <c r="AJ120" s="1">
        <v>3.8461538461538498</v>
      </c>
      <c r="AK120" s="1">
        <v>10</v>
      </c>
      <c r="AL120" s="1">
        <v>1032</v>
      </c>
      <c r="AM120" s="1">
        <v>982</v>
      </c>
      <c r="AN120" s="1">
        <v>31255.435000000001</v>
      </c>
      <c r="AO120" s="1">
        <v>587</v>
      </c>
      <c r="AP120" s="1">
        <v>50</v>
      </c>
      <c r="AQ120" s="1">
        <v>1.59972177638865</v>
      </c>
      <c r="AR120" s="1">
        <v>75.809199318569</v>
      </c>
      <c r="AS120" s="1">
        <v>7.5809199318568998</v>
      </c>
      <c r="AT120" s="1">
        <v>6.2</v>
      </c>
      <c r="AU120" s="1"/>
      <c r="AV120" s="1" t="s">
        <v>761</v>
      </c>
      <c r="AW120" s="1" t="s">
        <v>100</v>
      </c>
      <c r="AX120" s="1" t="s">
        <v>701</v>
      </c>
      <c r="AY120" s="1" t="s">
        <v>100</v>
      </c>
      <c r="AZ120" s="1" t="s">
        <v>118</v>
      </c>
      <c r="BA120" s="1" t="s">
        <v>100</v>
      </c>
      <c r="BB120" s="1" t="s">
        <v>101</v>
      </c>
      <c r="BC120" s="1" t="s">
        <v>98</v>
      </c>
      <c r="BD120" s="1" t="s">
        <v>101</v>
      </c>
      <c r="BE120" s="1" t="s">
        <v>98</v>
      </c>
      <c r="BF120" s="1" t="s">
        <v>102</v>
      </c>
      <c r="BG120" s="1" t="s">
        <v>98</v>
      </c>
      <c r="BH120" s="1" t="s">
        <v>103</v>
      </c>
      <c r="BI120" t="s">
        <v>98</v>
      </c>
      <c r="BJ120" t="s">
        <v>604</v>
      </c>
      <c r="BK120" t="s">
        <v>100</v>
      </c>
      <c r="BL120" t="s">
        <v>105</v>
      </c>
      <c r="BN120" t="s">
        <v>300</v>
      </c>
      <c r="BO120" t="s">
        <v>100</v>
      </c>
      <c r="BP120" t="s">
        <v>169</v>
      </c>
      <c r="BQ120" t="s">
        <v>100</v>
      </c>
      <c r="BR120" t="s">
        <v>762</v>
      </c>
      <c r="BS120" t="s">
        <v>100</v>
      </c>
      <c r="BT120" t="s">
        <v>105</v>
      </c>
      <c r="BV120" t="s">
        <v>125</v>
      </c>
      <c r="BW120" t="s">
        <v>96</v>
      </c>
      <c r="BX120" t="s">
        <v>200</v>
      </c>
      <c r="BY120" t="s">
        <v>100</v>
      </c>
      <c r="BZ120" t="s">
        <v>141</v>
      </c>
      <c r="CA120" t="s">
        <v>96</v>
      </c>
      <c r="CB120" t="s">
        <v>763</v>
      </c>
      <c r="CC120" t="s">
        <v>98</v>
      </c>
      <c r="CD120">
        <v>3.5</v>
      </c>
      <c r="CE120" t="s">
        <v>100</v>
      </c>
      <c r="CF120">
        <v>5.0999999999999996</v>
      </c>
      <c r="CG120" t="s">
        <v>100</v>
      </c>
      <c r="CH120">
        <v>6</v>
      </c>
      <c r="CI120" t="s">
        <v>100</v>
      </c>
      <c r="CJ120" t="s">
        <v>129</v>
      </c>
      <c r="CK120" t="s">
        <v>98</v>
      </c>
      <c r="CL120" t="s">
        <v>98</v>
      </c>
      <c r="CM120" t="s">
        <v>98</v>
      </c>
      <c r="CN120">
        <v>10</v>
      </c>
      <c r="CO120">
        <v>0</v>
      </c>
    </row>
    <row r="121" spans="1:93" x14ac:dyDescent="0.2">
      <c r="A121" s="3">
        <v>163</v>
      </c>
      <c r="B121" s="3" t="s">
        <v>764</v>
      </c>
      <c r="C121" s="3" t="s">
        <v>765</v>
      </c>
      <c r="D121" s="1"/>
      <c r="E121" s="1">
        <f t="shared" si="9"/>
        <v>9.7467943448089631</v>
      </c>
      <c r="F121" s="1">
        <f t="shared" si="10"/>
        <v>9.5</v>
      </c>
      <c r="G121" s="1">
        <f t="shared" si="11"/>
        <v>10</v>
      </c>
      <c r="H121" s="1"/>
      <c r="I121" s="1">
        <v>27.5</v>
      </c>
      <c r="J121" s="1">
        <v>8.5</v>
      </c>
      <c r="K121" s="1">
        <v>0.6</v>
      </c>
      <c r="L121" s="1">
        <v>0.6</v>
      </c>
      <c r="M121" s="1"/>
      <c r="N121" s="1"/>
      <c r="O121" s="1">
        <v>1</v>
      </c>
      <c r="P121" s="1"/>
      <c r="Q121" s="1">
        <v>0.7</v>
      </c>
      <c r="R121" s="1">
        <v>9.5238095238094793</v>
      </c>
      <c r="S121" s="1">
        <v>-24.615384615384599</v>
      </c>
      <c r="T121" s="1">
        <v>-28.9105955772622</v>
      </c>
      <c r="U121" s="1">
        <v>0</v>
      </c>
      <c r="V121" s="1">
        <v>0</v>
      </c>
      <c r="W121" s="1">
        <v>3.718</v>
      </c>
      <c r="X121" s="1">
        <v>0.123</v>
      </c>
      <c r="Y121" s="1">
        <v>0.14872000000000099</v>
      </c>
      <c r="Z121" s="1">
        <v>0.246</v>
      </c>
      <c r="AA121" s="1">
        <v>20210222</v>
      </c>
      <c r="AB121" s="1"/>
      <c r="AC121" s="1">
        <v>44.44</v>
      </c>
      <c r="AD121" s="1"/>
      <c r="AE121" s="1">
        <v>0</v>
      </c>
      <c r="AF121" s="1"/>
      <c r="AG121" s="1">
        <v>43.59</v>
      </c>
      <c r="AH121" s="1"/>
      <c r="AI121" s="1"/>
      <c r="AJ121" s="1">
        <v>5.4707692307692302</v>
      </c>
      <c r="AK121" s="1">
        <v>10</v>
      </c>
      <c r="AL121" s="1">
        <v>449</v>
      </c>
      <c r="AM121" s="1">
        <v>448</v>
      </c>
      <c r="AN121" s="1">
        <v>4649.66</v>
      </c>
      <c r="AO121" s="1">
        <v>434</v>
      </c>
      <c r="AP121" s="1">
        <v>1</v>
      </c>
      <c r="AQ121" s="1">
        <v>0.21506948895187999</v>
      </c>
      <c r="AR121" s="1">
        <v>3.4562211981566699</v>
      </c>
      <c r="AS121" s="1">
        <v>0.34562211981566698</v>
      </c>
      <c r="AT121" s="1">
        <v>5.8</v>
      </c>
      <c r="AU121" s="1"/>
      <c r="AV121" s="1" t="s">
        <v>595</v>
      </c>
      <c r="AW121" s="1" t="s">
        <v>96</v>
      </c>
      <c r="AX121" s="1" t="s">
        <v>173</v>
      </c>
      <c r="AY121" s="1" t="s">
        <v>100</v>
      </c>
      <c r="AZ121" s="1" t="s">
        <v>118</v>
      </c>
      <c r="BA121" s="1" t="s">
        <v>100</v>
      </c>
      <c r="BB121" s="1" t="s">
        <v>101</v>
      </c>
      <c r="BC121" s="1" t="s">
        <v>98</v>
      </c>
      <c r="BD121" s="1" t="s">
        <v>101</v>
      </c>
      <c r="BE121" s="1" t="s">
        <v>98</v>
      </c>
      <c r="BF121" s="1" t="s">
        <v>102</v>
      </c>
      <c r="BG121" s="1" t="s">
        <v>98</v>
      </c>
      <c r="BH121" s="1" t="s">
        <v>103</v>
      </c>
      <c r="BI121" t="s">
        <v>98</v>
      </c>
      <c r="BJ121" t="s">
        <v>197</v>
      </c>
      <c r="BK121" t="s">
        <v>98</v>
      </c>
      <c r="BL121" t="s">
        <v>105</v>
      </c>
      <c r="BN121" t="s">
        <v>766</v>
      </c>
      <c r="BO121" t="s">
        <v>100</v>
      </c>
      <c r="BP121" t="s">
        <v>124</v>
      </c>
      <c r="BQ121" t="s">
        <v>96</v>
      </c>
      <c r="BR121" t="s">
        <v>767</v>
      </c>
      <c r="BS121" t="s">
        <v>100</v>
      </c>
      <c r="BT121" t="s">
        <v>105</v>
      </c>
      <c r="BV121" t="s">
        <v>125</v>
      </c>
      <c r="BW121" t="s">
        <v>96</v>
      </c>
      <c r="BX121" t="s">
        <v>200</v>
      </c>
      <c r="BY121" t="s">
        <v>100</v>
      </c>
      <c r="BZ121" t="s">
        <v>141</v>
      </c>
      <c r="CA121" t="s">
        <v>96</v>
      </c>
      <c r="CB121" t="s">
        <v>105</v>
      </c>
      <c r="CD121">
        <v>0</v>
      </c>
      <c r="CE121" t="s">
        <v>96</v>
      </c>
      <c r="CF121">
        <v>0</v>
      </c>
      <c r="CG121" t="s">
        <v>96</v>
      </c>
      <c r="CH121">
        <v>4.2</v>
      </c>
      <c r="CI121" t="s">
        <v>100</v>
      </c>
      <c r="CJ121" t="s">
        <v>112</v>
      </c>
      <c r="CK121" t="s">
        <v>96</v>
      </c>
      <c r="CL121" t="s">
        <v>100</v>
      </c>
      <c r="CM121" t="s">
        <v>100</v>
      </c>
      <c r="CN121">
        <v>9.5</v>
      </c>
      <c r="CO121">
        <v>10</v>
      </c>
    </row>
    <row r="122" spans="1:93" x14ac:dyDescent="0.2">
      <c r="A122" s="3">
        <v>164</v>
      </c>
      <c r="B122" s="3" t="s">
        <v>768</v>
      </c>
      <c r="C122" s="3" t="s">
        <v>769</v>
      </c>
      <c r="D122" s="1"/>
      <c r="E122" s="1">
        <f t="shared" si="9"/>
        <v>8.3785440262613644</v>
      </c>
      <c r="F122" s="1">
        <f t="shared" si="10"/>
        <v>7.02</v>
      </c>
      <c r="G122" s="1">
        <f t="shared" si="11"/>
        <v>10</v>
      </c>
      <c r="H122" s="1"/>
      <c r="I122" s="1">
        <v>34.9</v>
      </c>
      <c r="J122" s="1">
        <v>7.02</v>
      </c>
      <c r="K122" s="1">
        <v>1</v>
      </c>
      <c r="L122" s="1">
        <v>0.5</v>
      </c>
      <c r="M122" s="1"/>
      <c r="N122" s="1"/>
      <c r="O122" s="1">
        <v>1</v>
      </c>
      <c r="P122" s="1">
        <v>0.7</v>
      </c>
      <c r="Q122" s="1">
        <v>0.8</v>
      </c>
      <c r="R122" s="1">
        <v>10</v>
      </c>
      <c r="S122" s="1">
        <v>0.01</v>
      </c>
      <c r="T122" s="1">
        <v>0.01</v>
      </c>
      <c r="U122" s="1">
        <v>6.6666666666748099E-4</v>
      </c>
      <c r="V122" s="1">
        <v>6.6666666666748099E-4</v>
      </c>
      <c r="W122" s="1">
        <v>0.89900000000000002</v>
      </c>
      <c r="X122" s="1">
        <v>0</v>
      </c>
      <c r="Y122" s="1">
        <v>3.5960000000001102E-2</v>
      </c>
      <c r="Z122" s="1">
        <v>0</v>
      </c>
      <c r="AA122" s="1">
        <v>20210222</v>
      </c>
      <c r="AB122" s="1"/>
      <c r="AC122" s="1">
        <v>39.67</v>
      </c>
      <c r="AD122" s="1"/>
      <c r="AE122" s="1">
        <v>75</v>
      </c>
      <c r="AF122" s="1"/>
      <c r="AG122" s="1">
        <v>34.229999999999997</v>
      </c>
      <c r="AH122" s="1"/>
      <c r="AI122" s="1"/>
      <c r="AJ122" s="1">
        <v>6.20461538461538</v>
      </c>
      <c r="AK122" s="1">
        <v>2.5</v>
      </c>
      <c r="AL122" s="1">
        <v>10</v>
      </c>
      <c r="AM122" s="1">
        <v>10</v>
      </c>
      <c r="AN122" s="1">
        <v>1271.7670000000001</v>
      </c>
      <c r="AO122" s="1">
        <v>10</v>
      </c>
      <c r="AP122" s="1">
        <v>0</v>
      </c>
      <c r="AQ122" s="1">
        <v>0</v>
      </c>
      <c r="AR122" s="1">
        <v>0</v>
      </c>
      <c r="AS122" s="1">
        <v>0</v>
      </c>
      <c r="AT122" s="1">
        <v>3.7</v>
      </c>
      <c r="AU122" s="1"/>
      <c r="AV122" s="1" t="s">
        <v>770</v>
      </c>
      <c r="AW122" s="1" t="s">
        <v>96</v>
      </c>
      <c r="AX122" s="1" t="s">
        <v>771</v>
      </c>
      <c r="AY122" s="1" t="s">
        <v>98</v>
      </c>
      <c r="AZ122" s="1" t="s">
        <v>118</v>
      </c>
      <c r="BA122" s="1" t="s">
        <v>100</v>
      </c>
      <c r="BB122" s="1" t="s">
        <v>101</v>
      </c>
      <c r="BC122" s="1" t="s">
        <v>98</v>
      </c>
      <c r="BD122" s="1" t="s">
        <v>101</v>
      </c>
      <c r="BE122" s="1" t="s">
        <v>98</v>
      </c>
      <c r="BF122" s="1" t="s">
        <v>183</v>
      </c>
      <c r="BG122" s="1" t="s">
        <v>96</v>
      </c>
      <c r="BH122" s="1" t="s">
        <v>103</v>
      </c>
      <c r="BI122" t="s">
        <v>98</v>
      </c>
      <c r="BJ122" t="s">
        <v>772</v>
      </c>
      <c r="BK122" t="s">
        <v>98</v>
      </c>
      <c r="BL122" t="s">
        <v>123</v>
      </c>
      <c r="BM122" t="s">
        <v>98</v>
      </c>
      <c r="BN122" t="s">
        <v>773</v>
      </c>
      <c r="BO122" t="s">
        <v>96</v>
      </c>
      <c r="BP122" t="s">
        <v>124</v>
      </c>
      <c r="BQ122" t="s">
        <v>96</v>
      </c>
      <c r="BR122" t="s">
        <v>105</v>
      </c>
      <c r="BT122" t="s">
        <v>105</v>
      </c>
      <c r="BV122" t="s">
        <v>125</v>
      </c>
      <c r="BW122" t="s">
        <v>96</v>
      </c>
      <c r="BX122" t="s">
        <v>126</v>
      </c>
      <c r="BY122" t="s">
        <v>100</v>
      </c>
      <c r="BZ122" t="s">
        <v>141</v>
      </c>
      <c r="CA122" t="s">
        <v>96</v>
      </c>
      <c r="CB122" t="s">
        <v>105</v>
      </c>
      <c r="CD122">
        <v>0.1</v>
      </c>
      <c r="CE122" t="s">
        <v>96</v>
      </c>
      <c r="CF122">
        <v>6.8</v>
      </c>
      <c r="CG122" t="s">
        <v>100</v>
      </c>
      <c r="CH122">
        <v>0.3</v>
      </c>
      <c r="CI122" t="s">
        <v>96</v>
      </c>
      <c r="CJ122" t="s">
        <v>105</v>
      </c>
      <c r="CL122" t="s">
        <v>130</v>
      </c>
      <c r="CM122" t="s">
        <v>96</v>
      </c>
      <c r="CN122">
        <v>4.25</v>
      </c>
      <c r="CO122">
        <v>0</v>
      </c>
    </row>
    <row r="123" spans="1:93" x14ac:dyDescent="0.2">
      <c r="A123" s="3">
        <v>165</v>
      </c>
      <c r="B123" s="3" t="s">
        <v>774</v>
      </c>
      <c r="C123" s="3" t="s">
        <v>775</v>
      </c>
      <c r="D123" s="1"/>
      <c r="E123" s="1">
        <f t="shared" si="9"/>
        <v>6.8299679017153156</v>
      </c>
      <c r="F123" s="1">
        <f t="shared" si="10"/>
        <v>9.25</v>
      </c>
      <c r="G123" s="1">
        <f t="shared" si="11"/>
        <v>5.0430769230769199</v>
      </c>
      <c r="H123" s="1"/>
      <c r="I123" s="1">
        <v>28</v>
      </c>
      <c r="J123" s="1">
        <v>8.4</v>
      </c>
      <c r="K123" s="1">
        <v>0</v>
      </c>
      <c r="L123" s="1">
        <v>0.6</v>
      </c>
      <c r="M123" s="1"/>
      <c r="N123" s="1"/>
      <c r="O123" s="1">
        <v>0.8</v>
      </c>
      <c r="P123" s="1"/>
      <c r="Q123" s="1">
        <v>0.5</v>
      </c>
      <c r="R123" s="1">
        <v>4.7619047619047397</v>
      </c>
      <c r="S123" s="1">
        <v>-57.9531269375439</v>
      </c>
      <c r="T123" s="1">
        <v>-51.910924590620802</v>
      </c>
      <c r="U123" s="1">
        <v>0</v>
      </c>
      <c r="V123" s="1">
        <v>0</v>
      </c>
      <c r="W123" s="1">
        <v>12.747</v>
      </c>
      <c r="X123" s="1">
        <v>0.45600000000000002</v>
      </c>
      <c r="Y123" s="1">
        <v>0.509880000000001</v>
      </c>
      <c r="Z123" s="1">
        <v>0.91200000000000103</v>
      </c>
      <c r="AA123" s="1">
        <v>20210222</v>
      </c>
      <c r="AB123" s="1"/>
      <c r="AC123" s="1">
        <v>47.22</v>
      </c>
      <c r="AD123" s="1"/>
      <c r="AE123" s="1">
        <v>25</v>
      </c>
      <c r="AF123" s="1"/>
      <c r="AG123" s="1">
        <v>50.64</v>
      </c>
      <c r="AH123" s="1"/>
      <c r="AI123" s="1"/>
      <c r="AJ123" s="1">
        <v>5.0430769230769199</v>
      </c>
      <c r="AK123" s="1">
        <v>7.5</v>
      </c>
      <c r="AL123" s="1">
        <v>1194</v>
      </c>
      <c r="AM123" s="1">
        <v>1187</v>
      </c>
      <c r="AN123" s="1">
        <v>19129.955000000002</v>
      </c>
      <c r="AO123" s="1">
        <v>1004</v>
      </c>
      <c r="AP123" s="1">
        <v>7</v>
      </c>
      <c r="AQ123" s="1">
        <v>0.36591826797292498</v>
      </c>
      <c r="AR123" s="1">
        <v>18.924302788844599</v>
      </c>
      <c r="AS123" s="1">
        <v>1.89243027888446</v>
      </c>
      <c r="AT123" s="1">
        <v>5.7</v>
      </c>
      <c r="AU123" s="1"/>
      <c r="AV123" s="1" t="s">
        <v>776</v>
      </c>
      <c r="AW123" s="1" t="s">
        <v>100</v>
      </c>
      <c r="AX123" s="1" t="s">
        <v>236</v>
      </c>
      <c r="AY123" s="1" t="s">
        <v>100</v>
      </c>
      <c r="AZ123" s="1" t="s">
        <v>99</v>
      </c>
      <c r="BA123" s="1" t="s">
        <v>100</v>
      </c>
      <c r="BB123" s="1" t="s">
        <v>101</v>
      </c>
      <c r="BC123" s="1" t="s">
        <v>98</v>
      </c>
      <c r="BD123" s="1" t="s">
        <v>101</v>
      </c>
      <c r="BE123" s="1" t="s">
        <v>98</v>
      </c>
      <c r="BF123" s="1" t="s">
        <v>183</v>
      </c>
      <c r="BG123" s="1" t="s">
        <v>96</v>
      </c>
      <c r="BH123" s="1" t="s">
        <v>121</v>
      </c>
      <c r="BI123" t="s">
        <v>100</v>
      </c>
      <c r="BJ123" t="s">
        <v>207</v>
      </c>
      <c r="BK123" t="s">
        <v>100</v>
      </c>
      <c r="BL123" t="s">
        <v>105</v>
      </c>
      <c r="BN123" t="s">
        <v>553</v>
      </c>
      <c r="BO123" t="s">
        <v>98</v>
      </c>
      <c r="BP123" t="s">
        <v>124</v>
      </c>
      <c r="BQ123" t="s">
        <v>96</v>
      </c>
      <c r="BR123" t="s">
        <v>777</v>
      </c>
      <c r="BS123" t="s">
        <v>98</v>
      </c>
      <c r="BT123" t="s">
        <v>105</v>
      </c>
      <c r="BV123" t="s">
        <v>125</v>
      </c>
      <c r="BW123" t="s">
        <v>96</v>
      </c>
      <c r="BX123" t="s">
        <v>126</v>
      </c>
      <c r="BY123" t="s">
        <v>100</v>
      </c>
      <c r="BZ123" t="s">
        <v>127</v>
      </c>
      <c r="CA123" t="s">
        <v>100</v>
      </c>
      <c r="CB123" t="s">
        <v>400</v>
      </c>
      <c r="CC123" t="s">
        <v>98</v>
      </c>
      <c r="CD123">
        <v>3.2</v>
      </c>
      <c r="CE123" t="s">
        <v>100</v>
      </c>
      <c r="CF123">
        <v>0.7</v>
      </c>
      <c r="CG123" t="s">
        <v>96</v>
      </c>
      <c r="CH123">
        <v>5.4</v>
      </c>
      <c r="CI123" t="s">
        <v>100</v>
      </c>
      <c r="CJ123" t="s">
        <v>112</v>
      </c>
      <c r="CK123" t="s">
        <v>96</v>
      </c>
      <c r="CL123" t="s">
        <v>98</v>
      </c>
      <c r="CM123" t="s">
        <v>98</v>
      </c>
      <c r="CN123">
        <v>9.25</v>
      </c>
      <c r="CO123">
        <v>0</v>
      </c>
    </row>
    <row r="124" spans="1:93" x14ac:dyDescent="0.2">
      <c r="A124" s="3">
        <v>166</v>
      </c>
      <c r="B124" s="3" t="s">
        <v>778</v>
      </c>
      <c r="C124" s="3" t="s">
        <v>779</v>
      </c>
      <c r="D124" s="1"/>
      <c r="E124" s="1">
        <f t="shared" si="9"/>
        <v>5.3452248382484751</v>
      </c>
      <c r="F124" s="1">
        <f t="shared" si="10"/>
        <v>3</v>
      </c>
      <c r="G124" s="1">
        <f t="shared" si="11"/>
        <v>9.5238095238094793</v>
      </c>
      <c r="H124" s="1"/>
      <c r="I124" s="1">
        <v>62.2</v>
      </c>
      <c r="J124" s="1">
        <v>1.56</v>
      </c>
      <c r="K124" s="1">
        <v>0.7</v>
      </c>
      <c r="L124" s="1">
        <v>0.9</v>
      </c>
      <c r="M124" s="1"/>
      <c r="N124" s="1"/>
      <c r="O124" s="1">
        <v>0.8</v>
      </c>
      <c r="P124" s="1">
        <v>0.6</v>
      </c>
      <c r="Q124" s="1">
        <v>0.7</v>
      </c>
      <c r="R124" s="1">
        <v>9.5238095238094793</v>
      </c>
      <c r="S124" s="1">
        <v>-16.7725020445471</v>
      </c>
      <c r="T124" s="1">
        <v>-30.256740502185899</v>
      </c>
      <c r="U124" s="1">
        <v>0</v>
      </c>
      <c r="V124" s="1">
        <v>0</v>
      </c>
      <c r="W124" s="1">
        <v>85.186000000000007</v>
      </c>
      <c r="X124" s="1">
        <v>0.40200000000000002</v>
      </c>
      <c r="Y124" s="1">
        <v>3.4074399999999998</v>
      </c>
      <c r="Z124" s="1">
        <v>0.80400000000000005</v>
      </c>
      <c r="AA124" s="1">
        <v>20210222</v>
      </c>
      <c r="AB124" s="1"/>
      <c r="AC124" s="1">
        <v>73.06</v>
      </c>
      <c r="AD124" s="1"/>
      <c r="AE124" s="1">
        <v>75</v>
      </c>
      <c r="AF124" s="1"/>
      <c r="AG124" s="1">
        <v>72.760000000000005</v>
      </c>
      <c r="AH124" s="1"/>
      <c r="AI124" s="1"/>
      <c r="AJ124" s="1">
        <v>1.0676923076923099</v>
      </c>
      <c r="AK124" s="1">
        <v>2.5</v>
      </c>
      <c r="AL124" s="1">
        <v>1474</v>
      </c>
      <c r="AM124" s="1">
        <v>1439</v>
      </c>
      <c r="AN124" s="1">
        <v>32365.998</v>
      </c>
      <c r="AO124" s="1">
        <v>1051</v>
      </c>
      <c r="AP124" s="1">
        <v>35</v>
      </c>
      <c r="AQ124" s="1">
        <v>1.08138176366445</v>
      </c>
      <c r="AR124" s="1">
        <v>40.247383444338702</v>
      </c>
      <c r="AS124" s="1">
        <v>4.02473834443387</v>
      </c>
      <c r="AT124" s="1">
        <v>3.2</v>
      </c>
      <c r="AU124" s="1"/>
      <c r="AV124" s="1" t="s">
        <v>780</v>
      </c>
      <c r="AW124" s="1" t="s">
        <v>98</v>
      </c>
      <c r="AX124" s="1" t="s">
        <v>334</v>
      </c>
      <c r="AY124" s="1" t="s">
        <v>100</v>
      </c>
      <c r="AZ124" s="1" t="s">
        <v>135</v>
      </c>
      <c r="BA124" s="1" t="s">
        <v>100</v>
      </c>
      <c r="BB124" s="1" t="s">
        <v>146</v>
      </c>
      <c r="BC124" s="1" t="s">
        <v>100</v>
      </c>
      <c r="BD124" s="1" t="s">
        <v>136</v>
      </c>
      <c r="BE124" s="1" t="s">
        <v>100</v>
      </c>
      <c r="BF124" s="1" t="s">
        <v>137</v>
      </c>
      <c r="BG124" s="1" t="s">
        <v>100</v>
      </c>
      <c r="BH124" s="1" t="s">
        <v>147</v>
      </c>
      <c r="BI124" t="s">
        <v>96</v>
      </c>
      <c r="BJ124" t="s">
        <v>328</v>
      </c>
      <c r="BK124" t="s">
        <v>98</v>
      </c>
      <c r="BL124" t="s">
        <v>238</v>
      </c>
      <c r="BM124" t="s">
        <v>96</v>
      </c>
      <c r="BN124" t="s">
        <v>642</v>
      </c>
      <c r="BO124" t="s">
        <v>100</v>
      </c>
      <c r="BP124" t="s">
        <v>169</v>
      </c>
      <c r="BQ124" t="s">
        <v>100</v>
      </c>
      <c r="BR124" t="s">
        <v>105</v>
      </c>
      <c r="BT124" t="s">
        <v>105</v>
      </c>
      <c r="BV124" t="s">
        <v>125</v>
      </c>
      <c r="BW124" t="s">
        <v>96</v>
      </c>
      <c r="BX124" t="s">
        <v>110</v>
      </c>
      <c r="BY124" t="s">
        <v>96</v>
      </c>
      <c r="BZ124" t="s">
        <v>141</v>
      </c>
      <c r="CA124" t="s">
        <v>96</v>
      </c>
      <c r="CB124" t="s">
        <v>105</v>
      </c>
      <c r="CD124">
        <v>2.8</v>
      </c>
      <c r="CE124" t="s">
        <v>100</v>
      </c>
      <c r="CF124">
        <v>0.1</v>
      </c>
      <c r="CG124" t="s">
        <v>96</v>
      </c>
      <c r="CH124">
        <v>2.8</v>
      </c>
      <c r="CI124" t="s">
        <v>100</v>
      </c>
      <c r="CJ124" t="s">
        <v>105</v>
      </c>
      <c r="CL124" t="s">
        <v>130</v>
      </c>
      <c r="CM124" t="s">
        <v>96</v>
      </c>
      <c r="CN124">
        <v>3</v>
      </c>
      <c r="CO124">
        <v>0</v>
      </c>
    </row>
    <row r="125" spans="1:93" x14ac:dyDescent="0.2">
      <c r="A125" s="3">
        <v>167</v>
      </c>
      <c r="B125" s="3" t="s">
        <v>781</v>
      </c>
      <c r="C125" s="3" t="s">
        <v>782</v>
      </c>
      <c r="D125" s="1"/>
      <c r="E125" s="1">
        <f t="shared" si="9"/>
        <v>6.3566742635050648</v>
      </c>
      <c r="F125" s="1">
        <f t="shared" si="10"/>
        <v>7.75</v>
      </c>
      <c r="G125" s="1">
        <f t="shared" si="11"/>
        <v>5.2138461538461502</v>
      </c>
      <c r="H125" s="1"/>
      <c r="I125" s="1">
        <v>35.6</v>
      </c>
      <c r="J125" s="1">
        <v>6.88</v>
      </c>
      <c r="K125" s="1">
        <v>0</v>
      </c>
      <c r="L125" s="1">
        <v>0.6</v>
      </c>
      <c r="M125" s="1"/>
      <c r="N125" s="1"/>
      <c r="O125" s="1">
        <v>0.2</v>
      </c>
      <c r="P125" s="1">
        <v>0.5</v>
      </c>
      <c r="Q125" s="1">
        <v>0.3</v>
      </c>
      <c r="R125" s="1">
        <v>0</v>
      </c>
      <c r="S125" s="1">
        <v>-48.0717748606491</v>
      </c>
      <c r="T125" s="1">
        <v>7.3809039979142899</v>
      </c>
      <c r="U125" s="1">
        <v>0</v>
      </c>
      <c r="V125" s="1">
        <v>0.49206026652762003</v>
      </c>
      <c r="W125" s="1">
        <v>86.076999999999998</v>
      </c>
      <c r="X125" s="1">
        <v>0.78700000000000003</v>
      </c>
      <c r="Y125" s="1">
        <v>3.4430800000000001</v>
      </c>
      <c r="Z125" s="1">
        <v>1.5740000000000001</v>
      </c>
      <c r="AA125" s="1">
        <v>20210222</v>
      </c>
      <c r="AB125" s="1"/>
      <c r="AC125" s="1">
        <v>46.11</v>
      </c>
      <c r="AD125" s="1"/>
      <c r="AE125" s="1">
        <v>0</v>
      </c>
      <c r="AF125" s="1"/>
      <c r="AG125" s="1">
        <v>53.21</v>
      </c>
      <c r="AH125" s="1"/>
      <c r="AI125" s="1"/>
      <c r="AJ125" s="1">
        <v>5.2138461538461502</v>
      </c>
      <c r="AK125" s="1">
        <v>10</v>
      </c>
      <c r="AL125" s="1">
        <v>551</v>
      </c>
      <c r="AM125" s="1">
        <v>522</v>
      </c>
      <c r="AN125" s="1">
        <v>2540.9160000000002</v>
      </c>
      <c r="AO125" s="1">
        <v>402</v>
      </c>
      <c r="AP125" s="1">
        <v>29</v>
      </c>
      <c r="AQ125" s="1">
        <v>11.4132068907433</v>
      </c>
      <c r="AR125" s="1">
        <v>37.064676616915399</v>
      </c>
      <c r="AS125" s="1">
        <v>3.7064676616915402</v>
      </c>
      <c r="AT125" s="1">
        <v>5.0999999999999996</v>
      </c>
      <c r="AU125" s="1"/>
      <c r="AV125" s="1" t="s">
        <v>783</v>
      </c>
      <c r="AW125" s="1" t="s">
        <v>100</v>
      </c>
      <c r="AX125" s="1" t="s">
        <v>504</v>
      </c>
      <c r="AY125" s="1" t="s">
        <v>100</v>
      </c>
      <c r="AZ125" s="1" t="s">
        <v>99</v>
      </c>
      <c r="BA125" s="1" t="s">
        <v>100</v>
      </c>
      <c r="BB125" s="1" t="s">
        <v>101</v>
      </c>
      <c r="BC125" s="1" t="s">
        <v>98</v>
      </c>
      <c r="BD125" s="1" t="s">
        <v>120</v>
      </c>
      <c r="BE125" s="1" t="s">
        <v>100</v>
      </c>
      <c r="BF125" s="1" t="s">
        <v>102</v>
      </c>
      <c r="BG125" s="1" t="s">
        <v>98</v>
      </c>
      <c r="BH125" s="1" t="s">
        <v>103</v>
      </c>
      <c r="BI125" t="s">
        <v>98</v>
      </c>
      <c r="BJ125" t="s">
        <v>602</v>
      </c>
      <c r="BK125" t="s">
        <v>98</v>
      </c>
      <c r="BL125" t="s">
        <v>105</v>
      </c>
      <c r="BN125" t="s">
        <v>784</v>
      </c>
      <c r="BO125" t="s">
        <v>96</v>
      </c>
      <c r="BP125" t="s">
        <v>124</v>
      </c>
      <c r="BQ125" t="s">
        <v>96</v>
      </c>
      <c r="BR125" t="s">
        <v>785</v>
      </c>
      <c r="BS125" t="s">
        <v>100</v>
      </c>
      <c r="BT125" t="s">
        <v>105</v>
      </c>
      <c r="BV125" t="s">
        <v>125</v>
      </c>
      <c r="BW125" t="s">
        <v>96</v>
      </c>
      <c r="BX125" t="s">
        <v>126</v>
      </c>
      <c r="BY125" t="s">
        <v>100</v>
      </c>
      <c r="BZ125" t="s">
        <v>141</v>
      </c>
      <c r="CA125" t="s">
        <v>96</v>
      </c>
      <c r="CB125" t="s">
        <v>105</v>
      </c>
      <c r="CD125">
        <v>2.6</v>
      </c>
      <c r="CE125" t="s">
        <v>100</v>
      </c>
      <c r="CF125">
        <v>0</v>
      </c>
      <c r="CG125" t="s">
        <v>96</v>
      </c>
      <c r="CH125">
        <v>7.8</v>
      </c>
      <c r="CI125" t="s">
        <v>98</v>
      </c>
      <c r="CJ125" t="s">
        <v>112</v>
      </c>
      <c r="CK125" t="s">
        <v>96</v>
      </c>
      <c r="CL125" t="s">
        <v>98</v>
      </c>
      <c r="CM125" t="s">
        <v>98</v>
      </c>
      <c r="CN125">
        <v>7.75</v>
      </c>
      <c r="CO125">
        <v>0</v>
      </c>
    </row>
    <row r="126" spans="1:93" x14ac:dyDescent="0.2">
      <c r="A126" s="3">
        <v>168</v>
      </c>
      <c r="B126" s="3" t="s">
        <v>786</v>
      </c>
      <c r="C126" s="3" t="s">
        <v>787</v>
      </c>
      <c r="D126" s="1"/>
      <c r="E126" s="1">
        <f t="shared" si="9"/>
        <v>9.7590007294853081</v>
      </c>
      <c r="F126" s="1">
        <f t="shared" si="10"/>
        <v>10</v>
      </c>
      <c r="G126" s="1">
        <f t="shared" si="11"/>
        <v>9.5238095238094793</v>
      </c>
      <c r="H126" s="1"/>
      <c r="I126" s="1">
        <v>32.200000000000003</v>
      </c>
      <c r="J126" s="1">
        <v>7.56</v>
      </c>
      <c r="K126" s="1">
        <v>0.9</v>
      </c>
      <c r="L126" s="1">
        <v>0.2</v>
      </c>
      <c r="M126" s="1"/>
      <c r="N126" s="1"/>
      <c r="O126" s="1">
        <v>1</v>
      </c>
      <c r="P126" s="1">
        <v>0.6</v>
      </c>
      <c r="Q126" s="1">
        <v>0.7</v>
      </c>
      <c r="R126" s="1">
        <v>9.5238095238094793</v>
      </c>
      <c r="S126" s="1">
        <v>-71.293649807381598</v>
      </c>
      <c r="T126" s="1">
        <v>-54.987144743242297</v>
      </c>
      <c r="U126" s="1">
        <v>0</v>
      </c>
      <c r="V126" s="1">
        <v>0</v>
      </c>
      <c r="W126" s="1">
        <v>0.224</v>
      </c>
      <c r="X126" s="1">
        <v>6.0000000000000001E-3</v>
      </c>
      <c r="Y126" s="1">
        <v>8.9600000000000807E-3</v>
      </c>
      <c r="Z126" s="1">
        <v>1.20000000000005E-2</v>
      </c>
      <c r="AA126" s="1">
        <v>20210222</v>
      </c>
      <c r="AB126" s="1"/>
      <c r="AC126" s="1">
        <v>37.22</v>
      </c>
      <c r="AD126" s="1"/>
      <c r="AE126" s="1">
        <v>50</v>
      </c>
      <c r="AF126" s="1"/>
      <c r="AG126" s="1">
        <v>35.26</v>
      </c>
      <c r="AH126" s="1"/>
      <c r="AI126" s="1"/>
      <c r="AJ126" s="1">
        <v>6.58153846153846</v>
      </c>
      <c r="AK126" s="1">
        <v>5</v>
      </c>
      <c r="AL126" s="1">
        <v>172</v>
      </c>
      <c r="AM126" s="1">
        <v>172</v>
      </c>
      <c r="AN126" s="1">
        <v>24206.635999999999</v>
      </c>
      <c r="AO126" s="1">
        <v>170</v>
      </c>
      <c r="AP126" s="1">
        <v>0</v>
      </c>
      <c r="AQ126" s="1">
        <v>0</v>
      </c>
      <c r="AR126" s="1">
        <v>1.1764705882352899</v>
      </c>
      <c r="AS126" s="1">
        <v>0.11764705882352899</v>
      </c>
      <c r="AT126" s="1">
        <v>6.2</v>
      </c>
      <c r="AU126" s="1"/>
      <c r="AV126" s="1" t="s">
        <v>788</v>
      </c>
      <c r="AW126" s="1" t="s">
        <v>96</v>
      </c>
      <c r="AX126" s="1" t="s">
        <v>789</v>
      </c>
      <c r="AY126" s="1" t="s">
        <v>100</v>
      </c>
      <c r="AZ126" s="1" t="s">
        <v>118</v>
      </c>
      <c r="BA126" s="1" t="s">
        <v>100</v>
      </c>
      <c r="BB126" s="1" t="s">
        <v>101</v>
      </c>
      <c r="BC126" s="1" t="s">
        <v>98</v>
      </c>
      <c r="BD126" s="1" t="s">
        <v>101</v>
      </c>
      <c r="BE126" s="1" t="s">
        <v>98</v>
      </c>
      <c r="BF126" s="1" t="s">
        <v>102</v>
      </c>
      <c r="BG126" s="1" t="s">
        <v>98</v>
      </c>
      <c r="BH126" s="1" t="s">
        <v>147</v>
      </c>
      <c r="BI126" t="s">
        <v>96</v>
      </c>
      <c r="BJ126" t="s">
        <v>411</v>
      </c>
      <c r="BK126" t="s">
        <v>100</v>
      </c>
      <c r="BL126" t="s">
        <v>105</v>
      </c>
      <c r="BN126" t="s">
        <v>790</v>
      </c>
      <c r="BO126" t="s">
        <v>100</v>
      </c>
      <c r="BP126" t="s">
        <v>124</v>
      </c>
      <c r="BQ126" t="s">
        <v>96</v>
      </c>
      <c r="BR126" t="s">
        <v>791</v>
      </c>
      <c r="BS126" t="s">
        <v>98</v>
      </c>
      <c r="BT126" t="s">
        <v>105</v>
      </c>
      <c r="BV126" t="s">
        <v>125</v>
      </c>
      <c r="BW126" t="s">
        <v>96</v>
      </c>
      <c r="BX126" t="s">
        <v>110</v>
      </c>
      <c r="BY126" t="s">
        <v>96</v>
      </c>
      <c r="BZ126" t="s">
        <v>253</v>
      </c>
      <c r="CA126" t="s">
        <v>98</v>
      </c>
      <c r="CB126" t="s">
        <v>792</v>
      </c>
      <c r="CC126" t="s">
        <v>98</v>
      </c>
      <c r="CD126">
        <v>0</v>
      </c>
      <c r="CE126" t="s">
        <v>96</v>
      </c>
      <c r="CF126">
        <v>0</v>
      </c>
      <c r="CG126" t="s">
        <v>96</v>
      </c>
      <c r="CH126">
        <v>4.7</v>
      </c>
      <c r="CI126" t="s">
        <v>100</v>
      </c>
      <c r="CJ126" t="s">
        <v>112</v>
      </c>
      <c r="CK126" t="s">
        <v>96</v>
      </c>
      <c r="CL126" t="s">
        <v>98</v>
      </c>
      <c r="CM126" t="s">
        <v>98</v>
      </c>
      <c r="CN126">
        <v>10</v>
      </c>
      <c r="CO126">
        <v>0</v>
      </c>
    </row>
    <row r="127" spans="1:93" x14ac:dyDescent="0.2">
      <c r="A127" s="3">
        <v>169</v>
      </c>
      <c r="B127" s="3" t="s">
        <v>793</v>
      </c>
      <c r="C127" s="3" t="s">
        <v>794</v>
      </c>
      <c r="D127" s="1"/>
      <c r="E127" s="1">
        <f t="shared" si="9"/>
        <v>9.8742088290657488</v>
      </c>
      <c r="F127" s="1">
        <f t="shared" si="10"/>
        <v>9.75</v>
      </c>
      <c r="G127" s="1">
        <f t="shared" si="11"/>
        <v>10</v>
      </c>
      <c r="H127" s="1"/>
      <c r="I127" s="1">
        <v>37.799999999999997</v>
      </c>
      <c r="J127" s="1">
        <v>6.44</v>
      </c>
      <c r="K127" s="1">
        <v>0</v>
      </c>
      <c r="L127" s="1">
        <v>0.6</v>
      </c>
      <c r="M127" s="1"/>
      <c r="N127" s="1"/>
      <c r="O127" s="1">
        <v>1</v>
      </c>
      <c r="P127" s="1">
        <v>0.3</v>
      </c>
      <c r="Q127" s="1">
        <v>0.5</v>
      </c>
      <c r="R127" s="1">
        <v>4.7619047619047397</v>
      </c>
      <c r="S127" s="1">
        <v>7.8259209772857403</v>
      </c>
      <c r="T127" s="1">
        <v>-27.672526560954601</v>
      </c>
      <c r="U127" s="1">
        <v>0.52172806515238301</v>
      </c>
      <c r="V127" s="1">
        <v>0</v>
      </c>
      <c r="W127" s="1">
        <v>4.0819999999999999</v>
      </c>
      <c r="X127" s="1">
        <v>0.06</v>
      </c>
      <c r="Y127" s="1">
        <v>0.16328000000000001</v>
      </c>
      <c r="Z127" s="1">
        <v>0.119999999999999</v>
      </c>
      <c r="AA127" s="1">
        <v>20210222</v>
      </c>
      <c r="AB127" s="1"/>
      <c r="AC127" s="1">
        <v>50.56</v>
      </c>
      <c r="AD127" s="1"/>
      <c r="AE127" s="1">
        <v>0</v>
      </c>
      <c r="AF127" s="1"/>
      <c r="AG127" s="1">
        <v>58.33</v>
      </c>
      <c r="AH127" s="1"/>
      <c r="AI127" s="1"/>
      <c r="AJ127" s="1">
        <v>4.5292307692307698</v>
      </c>
      <c r="AK127" s="1">
        <v>10</v>
      </c>
      <c r="AL127" s="1">
        <v>2212</v>
      </c>
      <c r="AM127" s="1">
        <v>2186</v>
      </c>
      <c r="AN127" s="1">
        <v>206139.587</v>
      </c>
      <c r="AO127" s="1">
        <v>1831</v>
      </c>
      <c r="AP127" s="1">
        <v>26</v>
      </c>
      <c r="AQ127" s="1">
        <v>0.12612812695700201</v>
      </c>
      <c r="AR127" s="1">
        <v>20.808301474604001</v>
      </c>
      <c r="AS127" s="1">
        <v>2.0808301474604001</v>
      </c>
      <c r="AT127" s="1">
        <v>5.9</v>
      </c>
      <c r="AU127" s="1"/>
      <c r="AV127" s="1" t="s">
        <v>795</v>
      </c>
      <c r="AW127" s="1" t="s">
        <v>96</v>
      </c>
      <c r="AX127" s="1" t="s">
        <v>796</v>
      </c>
      <c r="AY127" s="1" t="s">
        <v>100</v>
      </c>
      <c r="AZ127" s="1" t="s">
        <v>118</v>
      </c>
      <c r="BA127" s="1" t="s">
        <v>100</v>
      </c>
      <c r="BB127" s="1" t="s">
        <v>146</v>
      </c>
      <c r="BC127" s="1" t="s">
        <v>100</v>
      </c>
      <c r="BD127" s="1" t="s">
        <v>136</v>
      </c>
      <c r="BE127" s="1" t="s">
        <v>100</v>
      </c>
      <c r="BF127" s="1" t="s">
        <v>102</v>
      </c>
      <c r="BG127" s="1" t="s">
        <v>98</v>
      </c>
      <c r="BH127" s="1" t="s">
        <v>103</v>
      </c>
      <c r="BI127" t="s">
        <v>98</v>
      </c>
      <c r="BJ127" t="s">
        <v>797</v>
      </c>
      <c r="BK127" t="s">
        <v>98</v>
      </c>
      <c r="BL127" t="s">
        <v>105</v>
      </c>
      <c r="BN127" t="s">
        <v>798</v>
      </c>
      <c r="BO127" t="s">
        <v>98</v>
      </c>
      <c r="BP127" t="s">
        <v>124</v>
      </c>
      <c r="BQ127" t="s">
        <v>96</v>
      </c>
      <c r="BR127" t="s">
        <v>799</v>
      </c>
      <c r="BS127" t="s">
        <v>98</v>
      </c>
      <c r="BT127" t="s">
        <v>105</v>
      </c>
      <c r="BV127" t="s">
        <v>125</v>
      </c>
      <c r="BW127" t="s">
        <v>96</v>
      </c>
      <c r="BX127" t="s">
        <v>200</v>
      </c>
      <c r="BY127" t="s">
        <v>100</v>
      </c>
      <c r="BZ127" t="s">
        <v>141</v>
      </c>
      <c r="CA127" t="s">
        <v>96</v>
      </c>
      <c r="CB127" t="s">
        <v>800</v>
      </c>
      <c r="CC127" t="s">
        <v>98</v>
      </c>
      <c r="CD127">
        <v>0.6</v>
      </c>
      <c r="CE127" t="s">
        <v>96</v>
      </c>
      <c r="CF127">
        <v>0</v>
      </c>
      <c r="CG127" t="s">
        <v>96</v>
      </c>
      <c r="CH127">
        <v>0</v>
      </c>
      <c r="CI127" t="s">
        <v>96</v>
      </c>
      <c r="CJ127" t="s">
        <v>129</v>
      </c>
      <c r="CK127" t="s">
        <v>98</v>
      </c>
      <c r="CL127" t="s">
        <v>98</v>
      </c>
      <c r="CM127" t="s">
        <v>98</v>
      </c>
      <c r="CN127">
        <v>9.75</v>
      </c>
      <c r="CO127">
        <v>10</v>
      </c>
    </row>
    <row r="128" spans="1:93" x14ac:dyDescent="0.2">
      <c r="A128" s="3">
        <v>170</v>
      </c>
      <c r="B128" s="3" t="s">
        <v>801</v>
      </c>
      <c r="C128" s="3" t="s">
        <v>802</v>
      </c>
      <c r="D128" s="1"/>
      <c r="E128" s="1">
        <f t="shared" si="9"/>
        <v>8.0622577482985491</v>
      </c>
      <c r="F128" s="1">
        <f t="shared" si="10"/>
        <v>6.5</v>
      </c>
      <c r="G128" s="1">
        <f t="shared" si="11"/>
        <v>10</v>
      </c>
      <c r="H128" s="1"/>
      <c r="I128" s="1">
        <v>43.1</v>
      </c>
      <c r="J128" s="1">
        <v>5.38</v>
      </c>
      <c r="K128" s="1">
        <v>0.3</v>
      </c>
      <c r="L128" s="1">
        <v>0.1</v>
      </c>
      <c r="M128" s="1"/>
      <c r="N128" s="1"/>
      <c r="O128" s="1">
        <v>0.5</v>
      </c>
      <c r="P128" s="1">
        <v>0.6</v>
      </c>
      <c r="Q128" s="1">
        <v>0.4</v>
      </c>
      <c r="R128" s="1">
        <v>2.3809523809523698</v>
      </c>
      <c r="S128" s="1">
        <v>7.6923076923076801</v>
      </c>
      <c r="T128" s="1">
        <v>12.227985388852799</v>
      </c>
      <c r="U128" s="1">
        <v>0.512820512820513</v>
      </c>
      <c r="V128" s="1">
        <v>0.815199025923523</v>
      </c>
      <c r="W128" s="1">
        <v>1.1000000000000001</v>
      </c>
      <c r="X128" s="1">
        <v>2.1999999999999999E-2</v>
      </c>
      <c r="Y128" s="1">
        <v>4.4000000000000497E-2</v>
      </c>
      <c r="Z128" s="1">
        <v>4.4000000000000497E-2</v>
      </c>
      <c r="AA128" s="1">
        <v>20210222</v>
      </c>
      <c r="AB128" s="1">
        <v>7.22</v>
      </c>
      <c r="AC128" s="1">
        <v>7.22</v>
      </c>
      <c r="AD128" s="1">
        <v>0</v>
      </c>
      <c r="AE128" s="1">
        <v>0</v>
      </c>
      <c r="AF128" s="1">
        <v>8.33</v>
      </c>
      <c r="AG128" s="1">
        <v>8.33</v>
      </c>
      <c r="AH128" s="1">
        <v>0</v>
      </c>
      <c r="AI128" s="1"/>
      <c r="AJ128" s="1">
        <v>10</v>
      </c>
      <c r="AK128" s="1">
        <v>10</v>
      </c>
      <c r="AL128" s="1">
        <v>173</v>
      </c>
      <c r="AM128" s="1">
        <v>173</v>
      </c>
      <c r="AN128" s="1">
        <v>6624.5540000000001</v>
      </c>
      <c r="AO128" s="1">
        <v>172</v>
      </c>
      <c r="AP128" s="1">
        <v>0</v>
      </c>
      <c r="AQ128" s="1">
        <v>0</v>
      </c>
      <c r="AR128" s="1">
        <v>0.58139534883720501</v>
      </c>
      <c r="AS128" s="1">
        <v>5.8139534883721901E-2</v>
      </c>
      <c r="AT128" s="1">
        <v>4.5999999999999996</v>
      </c>
      <c r="AU128" s="1"/>
      <c r="AV128" s="1" t="s">
        <v>803</v>
      </c>
      <c r="AW128" s="1" t="s">
        <v>96</v>
      </c>
      <c r="AX128" s="1" t="s">
        <v>97</v>
      </c>
      <c r="AY128" s="1" t="s">
        <v>98</v>
      </c>
      <c r="AZ128" s="1" t="s">
        <v>99</v>
      </c>
      <c r="BA128" s="1" t="s">
        <v>100</v>
      </c>
      <c r="BB128" s="1" t="s">
        <v>101</v>
      </c>
      <c r="BC128" s="1" t="s">
        <v>98</v>
      </c>
      <c r="BD128" s="1" t="s">
        <v>101</v>
      </c>
      <c r="BE128" s="1" t="s">
        <v>98</v>
      </c>
      <c r="BF128" s="1" t="s">
        <v>102</v>
      </c>
      <c r="BG128" s="1" t="s">
        <v>98</v>
      </c>
      <c r="BH128" s="1" t="s">
        <v>103</v>
      </c>
      <c r="BI128" t="s">
        <v>98</v>
      </c>
      <c r="BJ128" t="s">
        <v>387</v>
      </c>
      <c r="BK128" t="s">
        <v>98</v>
      </c>
      <c r="BL128" t="s">
        <v>505</v>
      </c>
      <c r="BM128" t="s">
        <v>100</v>
      </c>
      <c r="BN128" t="s">
        <v>790</v>
      </c>
      <c r="BO128" t="s">
        <v>100</v>
      </c>
      <c r="BP128" t="s">
        <v>124</v>
      </c>
      <c r="BQ128" t="s">
        <v>96</v>
      </c>
      <c r="BR128" t="s">
        <v>105</v>
      </c>
      <c r="BT128" t="s">
        <v>105</v>
      </c>
      <c r="BV128" t="s">
        <v>109</v>
      </c>
      <c r="BW128" t="s">
        <v>100</v>
      </c>
      <c r="BX128" t="s">
        <v>200</v>
      </c>
      <c r="BY128" t="s">
        <v>100</v>
      </c>
      <c r="BZ128" t="s">
        <v>253</v>
      </c>
      <c r="CA128" t="s">
        <v>98</v>
      </c>
      <c r="CB128" t="s">
        <v>804</v>
      </c>
      <c r="CC128" t="s">
        <v>98</v>
      </c>
      <c r="CD128">
        <v>0</v>
      </c>
      <c r="CE128" t="s">
        <v>96</v>
      </c>
      <c r="CF128">
        <v>0</v>
      </c>
      <c r="CG128" t="s">
        <v>96</v>
      </c>
      <c r="CH128">
        <v>3.1</v>
      </c>
      <c r="CI128" t="s">
        <v>100</v>
      </c>
      <c r="CJ128" t="s">
        <v>129</v>
      </c>
      <c r="CK128" t="s">
        <v>98</v>
      </c>
      <c r="CL128" t="s">
        <v>96</v>
      </c>
      <c r="CM128" t="s">
        <v>100</v>
      </c>
      <c r="CN128">
        <v>6.5</v>
      </c>
      <c r="CO128">
        <v>0</v>
      </c>
    </row>
    <row r="129" spans="1:93" x14ac:dyDescent="0.2">
      <c r="A129" s="3">
        <v>171</v>
      </c>
      <c r="B129" s="3" t="s">
        <v>805</v>
      </c>
      <c r="C129" s="3" t="s">
        <v>806</v>
      </c>
      <c r="D129" s="1"/>
      <c r="E129" s="1">
        <f t="shared" si="9"/>
        <v>3.3969913158558409</v>
      </c>
      <c r="F129" s="1">
        <f t="shared" si="10"/>
        <v>1.25</v>
      </c>
      <c r="G129" s="1">
        <f t="shared" si="11"/>
        <v>9.2316400000000005</v>
      </c>
      <c r="H129" s="1"/>
      <c r="I129" s="1">
        <v>75.599999999999994</v>
      </c>
      <c r="J129" s="1">
        <v>0</v>
      </c>
      <c r="K129" s="1">
        <v>0</v>
      </c>
      <c r="L129" s="1">
        <v>0.7</v>
      </c>
      <c r="M129" s="1"/>
      <c r="N129" s="1"/>
      <c r="O129" s="1">
        <v>0.8</v>
      </c>
      <c r="P129" s="1">
        <v>0.4</v>
      </c>
      <c r="Q129" s="1">
        <v>0.5</v>
      </c>
      <c r="R129" s="1">
        <v>4.7619047619047397</v>
      </c>
      <c r="S129" s="1">
        <v>0.149647413468256</v>
      </c>
      <c r="T129" s="1">
        <v>-4.8877932362566501</v>
      </c>
      <c r="U129" s="1">
        <v>9.9764942312159394E-3</v>
      </c>
      <c r="V129" s="1">
        <v>0</v>
      </c>
      <c r="W129" s="1">
        <v>230.791</v>
      </c>
      <c r="X129" s="1">
        <v>3.3679999999999999</v>
      </c>
      <c r="Y129" s="1">
        <v>9.2316400000000005</v>
      </c>
      <c r="Z129" s="1">
        <v>6.7359999999999998</v>
      </c>
      <c r="AA129" s="1">
        <v>20210222</v>
      </c>
      <c r="AB129" s="1"/>
      <c r="AC129" s="1">
        <v>71</v>
      </c>
      <c r="AD129" s="1"/>
      <c r="AE129" s="1">
        <v>75</v>
      </c>
      <c r="AF129" s="1"/>
      <c r="AG129" s="1">
        <v>70.38</v>
      </c>
      <c r="AH129" s="1"/>
      <c r="AI129" s="1"/>
      <c r="AJ129" s="1">
        <v>1.3846153846153799</v>
      </c>
      <c r="AK129" s="1">
        <v>2.5</v>
      </c>
      <c r="AL129" s="1">
        <v>18142</v>
      </c>
      <c r="AM129" s="1">
        <v>17807</v>
      </c>
      <c r="AN129" s="1">
        <v>17134.873</v>
      </c>
      <c r="AO129" s="1">
        <v>15323</v>
      </c>
      <c r="AP129" s="1">
        <v>335</v>
      </c>
      <c r="AQ129" s="1">
        <v>19.550772275931099</v>
      </c>
      <c r="AR129" s="1">
        <v>18.3971807087385</v>
      </c>
      <c r="AS129" s="1">
        <v>1.8397180708738501</v>
      </c>
      <c r="AT129" s="1">
        <v>2.5</v>
      </c>
      <c r="AU129" s="1"/>
      <c r="AV129" s="1" t="s">
        <v>807</v>
      </c>
      <c r="AW129" s="1" t="s">
        <v>98</v>
      </c>
      <c r="AX129" s="1" t="s">
        <v>808</v>
      </c>
      <c r="AY129" s="1" t="s">
        <v>96</v>
      </c>
      <c r="AZ129" s="1" t="s">
        <v>135</v>
      </c>
      <c r="BA129" s="1" t="s">
        <v>100</v>
      </c>
      <c r="BB129" s="1" t="s">
        <v>146</v>
      </c>
      <c r="BC129" s="1" t="s">
        <v>100</v>
      </c>
      <c r="BD129" s="1" t="s">
        <v>136</v>
      </c>
      <c r="BE129" s="1" t="s">
        <v>100</v>
      </c>
      <c r="BF129" s="1" t="s">
        <v>183</v>
      </c>
      <c r="BG129" s="1" t="s">
        <v>96</v>
      </c>
      <c r="BH129" s="1" t="s">
        <v>121</v>
      </c>
      <c r="BI129" t="s">
        <v>100</v>
      </c>
      <c r="BJ129" t="s">
        <v>736</v>
      </c>
      <c r="BK129" t="s">
        <v>98</v>
      </c>
      <c r="BL129" t="s">
        <v>809</v>
      </c>
      <c r="BM129" t="s">
        <v>100</v>
      </c>
      <c r="BN129" t="s">
        <v>186</v>
      </c>
      <c r="BO129" t="s">
        <v>96</v>
      </c>
      <c r="BP129" t="s">
        <v>124</v>
      </c>
      <c r="BQ129" t="s">
        <v>96</v>
      </c>
      <c r="BR129" t="s">
        <v>105</v>
      </c>
      <c r="BT129" t="s">
        <v>105</v>
      </c>
      <c r="BV129" t="s">
        <v>125</v>
      </c>
      <c r="BW129" t="s">
        <v>96</v>
      </c>
      <c r="BX129" t="s">
        <v>126</v>
      </c>
      <c r="BY129" t="s">
        <v>100</v>
      </c>
      <c r="BZ129" t="s">
        <v>127</v>
      </c>
      <c r="CA129" t="s">
        <v>100</v>
      </c>
      <c r="CB129" t="s">
        <v>105</v>
      </c>
      <c r="CD129">
        <v>0</v>
      </c>
      <c r="CE129" t="s">
        <v>96</v>
      </c>
      <c r="CF129">
        <v>0</v>
      </c>
      <c r="CG129" t="s">
        <v>96</v>
      </c>
      <c r="CH129">
        <v>0</v>
      </c>
      <c r="CI129" t="s">
        <v>96</v>
      </c>
      <c r="CJ129" t="s">
        <v>105</v>
      </c>
      <c r="CL129" t="s">
        <v>130</v>
      </c>
      <c r="CM129" t="s">
        <v>96</v>
      </c>
      <c r="CN129">
        <v>1.25</v>
      </c>
      <c r="CO129">
        <v>0</v>
      </c>
    </row>
    <row r="130" spans="1:93" x14ac:dyDescent="0.2">
      <c r="A130" s="3">
        <v>172</v>
      </c>
      <c r="B130" s="3" t="s">
        <v>810</v>
      </c>
      <c r="C130" s="3" t="s">
        <v>811</v>
      </c>
      <c r="D130" s="1"/>
      <c r="E130" s="1">
        <f t="shared" si="9"/>
        <v>3.2071349029490852</v>
      </c>
      <c r="F130" s="1">
        <f t="shared" si="10"/>
        <v>1.08</v>
      </c>
      <c r="G130" s="1">
        <f t="shared" si="11"/>
        <v>9.5238095238094793</v>
      </c>
      <c r="H130" s="1"/>
      <c r="I130" s="1">
        <v>64.599999999999994</v>
      </c>
      <c r="J130" s="1">
        <v>1.08</v>
      </c>
      <c r="K130" s="1">
        <v>0.6</v>
      </c>
      <c r="L130" s="1">
        <v>0.7</v>
      </c>
      <c r="M130" s="1"/>
      <c r="N130" s="1"/>
      <c r="O130" s="1">
        <v>0.8</v>
      </c>
      <c r="P130" s="1">
        <v>0.6</v>
      </c>
      <c r="Q130" s="1">
        <v>0.7</v>
      </c>
      <c r="R130" s="1">
        <v>9.5238095238094793</v>
      </c>
      <c r="S130" s="1">
        <v>-20.8321577959594</v>
      </c>
      <c r="T130" s="1">
        <v>-3.3233181643730401</v>
      </c>
      <c r="U130" s="1">
        <v>0</v>
      </c>
      <c r="V130" s="1">
        <v>0</v>
      </c>
      <c r="W130" s="1">
        <v>53.52</v>
      </c>
      <c r="X130" s="1">
        <v>0.39500000000000002</v>
      </c>
      <c r="Y130" s="1">
        <v>2.1408</v>
      </c>
      <c r="Z130" s="1">
        <v>0.78999999999999904</v>
      </c>
      <c r="AA130" s="1">
        <v>20210222</v>
      </c>
      <c r="AB130" s="1"/>
      <c r="AC130" s="1">
        <v>65.17</v>
      </c>
      <c r="AD130" s="1"/>
      <c r="AE130" s="1">
        <v>37.5</v>
      </c>
      <c r="AF130" s="1"/>
      <c r="AG130" s="1">
        <v>69.42</v>
      </c>
      <c r="AH130" s="1"/>
      <c r="AI130" s="1"/>
      <c r="AJ130" s="1">
        <v>2.2815384615384602</v>
      </c>
      <c r="AK130" s="1">
        <v>6.25</v>
      </c>
      <c r="AL130" s="1">
        <v>625</v>
      </c>
      <c r="AM130" s="1">
        <v>623</v>
      </c>
      <c r="AN130" s="1">
        <v>5421.2420000000002</v>
      </c>
      <c r="AO130" s="1">
        <v>607</v>
      </c>
      <c r="AP130" s="1">
        <v>2</v>
      </c>
      <c r="AQ130" s="1">
        <v>0.368919151736816</v>
      </c>
      <c r="AR130" s="1">
        <v>2.9654036243822</v>
      </c>
      <c r="AS130" s="1">
        <v>0.29654036243822002</v>
      </c>
      <c r="AT130" s="1">
        <v>1.9</v>
      </c>
      <c r="AU130" s="1"/>
      <c r="AV130" s="1" t="s">
        <v>812</v>
      </c>
      <c r="AW130" s="1" t="s">
        <v>100</v>
      </c>
      <c r="AX130" s="1" t="s">
        <v>270</v>
      </c>
      <c r="AY130" s="1" t="s">
        <v>100</v>
      </c>
      <c r="AZ130" s="1" t="s">
        <v>118</v>
      </c>
      <c r="BA130" s="1" t="s">
        <v>100</v>
      </c>
      <c r="BB130" s="1" t="s">
        <v>146</v>
      </c>
      <c r="BC130" s="1" t="s">
        <v>100</v>
      </c>
      <c r="BD130" s="1" t="s">
        <v>120</v>
      </c>
      <c r="BE130" s="1" t="s">
        <v>100</v>
      </c>
      <c r="BF130" s="1" t="s">
        <v>183</v>
      </c>
      <c r="BG130" s="1" t="s">
        <v>96</v>
      </c>
      <c r="BH130" s="1" t="s">
        <v>103</v>
      </c>
      <c r="BI130" t="s">
        <v>98</v>
      </c>
      <c r="BJ130" t="s">
        <v>347</v>
      </c>
      <c r="BK130" t="s">
        <v>98</v>
      </c>
      <c r="BL130" t="s">
        <v>813</v>
      </c>
      <c r="BM130" t="s">
        <v>96</v>
      </c>
      <c r="BN130" t="s">
        <v>140</v>
      </c>
      <c r="BO130" t="s">
        <v>96</v>
      </c>
      <c r="BP130" t="s">
        <v>124</v>
      </c>
      <c r="BQ130" t="s">
        <v>96</v>
      </c>
      <c r="BR130" t="s">
        <v>105</v>
      </c>
      <c r="BT130" t="s">
        <v>105</v>
      </c>
      <c r="BV130" t="s">
        <v>125</v>
      </c>
      <c r="BW130" t="s">
        <v>96</v>
      </c>
      <c r="BX130" t="s">
        <v>126</v>
      </c>
      <c r="BY130" t="s">
        <v>100</v>
      </c>
      <c r="BZ130" t="s">
        <v>141</v>
      </c>
      <c r="CA130" t="s">
        <v>96</v>
      </c>
      <c r="CB130" t="s">
        <v>105</v>
      </c>
      <c r="CD130">
        <v>0.1</v>
      </c>
      <c r="CE130" t="s">
        <v>96</v>
      </c>
      <c r="CF130">
        <v>0</v>
      </c>
      <c r="CG130" t="s">
        <v>96</v>
      </c>
      <c r="CH130">
        <v>0</v>
      </c>
      <c r="CI130" t="s">
        <v>96</v>
      </c>
      <c r="CJ130" t="s">
        <v>105</v>
      </c>
      <c r="CL130" t="s">
        <v>130</v>
      </c>
      <c r="CM130" t="s">
        <v>96</v>
      </c>
      <c r="CN130">
        <v>0</v>
      </c>
      <c r="CO130">
        <v>0</v>
      </c>
    </row>
    <row r="131" spans="1:93" x14ac:dyDescent="0.2">
      <c r="A131" s="3">
        <v>173</v>
      </c>
      <c r="B131" s="3" t="s">
        <v>814</v>
      </c>
      <c r="C131" s="3" t="s">
        <v>815</v>
      </c>
      <c r="D131" s="1"/>
      <c r="E131" s="1">
        <f t="shared" ref="E131:E162" si="12">IFERROR(GEOMEAN(F131, G131), MAX(F131, G131))</f>
        <v>6.0749289629395449</v>
      </c>
      <c r="F131" s="1">
        <f t="shared" ref="F131:F162" si="13">MAX(J131, CN131)</f>
        <v>7.75</v>
      </c>
      <c r="G131" s="1">
        <f t="shared" ref="G131:G162" si="14">MAX(R131, U131, V131, Y131, Z131, AJ131, CO131)</f>
        <v>4.7619047619047397</v>
      </c>
      <c r="H131" s="1"/>
      <c r="I131" s="1">
        <v>35.1</v>
      </c>
      <c r="J131" s="1">
        <v>6.98</v>
      </c>
      <c r="K131" s="1">
        <v>0</v>
      </c>
      <c r="L131" s="1">
        <v>0.6</v>
      </c>
      <c r="M131" s="1"/>
      <c r="N131" s="1"/>
      <c r="O131" s="1">
        <v>1</v>
      </c>
      <c r="P131" s="1">
        <v>0.5</v>
      </c>
      <c r="Q131" s="1">
        <v>0.5</v>
      </c>
      <c r="R131" s="1">
        <v>4.7619047619047397</v>
      </c>
      <c r="S131" s="1">
        <v>-49.2887249736565</v>
      </c>
      <c r="T131" s="1">
        <v>-34.606680672102698</v>
      </c>
      <c r="U131" s="1">
        <v>0</v>
      </c>
      <c r="V131" s="1">
        <v>0</v>
      </c>
      <c r="W131" s="1">
        <v>3.496</v>
      </c>
      <c r="X131" s="1">
        <v>3.4000000000000002E-2</v>
      </c>
      <c r="Y131" s="1">
        <v>0.13983999999999999</v>
      </c>
      <c r="Z131" s="1">
        <v>6.7999999999999602E-2</v>
      </c>
      <c r="AA131" s="1">
        <v>20210222</v>
      </c>
      <c r="AB131" s="1"/>
      <c r="AC131" s="1">
        <v>57.11</v>
      </c>
      <c r="AD131" s="1"/>
      <c r="AE131" s="1">
        <v>25</v>
      </c>
      <c r="AF131" s="1"/>
      <c r="AG131" s="1">
        <v>62.05</v>
      </c>
      <c r="AH131" s="1"/>
      <c r="AI131" s="1"/>
      <c r="AJ131" s="1">
        <v>3.52153846153846</v>
      </c>
      <c r="AK131" s="1">
        <v>7.5</v>
      </c>
      <c r="AL131" s="1">
        <v>2091</v>
      </c>
      <c r="AM131" s="1">
        <v>2088</v>
      </c>
      <c r="AN131" s="1">
        <v>29136.808000000001</v>
      </c>
      <c r="AO131" s="1">
        <v>2061</v>
      </c>
      <c r="AP131" s="1">
        <v>3</v>
      </c>
      <c r="AQ131" s="1">
        <v>0.102962548265411</v>
      </c>
      <c r="AR131" s="1">
        <v>1.4556040756914099</v>
      </c>
      <c r="AS131" s="1">
        <v>0.14556040756914099</v>
      </c>
      <c r="AT131" s="1">
        <v>5.0999999999999996</v>
      </c>
      <c r="AU131" s="1"/>
      <c r="AV131" s="1" t="s">
        <v>816</v>
      </c>
      <c r="AW131" s="1" t="s">
        <v>96</v>
      </c>
      <c r="AX131" s="1" t="s">
        <v>386</v>
      </c>
      <c r="AY131" s="1" t="s">
        <v>100</v>
      </c>
      <c r="AZ131" s="1" t="s">
        <v>118</v>
      </c>
      <c r="BA131" s="1" t="s">
        <v>100</v>
      </c>
      <c r="BB131" s="1" t="s">
        <v>146</v>
      </c>
      <c r="BC131" s="1" t="s">
        <v>100</v>
      </c>
      <c r="BD131" s="1" t="s">
        <v>120</v>
      </c>
      <c r="BE131" s="1" t="s">
        <v>100</v>
      </c>
      <c r="BF131" s="1" t="s">
        <v>137</v>
      </c>
      <c r="BG131" s="1" t="s">
        <v>100</v>
      </c>
      <c r="BH131" s="1" t="s">
        <v>121</v>
      </c>
      <c r="BI131" t="s">
        <v>100</v>
      </c>
      <c r="BJ131" t="s">
        <v>156</v>
      </c>
      <c r="BK131" t="s">
        <v>100</v>
      </c>
      <c r="BL131" t="s">
        <v>105</v>
      </c>
      <c r="BN131" t="s">
        <v>817</v>
      </c>
      <c r="BO131" t="s">
        <v>98</v>
      </c>
      <c r="BP131" t="s">
        <v>169</v>
      </c>
      <c r="BQ131" t="s">
        <v>100</v>
      </c>
      <c r="BR131" t="s">
        <v>105</v>
      </c>
      <c r="BT131" t="s">
        <v>105</v>
      </c>
      <c r="BV131" t="s">
        <v>125</v>
      </c>
      <c r="BW131" t="s">
        <v>96</v>
      </c>
      <c r="BX131" t="s">
        <v>110</v>
      </c>
      <c r="BY131" t="s">
        <v>96</v>
      </c>
      <c r="BZ131" t="s">
        <v>127</v>
      </c>
      <c r="CA131" t="s">
        <v>100</v>
      </c>
      <c r="CB131" t="s">
        <v>818</v>
      </c>
      <c r="CC131" t="s">
        <v>96</v>
      </c>
      <c r="CD131">
        <v>0</v>
      </c>
      <c r="CE131" t="s">
        <v>96</v>
      </c>
      <c r="CF131">
        <v>0</v>
      </c>
      <c r="CG131" t="s">
        <v>96</v>
      </c>
      <c r="CH131">
        <v>2.1</v>
      </c>
      <c r="CI131" t="s">
        <v>100</v>
      </c>
      <c r="CJ131" t="s">
        <v>112</v>
      </c>
      <c r="CK131" t="s">
        <v>96</v>
      </c>
      <c r="CL131" t="s">
        <v>130</v>
      </c>
      <c r="CM131" t="s">
        <v>96</v>
      </c>
      <c r="CN131">
        <v>7.75</v>
      </c>
      <c r="CO131">
        <v>0</v>
      </c>
    </row>
    <row r="132" spans="1:93" x14ac:dyDescent="0.2">
      <c r="A132" s="3">
        <v>174</v>
      </c>
      <c r="B132" s="3" t="s">
        <v>819</v>
      </c>
      <c r="C132" s="3" t="s">
        <v>820</v>
      </c>
      <c r="D132" s="1"/>
      <c r="E132" s="1">
        <f t="shared" si="12"/>
        <v>9.84</v>
      </c>
      <c r="F132" s="1">
        <f t="shared" si="13"/>
        <v>9.84</v>
      </c>
      <c r="G132" s="1">
        <f t="shared" si="14"/>
        <v>0</v>
      </c>
      <c r="H132" s="1"/>
      <c r="I132" s="1">
        <v>20.8</v>
      </c>
      <c r="J132" s="1">
        <v>9.84</v>
      </c>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v>5.2</v>
      </c>
      <c r="AU132" s="1"/>
      <c r="AV132" s="1" t="s">
        <v>105</v>
      </c>
      <c r="AW132" s="1"/>
      <c r="AX132" s="1" t="s">
        <v>105</v>
      </c>
      <c r="AY132" s="1"/>
      <c r="AZ132" s="1" t="s">
        <v>105</v>
      </c>
      <c r="BA132" s="1"/>
      <c r="BB132" s="1" t="s">
        <v>105</v>
      </c>
      <c r="BC132" s="1"/>
      <c r="BD132" s="1" t="s">
        <v>105</v>
      </c>
      <c r="BE132" s="1"/>
      <c r="BF132" s="1" t="s">
        <v>105</v>
      </c>
      <c r="BG132" s="1"/>
      <c r="BH132" s="1" t="s">
        <v>105</v>
      </c>
      <c r="BJ132" t="s">
        <v>178</v>
      </c>
      <c r="BK132" t="s">
        <v>100</v>
      </c>
      <c r="BL132" t="s">
        <v>105</v>
      </c>
      <c r="BN132" t="s">
        <v>163</v>
      </c>
      <c r="BO132" t="s">
        <v>96</v>
      </c>
      <c r="BP132" t="s">
        <v>124</v>
      </c>
      <c r="BQ132" t="s">
        <v>96</v>
      </c>
      <c r="BR132" t="s">
        <v>105</v>
      </c>
      <c r="BT132" t="s">
        <v>105</v>
      </c>
      <c r="BV132" t="s">
        <v>105</v>
      </c>
      <c r="BX132" t="s">
        <v>105</v>
      </c>
      <c r="BZ132" t="s">
        <v>105</v>
      </c>
      <c r="CB132" t="s">
        <v>105</v>
      </c>
      <c r="CD132">
        <v>0.1</v>
      </c>
      <c r="CE132" t="s">
        <v>96</v>
      </c>
      <c r="CF132">
        <v>0</v>
      </c>
      <c r="CG132" t="s">
        <v>96</v>
      </c>
      <c r="CH132">
        <v>0</v>
      </c>
      <c r="CI132" t="s">
        <v>96</v>
      </c>
      <c r="CJ132" t="s">
        <v>105</v>
      </c>
      <c r="CL132" t="s">
        <v>130</v>
      </c>
      <c r="CM132" t="s">
        <v>96</v>
      </c>
      <c r="CN132">
        <v>8</v>
      </c>
      <c r="CO132">
        <v>0</v>
      </c>
    </row>
    <row r="133" spans="1:93" x14ac:dyDescent="0.2">
      <c r="A133" s="3">
        <v>175</v>
      </c>
      <c r="B133" s="3" t="s">
        <v>821</v>
      </c>
      <c r="C133" s="3" t="s">
        <v>822</v>
      </c>
      <c r="D133" s="1"/>
      <c r="E133" s="1">
        <f t="shared" si="12"/>
        <v>5.6568542494923797</v>
      </c>
      <c r="F133" s="1">
        <f t="shared" si="13"/>
        <v>3.2</v>
      </c>
      <c r="G133" s="1">
        <f t="shared" si="14"/>
        <v>10</v>
      </c>
      <c r="H133" s="1"/>
      <c r="I133" s="1">
        <v>54</v>
      </c>
      <c r="J133" s="1">
        <v>3.2</v>
      </c>
      <c r="K133" s="1">
        <v>1</v>
      </c>
      <c r="L133" s="1">
        <v>0.9</v>
      </c>
      <c r="M133" s="1"/>
      <c r="N133" s="1"/>
      <c r="O133" s="1">
        <v>1</v>
      </c>
      <c r="P133" s="1">
        <v>0.7</v>
      </c>
      <c r="Q133" s="1">
        <v>0.9</v>
      </c>
      <c r="R133" s="1">
        <v>10</v>
      </c>
      <c r="S133" s="1">
        <v>0.01</v>
      </c>
      <c r="T133" s="1">
        <v>0.01</v>
      </c>
      <c r="U133" s="1">
        <v>6.6666666666748099E-4</v>
      </c>
      <c r="V133" s="1">
        <v>6.6666666666748099E-4</v>
      </c>
      <c r="W133" s="1">
        <v>0.622</v>
      </c>
      <c r="X133" s="1">
        <v>0.03</v>
      </c>
      <c r="Y133" s="1">
        <v>2.48799999999996E-2</v>
      </c>
      <c r="Z133" s="1">
        <v>6.0000000000000497E-2</v>
      </c>
      <c r="AA133" s="1">
        <v>20210222</v>
      </c>
      <c r="AB133" s="1"/>
      <c r="AC133" s="1">
        <v>58.06</v>
      </c>
      <c r="AD133" s="1"/>
      <c r="AE133" s="1">
        <v>75</v>
      </c>
      <c r="AF133" s="1"/>
      <c r="AG133" s="1">
        <v>55.45</v>
      </c>
      <c r="AH133" s="1"/>
      <c r="AI133" s="1"/>
      <c r="AJ133" s="1">
        <v>3.3753846153846099</v>
      </c>
      <c r="AK133" s="1">
        <v>2.5</v>
      </c>
      <c r="AL133" s="1">
        <v>26</v>
      </c>
      <c r="AM133" s="1">
        <v>26</v>
      </c>
      <c r="AN133" s="1">
        <v>4822.2330000000002</v>
      </c>
      <c r="AO133" s="1">
        <v>26</v>
      </c>
      <c r="AP133" s="1">
        <v>0</v>
      </c>
      <c r="AQ133" s="1">
        <v>0</v>
      </c>
      <c r="AR133" s="1">
        <v>0</v>
      </c>
      <c r="AS133" s="1">
        <v>0</v>
      </c>
      <c r="AT133" s="1">
        <v>2.1</v>
      </c>
      <c r="AU133" s="1"/>
      <c r="AV133" s="1" t="s">
        <v>823</v>
      </c>
      <c r="AW133" s="1" t="s">
        <v>96</v>
      </c>
      <c r="AX133" s="1" t="s">
        <v>824</v>
      </c>
      <c r="AY133" s="1" t="s">
        <v>100</v>
      </c>
      <c r="AZ133" s="1" t="s">
        <v>174</v>
      </c>
      <c r="BA133" s="1" t="s">
        <v>96</v>
      </c>
      <c r="BB133" s="1" t="s">
        <v>119</v>
      </c>
      <c r="BC133" s="1" t="s">
        <v>96</v>
      </c>
      <c r="BD133" s="1" t="s">
        <v>101</v>
      </c>
      <c r="BE133" s="1" t="s">
        <v>98</v>
      </c>
      <c r="BF133" s="1" t="s">
        <v>137</v>
      </c>
      <c r="BG133" s="1" t="s">
        <v>100</v>
      </c>
      <c r="BH133" s="1" t="s">
        <v>147</v>
      </c>
      <c r="BI133" t="s">
        <v>96</v>
      </c>
      <c r="BJ133" t="s">
        <v>565</v>
      </c>
      <c r="BK133" t="s">
        <v>98</v>
      </c>
      <c r="BL133" t="s">
        <v>603</v>
      </c>
      <c r="BM133" t="s">
        <v>100</v>
      </c>
      <c r="BN133" t="s">
        <v>273</v>
      </c>
      <c r="BO133" t="s">
        <v>96</v>
      </c>
      <c r="BP133" t="s">
        <v>124</v>
      </c>
      <c r="BQ133" t="s">
        <v>96</v>
      </c>
      <c r="BR133" t="s">
        <v>105</v>
      </c>
      <c r="BT133" t="s">
        <v>105</v>
      </c>
      <c r="BV133" t="s">
        <v>125</v>
      </c>
      <c r="BW133" t="s">
        <v>96</v>
      </c>
      <c r="BX133" t="s">
        <v>126</v>
      </c>
      <c r="BY133" t="s">
        <v>100</v>
      </c>
      <c r="BZ133" t="s">
        <v>141</v>
      </c>
      <c r="CA133" t="s">
        <v>96</v>
      </c>
      <c r="CB133" t="s">
        <v>105</v>
      </c>
      <c r="CD133">
        <v>1.9</v>
      </c>
      <c r="CE133" t="s">
        <v>96</v>
      </c>
      <c r="CF133">
        <v>2.9</v>
      </c>
      <c r="CG133" t="s">
        <v>100</v>
      </c>
      <c r="CH133">
        <v>0.5</v>
      </c>
      <c r="CI133" t="s">
        <v>96</v>
      </c>
      <c r="CJ133" t="s">
        <v>105</v>
      </c>
      <c r="CL133" t="s">
        <v>130</v>
      </c>
      <c r="CM133" t="s">
        <v>96</v>
      </c>
      <c r="CN133">
        <v>0.25</v>
      </c>
      <c r="CO133">
        <v>0</v>
      </c>
    </row>
    <row r="134" spans="1:93" x14ac:dyDescent="0.2">
      <c r="A134" s="3">
        <v>176</v>
      </c>
      <c r="B134" s="3" t="s">
        <v>825</v>
      </c>
      <c r="C134" s="3" t="s">
        <v>826</v>
      </c>
      <c r="D134" s="1"/>
      <c r="E134" s="1">
        <f t="shared" si="12"/>
        <v>5.0615262143989241</v>
      </c>
      <c r="F134" s="1">
        <f t="shared" si="13"/>
        <v>5.38</v>
      </c>
      <c r="G134" s="1">
        <f t="shared" si="14"/>
        <v>4.7619047619047397</v>
      </c>
      <c r="H134" s="1"/>
      <c r="I134" s="1">
        <v>43.1</v>
      </c>
      <c r="J134" s="1">
        <v>5.38</v>
      </c>
      <c r="K134" s="1">
        <v>0</v>
      </c>
      <c r="L134" s="1">
        <v>0.7</v>
      </c>
      <c r="M134" s="1"/>
      <c r="N134" s="1"/>
      <c r="O134" s="1">
        <v>0.5</v>
      </c>
      <c r="P134" s="1">
        <v>0.7</v>
      </c>
      <c r="Q134" s="1">
        <v>0.5</v>
      </c>
      <c r="R134" s="1">
        <v>4.7619047619047397</v>
      </c>
      <c r="S134" s="1">
        <v>40.756848177342903</v>
      </c>
      <c r="T134" s="1">
        <v>32.677471212205397</v>
      </c>
      <c r="U134" s="1">
        <v>2.7171232118228601</v>
      </c>
      <c r="V134" s="1">
        <v>2.1784980808136898</v>
      </c>
      <c r="W134" s="1">
        <v>57.515999999999998</v>
      </c>
      <c r="X134" s="1">
        <v>0.28000000000000003</v>
      </c>
      <c r="Y134" s="1">
        <v>2.30064</v>
      </c>
      <c r="Z134" s="1">
        <v>0.56000000000000005</v>
      </c>
      <c r="AA134" s="1">
        <v>20210222</v>
      </c>
      <c r="AB134" s="1">
        <v>57.89</v>
      </c>
      <c r="AC134" s="1">
        <v>57.89</v>
      </c>
      <c r="AD134" s="1">
        <v>25</v>
      </c>
      <c r="AE134" s="1">
        <v>25</v>
      </c>
      <c r="AF134" s="1">
        <v>62.95</v>
      </c>
      <c r="AG134" s="1">
        <v>62.95</v>
      </c>
      <c r="AH134" s="1">
        <v>0</v>
      </c>
      <c r="AI134" s="1"/>
      <c r="AJ134" s="1">
        <v>3.4015384615384598</v>
      </c>
      <c r="AK134" s="1">
        <v>7.5</v>
      </c>
      <c r="AL134" s="1">
        <v>1698</v>
      </c>
      <c r="AM134" s="1">
        <v>1666</v>
      </c>
      <c r="AN134" s="1">
        <v>5106.6220000000003</v>
      </c>
      <c r="AO134" s="1">
        <v>1549</v>
      </c>
      <c r="AP134" s="1">
        <v>32</v>
      </c>
      <c r="AQ134" s="1">
        <v>6.2663733481741897</v>
      </c>
      <c r="AR134" s="1">
        <v>9.6191091026468705</v>
      </c>
      <c r="AS134" s="1">
        <v>0.961910910264688</v>
      </c>
      <c r="AT134" s="1">
        <v>3</v>
      </c>
      <c r="AU134" s="1"/>
      <c r="AV134" s="1" t="s">
        <v>827</v>
      </c>
      <c r="AW134" s="1" t="s">
        <v>100</v>
      </c>
      <c r="AX134" s="1" t="s">
        <v>510</v>
      </c>
      <c r="AY134" s="1" t="s">
        <v>100</v>
      </c>
      <c r="AZ134" s="1" t="s">
        <v>174</v>
      </c>
      <c r="BA134" s="1" t="s">
        <v>96</v>
      </c>
      <c r="BB134" s="1" t="s">
        <v>101</v>
      </c>
      <c r="BC134" s="1" t="s">
        <v>98</v>
      </c>
      <c r="BD134" s="1" t="s">
        <v>136</v>
      </c>
      <c r="BE134" s="1" t="s">
        <v>100</v>
      </c>
      <c r="BF134" s="1" t="s">
        <v>183</v>
      </c>
      <c r="BG134" s="1" t="s">
        <v>96</v>
      </c>
      <c r="BH134" s="1" t="s">
        <v>121</v>
      </c>
      <c r="BI134" t="s">
        <v>100</v>
      </c>
      <c r="BJ134" t="s">
        <v>828</v>
      </c>
      <c r="BK134" t="s">
        <v>98</v>
      </c>
      <c r="BL134" t="s">
        <v>105</v>
      </c>
      <c r="BN134" t="s">
        <v>168</v>
      </c>
      <c r="BO134" t="s">
        <v>96</v>
      </c>
      <c r="BP134" t="s">
        <v>169</v>
      </c>
      <c r="BQ134" t="s">
        <v>100</v>
      </c>
      <c r="BR134" t="s">
        <v>105</v>
      </c>
      <c r="BT134" t="s">
        <v>105</v>
      </c>
      <c r="BV134" t="s">
        <v>125</v>
      </c>
      <c r="BW134" t="s">
        <v>96</v>
      </c>
      <c r="BX134" t="s">
        <v>126</v>
      </c>
      <c r="BY134" t="s">
        <v>100</v>
      </c>
      <c r="BZ134" t="s">
        <v>141</v>
      </c>
      <c r="CA134" t="s">
        <v>96</v>
      </c>
      <c r="CB134" t="s">
        <v>105</v>
      </c>
      <c r="CD134">
        <v>0</v>
      </c>
      <c r="CE134" t="s">
        <v>96</v>
      </c>
      <c r="CF134">
        <v>0</v>
      </c>
      <c r="CG134" t="s">
        <v>96</v>
      </c>
      <c r="CH134">
        <v>0</v>
      </c>
      <c r="CI134" t="s">
        <v>96</v>
      </c>
      <c r="CJ134" t="s">
        <v>105</v>
      </c>
      <c r="CL134" t="s">
        <v>130</v>
      </c>
      <c r="CM134" t="s">
        <v>96</v>
      </c>
      <c r="CN134">
        <v>2.5</v>
      </c>
      <c r="CO134">
        <v>0</v>
      </c>
    </row>
    <row r="135" spans="1:93" x14ac:dyDescent="0.2">
      <c r="A135" s="3">
        <v>177</v>
      </c>
      <c r="B135" s="3" t="s">
        <v>829</v>
      </c>
      <c r="C135" s="3" t="s">
        <v>830</v>
      </c>
      <c r="D135" s="1"/>
      <c r="E135" s="1">
        <f t="shared" si="12"/>
        <v>5.1145719423863953</v>
      </c>
      <c r="F135" s="1">
        <f t="shared" si="13"/>
        <v>8.25</v>
      </c>
      <c r="G135" s="1">
        <f t="shared" si="14"/>
        <v>3.1707692307692299</v>
      </c>
      <c r="H135" s="1"/>
      <c r="I135" s="1">
        <v>35.5</v>
      </c>
      <c r="J135" s="1">
        <v>6.9</v>
      </c>
      <c r="K135" s="1">
        <v>0</v>
      </c>
      <c r="L135" s="1">
        <v>0.5</v>
      </c>
      <c r="M135" s="1"/>
      <c r="N135" s="1"/>
      <c r="O135" s="1">
        <v>0.5</v>
      </c>
      <c r="P135" s="1">
        <v>0.4</v>
      </c>
      <c r="Q135" s="1">
        <v>0.3</v>
      </c>
      <c r="R135" s="1">
        <v>0</v>
      </c>
      <c r="S135" s="1">
        <v>-14.0254112085098</v>
      </c>
      <c r="T135" s="1">
        <v>-17.3451927303194</v>
      </c>
      <c r="U135" s="1">
        <v>0</v>
      </c>
      <c r="V135" s="1">
        <v>0</v>
      </c>
      <c r="W135" s="1">
        <v>5.34</v>
      </c>
      <c r="X135" s="1">
        <v>0.184</v>
      </c>
      <c r="Y135" s="1">
        <v>0.21360000000000001</v>
      </c>
      <c r="Z135" s="1">
        <v>0.36799999999999999</v>
      </c>
      <c r="AA135" s="1">
        <v>20210222</v>
      </c>
      <c r="AB135" s="1">
        <v>59.39</v>
      </c>
      <c r="AC135" s="1">
        <v>59.39</v>
      </c>
      <c r="AD135" s="1">
        <v>75</v>
      </c>
      <c r="AE135" s="1">
        <v>75</v>
      </c>
      <c r="AF135" s="1">
        <v>56.99</v>
      </c>
      <c r="AG135" s="1">
        <v>56.99</v>
      </c>
      <c r="AH135" s="1">
        <v>1</v>
      </c>
      <c r="AI135" s="1">
        <v>1</v>
      </c>
      <c r="AJ135" s="1">
        <v>3.1707692307692299</v>
      </c>
      <c r="AK135" s="1">
        <v>2.5</v>
      </c>
      <c r="AL135" s="1">
        <v>14432</v>
      </c>
      <c r="AM135" s="1">
        <v>14201</v>
      </c>
      <c r="AN135" s="1">
        <v>220892.33100000001</v>
      </c>
      <c r="AO135" s="1">
        <v>12601</v>
      </c>
      <c r="AP135" s="1">
        <v>231</v>
      </c>
      <c r="AQ135" s="1">
        <v>1.0457583518370299</v>
      </c>
      <c r="AR135" s="1">
        <v>14.530592810094401</v>
      </c>
      <c r="AS135" s="1">
        <v>1.45305928100944</v>
      </c>
      <c r="AT135" s="1">
        <v>5.3</v>
      </c>
      <c r="AU135" s="1"/>
      <c r="AV135" s="1" t="s">
        <v>831</v>
      </c>
      <c r="AW135" s="1" t="s">
        <v>96</v>
      </c>
      <c r="AX135" s="1" t="s">
        <v>715</v>
      </c>
      <c r="AY135" s="1" t="s">
        <v>100</v>
      </c>
      <c r="AZ135" s="1" t="s">
        <v>118</v>
      </c>
      <c r="BA135" s="1" t="s">
        <v>100</v>
      </c>
      <c r="BB135" s="1" t="s">
        <v>101</v>
      </c>
      <c r="BC135" s="1" t="s">
        <v>98</v>
      </c>
      <c r="BD135" s="1" t="s">
        <v>120</v>
      </c>
      <c r="BE135" s="1" t="s">
        <v>100</v>
      </c>
      <c r="BF135" s="1" t="s">
        <v>137</v>
      </c>
      <c r="BG135" s="1" t="s">
        <v>100</v>
      </c>
      <c r="BH135" s="1" t="s">
        <v>147</v>
      </c>
      <c r="BI135" t="s">
        <v>96</v>
      </c>
      <c r="BJ135" t="s">
        <v>832</v>
      </c>
      <c r="BK135" t="s">
        <v>100</v>
      </c>
      <c r="BL135" t="s">
        <v>813</v>
      </c>
      <c r="BM135" t="s">
        <v>96</v>
      </c>
      <c r="BN135" t="s">
        <v>833</v>
      </c>
      <c r="BO135" t="s">
        <v>98</v>
      </c>
      <c r="BP135" t="s">
        <v>124</v>
      </c>
      <c r="BQ135" t="s">
        <v>96</v>
      </c>
      <c r="BR135" t="s">
        <v>834</v>
      </c>
      <c r="BS135" t="s">
        <v>98</v>
      </c>
      <c r="BT135" t="s">
        <v>105</v>
      </c>
      <c r="BV135" t="s">
        <v>125</v>
      </c>
      <c r="BW135" t="s">
        <v>96</v>
      </c>
      <c r="BX135" t="s">
        <v>126</v>
      </c>
      <c r="BY135" t="s">
        <v>100</v>
      </c>
      <c r="BZ135" t="s">
        <v>141</v>
      </c>
      <c r="CA135" t="s">
        <v>96</v>
      </c>
      <c r="CB135" t="s">
        <v>835</v>
      </c>
      <c r="CC135" t="s">
        <v>98</v>
      </c>
      <c r="CD135">
        <v>1.8</v>
      </c>
      <c r="CE135" t="s">
        <v>96</v>
      </c>
      <c r="CF135">
        <v>0</v>
      </c>
      <c r="CG135" t="s">
        <v>96</v>
      </c>
      <c r="CH135">
        <v>4.8</v>
      </c>
      <c r="CI135" t="s">
        <v>100</v>
      </c>
      <c r="CJ135" t="s">
        <v>112</v>
      </c>
      <c r="CK135" t="s">
        <v>96</v>
      </c>
      <c r="CL135" t="s">
        <v>100</v>
      </c>
      <c r="CM135" t="s">
        <v>98</v>
      </c>
      <c r="CN135">
        <v>8.25</v>
      </c>
      <c r="CO135">
        <v>0</v>
      </c>
    </row>
    <row r="136" spans="1:93" x14ac:dyDescent="0.2">
      <c r="A136" s="3">
        <v>178</v>
      </c>
      <c r="B136" s="3" t="s">
        <v>836</v>
      </c>
      <c r="C136" s="3" t="s">
        <v>837</v>
      </c>
      <c r="D136" s="1"/>
      <c r="E136" s="1">
        <f t="shared" si="12"/>
        <v>6.1295537008356815</v>
      </c>
      <c r="F136" s="1">
        <f t="shared" si="13"/>
        <v>5.26</v>
      </c>
      <c r="G136" s="1">
        <f t="shared" si="14"/>
        <v>7.1428571428571104</v>
      </c>
      <c r="H136" s="1"/>
      <c r="I136" s="1">
        <v>43.7</v>
      </c>
      <c r="J136" s="1">
        <v>5.26</v>
      </c>
      <c r="K136" s="1">
        <v>0</v>
      </c>
      <c r="L136" s="1">
        <v>0.4</v>
      </c>
      <c r="M136" s="1"/>
      <c r="N136" s="1"/>
      <c r="O136" s="1">
        <v>1</v>
      </c>
      <c r="P136" s="1">
        <v>0.8</v>
      </c>
      <c r="Q136" s="1">
        <v>0.6</v>
      </c>
      <c r="R136" s="1">
        <v>7.1428571428571104</v>
      </c>
      <c r="S136" s="1">
        <v>-37.708585341330298</v>
      </c>
      <c r="T136" s="1">
        <v>-38.377118561659998</v>
      </c>
      <c r="U136" s="1">
        <v>0</v>
      </c>
      <c r="V136" s="1">
        <v>0</v>
      </c>
      <c r="W136" s="1">
        <v>143.75899999999999</v>
      </c>
      <c r="X136" s="1">
        <v>3.51</v>
      </c>
      <c r="Y136" s="1">
        <v>5.7503599999999997</v>
      </c>
      <c r="Z136" s="1">
        <v>7.02</v>
      </c>
      <c r="AA136" s="1">
        <v>20210222</v>
      </c>
      <c r="AB136" s="1">
        <v>77.11</v>
      </c>
      <c r="AC136" s="1">
        <v>77.11</v>
      </c>
      <c r="AD136" s="1">
        <v>75</v>
      </c>
      <c r="AE136" s="1">
        <v>75</v>
      </c>
      <c r="AF136" s="1">
        <v>77.44</v>
      </c>
      <c r="AG136" s="1">
        <v>77.44</v>
      </c>
      <c r="AH136" s="1">
        <v>1</v>
      </c>
      <c r="AI136" s="1">
        <v>1</v>
      </c>
      <c r="AJ136" s="1">
        <v>0.44461538461538402</v>
      </c>
      <c r="AK136" s="1">
        <v>2.5</v>
      </c>
      <c r="AL136" s="1">
        <v>6166</v>
      </c>
      <c r="AM136" s="1">
        <v>6138</v>
      </c>
      <c r="AN136" s="1">
        <v>4314.768</v>
      </c>
      <c r="AO136" s="1">
        <v>5727</v>
      </c>
      <c r="AP136" s="1">
        <v>28</v>
      </c>
      <c r="AQ136" s="1">
        <v>6.4893407942211496</v>
      </c>
      <c r="AR136" s="1">
        <v>7.6654443862406199</v>
      </c>
      <c r="AS136" s="1">
        <v>0.76654443862406296</v>
      </c>
      <c r="AT136" s="1">
        <v>3.7</v>
      </c>
      <c r="AU136" s="1"/>
      <c r="AV136" s="1" t="s">
        <v>838</v>
      </c>
      <c r="AW136" s="1" t="s">
        <v>98</v>
      </c>
      <c r="AX136" s="1" t="s">
        <v>796</v>
      </c>
      <c r="AY136" s="1" t="s">
        <v>100</v>
      </c>
      <c r="AZ136" s="1" t="s">
        <v>99</v>
      </c>
      <c r="BA136" s="1" t="s">
        <v>100</v>
      </c>
      <c r="BB136" s="1" t="s">
        <v>119</v>
      </c>
      <c r="BC136" s="1" t="s">
        <v>96</v>
      </c>
      <c r="BD136" s="1" t="s">
        <v>136</v>
      </c>
      <c r="BE136" s="1" t="s">
        <v>100</v>
      </c>
      <c r="BF136" s="1" t="s">
        <v>137</v>
      </c>
      <c r="BG136" s="1" t="s">
        <v>100</v>
      </c>
      <c r="BH136" s="1" t="s">
        <v>147</v>
      </c>
      <c r="BI136" t="s">
        <v>96</v>
      </c>
      <c r="BJ136" t="s">
        <v>552</v>
      </c>
      <c r="BK136" t="s">
        <v>98</v>
      </c>
      <c r="BL136" t="s">
        <v>839</v>
      </c>
      <c r="BM136" t="s">
        <v>100</v>
      </c>
      <c r="BN136" t="s">
        <v>252</v>
      </c>
      <c r="BO136" t="s">
        <v>100</v>
      </c>
      <c r="BP136" t="s">
        <v>107</v>
      </c>
      <c r="BQ136" t="s">
        <v>96</v>
      </c>
      <c r="BR136" t="s">
        <v>105</v>
      </c>
      <c r="BT136" t="s">
        <v>128</v>
      </c>
      <c r="BU136" t="s">
        <v>100</v>
      </c>
      <c r="BV136" t="s">
        <v>125</v>
      </c>
      <c r="BW136" t="s">
        <v>96</v>
      </c>
      <c r="BX136" t="s">
        <v>110</v>
      </c>
      <c r="BY136" t="s">
        <v>96</v>
      </c>
      <c r="BZ136" t="s">
        <v>141</v>
      </c>
      <c r="CA136" t="s">
        <v>96</v>
      </c>
      <c r="CB136" t="s">
        <v>105</v>
      </c>
      <c r="CD136">
        <v>0</v>
      </c>
      <c r="CE136" t="s">
        <v>96</v>
      </c>
      <c r="CF136">
        <v>0</v>
      </c>
      <c r="CG136" t="s">
        <v>96</v>
      </c>
      <c r="CH136">
        <v>0.8</v>
      </c>
      <c r="CI136" t="s">
        <v>96</v>
      </c>
      <c r="CJ136" t="s">
        <v>105</v>
      </c>
      <c r="CL136" t="s">
        <v>130</v>
      </c>
      <c r="CM136" t="s">
        <v>96</v>
      </c>
      <c r="CN136">
        <v>4.25</v>
      </c>
      <c r="CO136">
        <v>0</v>
      </c>
    </row>
    <row r="137" spans="1:93" x14ac:dyDescent="0.2">
      <c r="A137" s="3">
        <v>179</v>
      </c>
      <c r="B137" s="3" t="s">
        <v>840</v>
      </c>
      <c r="C137" s="3" t="s">
        <v>841</v>
      </c>
      <c r="D137" s="1"/>
      <c r="E137" s="1">
        <f t="shared" si="12"/>
        <v>7.5828754440515498</v>
      </c>
      <c r="F137" s="1">
        <f t="shared" si="13"/>
        <v>5.75</v>
      </c>
      <c r="G137" s="1">
        <f t="shared" si="14"/>
        <v>10</v>
      </c>
      <c r="H137" s="1"/>
      <c r="I137" s="1">
        <v>49.2</v>
      </c>
      <c r="J137" s="1">
        <v>4.16</v>
      </c>
      <c r="K137" s="1">
        <v>0</v>
      </c>
      <c r="L137" s="1">
        <v>0.4</v>
      </c>
      <c r="M137" s="1"/>
      <c r="N137" s="1"/>
      <c r="O137" s="1">
        <v>1</v>
      </c>
      <c r="P137" s="1">
        <v>0.7</v>
      </c>
      <c r="Q137" s="1">
        <v>0.5</v>
      </c>
      <c r="R137" s="1">
        <v>4.7619047619047397</v>
      </c>
      <c r="S137" s="1">
        <v>11.243123816394601</v>
      </c>
      <c r="T137" s="1">
        <v>12.163167332803701</v>
      </c>
      <c r="U137" s="1">
        <v>0.74954158775964397</v>
      </c>
      <c r="V137" s="1">
        <v>0.81087782218691395</v>
      </c>
      <c r="W137" s="1">
        <v>208.017</v>
      </c>
      <c r="X137" s="1">
        <v>6.04</v>
      </c>
      <c r="Y137" s="1">
        <v>8.3206799999999994</v>
      </c>
      <c r="Z137" s="1">
        <v>10</v>
      </c>
      <c r="AA137" s="1">
        <v>20210222</v>
      </c>
      <c r="AB137" s="1"/>
      <c r="AC137" s="1">
        <v>73.56</v>
      </c>
      <c r="AD137" s="1"/>
      <c r="AE137" s="1">
        <v>50</v>
      </c>
      <c r="AF137" s="1"/>
      <c r="AG137" s="1">
        <v>77.180000000000007</v>
      </c>
      <c r="AH137" s="1"/>
      <c r="AI137" s="1"/>
      <c r="AJ137" s="1">
        <v>0.99076923076923196</v>
      </c>
      <c r="AK137" s="1">
        <v>5</v>
      </c>
      <c r="AL137" s="1">
        <v>62358</v>
      </c>
      <c r="AM137" s="1">
        <v>59419</v>
      </c>
      <c r="AN137" s="1">
        <v>32971.845999999998</v>
      </c>
      <c r="AO137" s="1">
        <v>44690</v>
      </c>
      <c r="AP137" s="1">
        <v>2939</v>
      </c>
      <c r="AQ137" s="1">
        <v>89.136653131280497</v>
      </c>
      <c r="AR137" s="1">
        <v>39.5345714925039</v>
      </c>
      <c r="AS137" s="1">
        <v>3.95345714925039</v>
      </c>
      <c r="AT137" s="1">
        <v>4.3</v>
      </c>
      <c r="AU137" s="1"/>
      <c r="AV137" s="1" t="s">
        <v>842</v>
      </c>
      <c r="AW137" s="1" t="s">
        <v>98</v>
      </c>
      <c r="AX137" s="1" t="s">
        <v>242</v>
      </c>
      <c r="AY137" s="1" t="s">
        <v>100</v>
      </c>
      <c r="AZ137" s="1" t="s">
        <v>118</v>
      </c>
      <c r="BA137" s="1" t="s">
        <v>100</v>
      </c>
      <c r="BB137" s="1" t="s">
        <v>119</v>
      </c>
      <c r="BC137" s="1" t="s">
        <v>96</v>
      </c>
      <c r="BD137" s="1" t="s">
        <v>136</v>
      </c>
      <c r="BE137" s="1" t="s">
        <v>100</v>
      </c>
      <c r="BF137" s="1" t="s">
        <v>137</v>
      </c>
      <c r="BG137" s="1" t="s">
        <v>100</v>
      </c>
      <c r="BH137" s="1" t="s">
        <v>121</v>
      </c>
      <c r="BI137" t="s">
        <v>100</v>
      </c>
      <c r="BJ137" t="s">
        <v>843</v>
      </c>
      <c r="BK137" t="s">
        <v>98</v>
      </c>
      <c r="BL137" t="s">
        <v>709</v>
      </c>
      <c r="BM137" t="s">
        <v>100</v>
      </c>
      <c r="BN137" t="s">
        <v>245</v>
      </c>
      <c r="BO137" t="s">
        <v>96</v>
      </c>
      <c r="BP137" t="s">
        <v>107</v>
      </c>
      <c r="BQ137" t="s">
        <v>96</v>
      </c>
      <c r="BR137" t="s">
        <v>105</v>
      </c>
      <c r="BT137" t="s">
        <v>128</v>
      </c>
      <c r="BU137" t="s">
        <v>100</v>
      </c>
      <c r="BV137" t="s">
        <v>125</v>
      </c>
      <c r="BW137" t="s">
        <v>96</v>
      </c>
      <c r="BX137" t="s">
        <v>126</v>
      </c>
      <c r="BY137" t="s">
        <v>100</v>
      </c>
      <c r="BZ137" t="s">
        <v>141</v>
      </c>
      <c r="CA137" t="s">
        <v>96</v>
      </c>
      <c r="CB137" t="s">
        <v>105</v>
      </c>
      <c r="CD137">
        <v>6.4</v>
      </c>
      <c r="CE137" t="s">
        <v>100</v>
      </c>
      <c r="CF137">
        <v>0</v>
      </c>
      <c r="CG137" t="s">
        <v>96</v>
      </c>
      <c r="CH137">
        <v>4.0999999999999996</v>
      </c>
      <c r="CI137" t="s">
        <v>100</v>
      </c>
      <c r="CJ137" t="s">
        <v>112</v>
      </c>
      <c r="CK137" t="s">
        <v>96</v>
      </c>
      <c r="CL137" t="s">
        <v>98</v>
      </c>
      <c r="CM137" t="s">
        <v>98</v>
      </c>
      <c r="CN137">
        <v>5.75</v>
      </c>
      <c r="CO137">
        <v>0</v>
      </c>
    </row>
    <row r="138" spans="1:93" x14ac:dyDescent="0.2">
      <c r="A138" s="3">
        <v>180</v>
      </c>
      <c r="B138" s="3" t="s">
        <v>844</v>
      </c>
      <c r="C138" s="3" t="s">
        <v>845</v>
      </c>
      <c r="D138" s="1"/>
      <c r="E138" s="1">
        <f t="shared" si="12"/>
        <v>6.9436507482941208</v>
      </c>
      <c r="F138" s="1">
        <f t="shared" si="13"/>
        <v>6.75</v>
      </c>
      <c r="G138" s="1">
        <f t="shared" si="14"/>
        <v>7.1428571428571104</v>
      </c>
      <c r="H138" s="1"/>
      <c r="I138" s="1">
        <v>47.6</v>
      </c>
      <c r="J138" s="1">
        <v>4.4800000000000004</v>
      </c>
      <c r="K138" s="1">
        <v>0</v>
      </c>
      <c r="L138" s="1">
        <v>0.6</v>
      </c>
      <c r="M138" s="1"/>
      <c r="N138" s="1"/>
      <c r="O138" s="1">
        <v>0.8</v>
      </c>
      <c r="P138" s="1">
        <v>0.8</v>
      </c>
      <c r="Q138" s="1">
        <v>0.6</v>
      </c>
      <c r="R138" s="1">
        <v>7.1428571428571104</v>
      </c>
      <c r="S138" s="1">
        <v>-1.71867567737362</v>
      </c>
      <c r="T138" s="1">
        <v>-0.49741772692533198</v>
      </c>
      <c r="U138" s="1">
        <v>0</v>
      </c>
      <c r="V138" s="1">
        <v>0</v>
      </c>
      <c r="W138" s="1">
        <v>15.635</v>
      </c>
      <c r="X138" s="1">
        <v>0.747</v>
      </c>
      <c r="Y138" s="1">
        <v>0.62539999999999896</v>
      </c>
      <c r="Z138" s="1">
        <v>1.494</v>
      </c>
      <c r="AA138" s="1">
        <v>20210222</v>
      </c>
      <c r="AB138" s="1"/>
      <c r="AC138" s="1">
        <v>60.28</v>
      </c>
      <c r="AD138" s="1"/>
      <c r="AE138" s="1">
        <v>50</v>
      </c>
      <c r="AF138" s="1"/>
      <c r="AG138" s="1">
        <v>61.86</v>
      </c>
      <c r="AH138" s="1"/>
      <c r="AI138" s="1"/>
      <c r="AJ138" s="1">
        <v>3.0338461538461501</v>
      </c>
      <c r="AK138" s="1">
        <v>5</v>
      </c>
      <c r="AL138" s="1">
        <v>14711</v>
      </c>
      <c r="AM138" s="1">
        <v>14378</v>
      </c>
      <c r="AN138" s="1">
        <v>109581.08500000001</v>
      </c>
      <c r="AO138" s="1">
        <v>12068</v>
      </c>
      <c r="AP138" s="1">
        <v>333</v>
      </c>
      <c r="AQ138" s="1">
        <v>3.0388456182926098</v>
      </c>
      <c r="AR138" s="1">
        <v>21.900894928737099</v>
      </c>
      <c r="AS138" s="1">
        <v>2.1900894928737098</v>
      </c>
      <c r="AT138" s="1">
        <v>4.7</v>
      </c>
      <c r="AU138" s="1"/>
      <c r="AV138" s="1" t="s">
        <v>846</v>
      </c>
      <c r="AW138" s="1" t="s">
        <v>100</v>
      </c>
      <c r="AX138" s="1" t="s">
        <v>134</v>
      </c>
      <c r="AY138" s="1" t="s">
        <v>100</v>
      </c>
      <c r="AZ138" s="1" t="s">
        <v>118</v>
      </c>
      <c r="BA138" s="1" t="s">
        <v>100</v>
      </c>
      <c r="BB138" s="1" t="s">
        <v>119</v>
      </c>
      <c r="BC138" s="1" t="s">
        <v>96</v>
      </c>
      <c r="BD138" s="1" t="s">
        <v>136</v>
      </c>
      <c r="BE138" s="1" t="s">
        <v>100</v>
      </c>
      <c r="BF138" s="1" t="s">
        <v>137</v>
      </c>
      <c r="BG138" s="1" t="s">
        <v>100</v>
      </c>
      <c r="BH138" s="1" t="s">
        <v>103</v>
      </c>
      <c r="BI138" t="s">
        <v>98</v>
      </c>
      <c r="BJ138" t="s">
        <v>205</v>
      </c>
      <c r="BK138" t="s">
        <v>98</v>
      </c>
      <c r="BL138" t="s">
        <v>847</v>
      </c>
      <c r="BM138" t="s">
        <v>100</v>
      </c>
      <c r="BN138" t="s">
        <v>371</v>
      </c>
      <c r="BO138" t="s">
        <v>96</v>
      </c>
      <c r="BP138" t="s">
        <v>227</v>
      </c>
      <c r="BQ138" t="s">
        <v>98</v>
      </c>
      <c r="BR138" t="s">
        <v>105</v>
      </c>
      <c r="BT138" t="s">
        <v>711</v>
      </c>
      <c r="BU138" t="s">
        <v>96</v>
      </c>
      <c r="BV138" t="s">
        <v>125</v>
      </c>
      <c r="BW138" t="s">
        <v>96</v>
      </c>
      <c r="BX138" t="s">
        <v>126</v>
      </c>
      <c r="BY138" t="s">
        <v>100</v>
      </c>
      <c r="BZ138" t="s">
        <v>141</v>
      </c>
      <c r="CA138" t="s">
        <v>96</v>
      </c>
      <c r="CB138" t="s">
        <v>848</v>
      </c>
      <c r="CC138" t="s">
        <v>98</v>
      </c>
      <c r="CD138">
        <v>3.4</v>
      </c>
      <c r="CE138" t="s">
        <v>100</v>
      </c>
      <c r="CF138">
        <v>0.2</v>
      </c>
      <c r="CG138" t="s">
        <v>96</v>
      </c>
      <c r="CH138">
        <v>3.7</v>
      </c>
      <c r="CI138" t="s">
        <v>100</v>
      </c>
      <c r="CJ138" t="s">
        <v>112</v>
      </c>
      <c r="CK138" t="s">
        <v>96</v>
      </c>
      <c r="CL138" t="s">
        <v>96</v>
      </c>
      <c r="CM138" t="s">
        <v>100</v>
      </c>
      <c r="CN138">
        <v>6.75</v>
      </c>
      <c r="CO138">
        <v>0</v>
      </c>
    </row>
    <row r="139" spans="1:93" x14ac:dyDescent="0.2">
      <c r="A139" s="3">
        <v>181</v>
      </c>
      <c r="B139" s="3" t="s">
        <v>849</v>
      </c>
      <c r="C139" s="3" t="s">
        <v>850</v>
      </c>
      <c r="D139" s="1"/>
      <c r="E139" s="1">
        <f t="shared" si="12"/>
        <v>9.6199999999999992</v>
      </c>
      <c r="F139" s="1">
        <f t="shared" si="13"/>
        <v>9.6199999999999992</v>
      </c>
      <c r="G139" s="1">
        <f t="shared" si="14"/>
        <v>0</v>
      </c>
      <c r="H139" s="1"/>
      <c r="I139" s="1">
        <v>21.9</v>
      </c>
      <c r="J139" s="1">
        <v>9.6199999999999992</v>
      </c>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v>3.9</v>
      </c>
      <c r="AU139" s="1"/>
      <c r="AV139" s="1" t="s">
        <v>105</v>
      </c>
      <c r="AW139" s="1"/>
      <c r="AX139" s="1" t="s">
        <v>105</v>
      </c>
      <c r="AY139" s="1"/>
      <c r="AZ139" s="1" t="s">
        <v>105</v>
      </c>
      <c r="BA139" s="1"/>
      <c r="BB139" s="1" t="s">
        <v>105</v>
      </c>
      <c r="BC139" s="1"/>
      <c r="BD139" s="1" t="s">
        <v>105</v>
      </c>
      <c r="BE139" s="1"/>
      <c r="BF139" s="1" t="s">
        <v>105</v>
      </c>
      <c r="BG139" s="1"/>
      <c r="BH139" s="1" t="s">
        <v>105</v>
      </c>
      <c r="BJ139" t="s">
        <v>851</v>
      </c>
      <c r="BK139" t="s">
        <v>98</v>
      </c>
      <c r="BL139" t="s">
        <v>105</v>
      </c>
      <c r="BN139" t="s">
        <v>156</v>
      </c>
      <c r="BO139" t="s">
        <v>100</v>
      </c>
      <c r="BP139" t="s">
        <v>124</v>
      </c>
      <c r="BQ139" t="s">
        <v>96</v>
      </c>
      <c r="BR139" t="s">
        <v>105</v>
      </c>
      <c r="BT139" t="s">
        <v>105</v>
      </c>
      <c r="BV139" t="s">
        <v>105</v>
      </c>
      <c r="BX139" t="s">
        <v>105</v>
      </c>
      <c r="BZ139" t="s">
        <v>105</v>
      </c>
      <c r="CB139" t="s">
        <v>105</v>
      </c>
      <c r="CD139">
        <v>0.1</v>
      </c>
      <c r="CE139" t="s">
        <v>96</v>
      </c>
      <c r="CF139">
        <v>0.1</v>
      </c>
      <c r="CG139" t="s">
        <v>96</v>
      </c>
      <c r="CH139">
        <v>0</v>
      </c>
      <c r="CI139" t="s">
        <v>96</v>
      </c>
      <c r="CJ139" t="s">
        <v>105</v>
      </c>
      <c r="CL139" t="s">
        <v>130</v>
      </c>
      <c r="CM139" t="s">
        <v>96</v>
      </c>
      <c r="CN139">
        <v>4.75</v>
      </c>
      <c r="CO139">
        <v>0</v>
      </c>
    </row>
    <row r="140" spans="1:93" x14ac:dyDescent="0.2">
      <c r="A140" s="3">
        <v>182</v>
      </c>
      <c r="B140" s="3" t="s">
        <v>852</v>
      </c>
      <c r="C140" s="3" t="s">
        <v>853</v>
      </c>
      <c r="D140" s="1"/>
      <c r="E140" s="1">
        <f t="shared" si="12"/>
        <v>8.1284333405292966</v>
      </c>
      <c r="F140" s="1">
        <f t="shared" si="13"/>
        <v>9.25</v>
      </c>
      <c r="G140" s="1">
        <f t="shared" si="14"/>
        <v>7.1428571428571104</v>
      </c>
      <c r="H140" s="1"/>
      <c r="I140" s="1">
        <v>27.8</v>
      </c>
      <c r="J140" s="1">
        <v>8.44</v>
      </c>
      <c r="K140" s="1">
        <v>0.9</v>
      </c>
      <c r="L140" s="1">
        <v>0.3</v>
      </c>
      <c r="M140" s="1"/>
      <c r="N140" s="1"/>
      <c r="O140" s="1">
        <v>0.5</v>
      </c>
      <c r="P140" s="1">
        <v>0.6</v>
      </c>
      <c r="Q140" s="1">
        <v>0.6</v>
      </c>
      <c r="R140" s="1">
        <v>7.1428571428571104</v>
      </c>
      <c r="S140" s="1">
        <v>0.01</v>
      </c>
      <c r="T140" s="1">
        <v>0.01</v>
      </c>
      <c r="U140" s="1">
        <v>6.6666666666748099E-4</v>
      </c>
      <c r="V140" s="1">
        <v>6.6666666666748099E-4</v>
      </c>
      <c r="W140" s="1">
        <v>0.89400000000000002</v>
      </c>
      <c r="X140" s="1">
        <v>1.6E-2</v>
      </c>
      <c r="Y140" s="1">
        <v>3.5759999999999799E-2</v>
      </c>
      <c r="Z140" s="1">
        <v>3.2000000000000001E-2</v>
      </c>
      <c r="AA140" s="1">
        <v>20210222</v>
      </c>
      <c r="AB140" s="1"/>
      <c r="AC140" s="1">
        <v>49.72</v>
      </c>
      <c r="AD140" s="1"/>
      <c r="AE140" s="1">
        <v>50</v>
      </c>
      <c r="AF140" s="1"/>
      <c r="AG140" s="1">
        <v>49.68</v>
      </c>
      <c r="AH140" s="1"/>
      <c r="AI140" s="1"/>
      <c r="AJ140" s="1">
        <v>4.6584615384615402</v>
      </c>
      <c r="AK140" s="1">
        <v>5</v>
      </c>
      <c r="AL140" s="1">
        <v>10</v>
      </c>
      <c r="AM140" s="1">
        <v>10</v>
      </c>
      <c r="AN140" s="1">
        <v>8947.027</v>
      </c>
      <c r="AO140" s="1">
        <v>10</v>
      </c>
      <c r="AP140" s="1">
        <v>0</v>
      </c>
      <c r="AQ140" s="1">
        <v>0</v>
      </c>
      <c r="AR140" s="1">
        <v>0</v>
      </c>
      <c r="AS140" s="1">
        <v>0</v>
      </c>
      <c r="AT140" s="1">
        <v>5.7</v>
      </c>
      <c r="AU140" s="1"/>
      <c r="AV140" s="1" t="s">
        <v>854</v>
      </c>
      <c r="AW140" s="1" t="s">
        <v>96</v>
      </c>
      <c r="AX140" s="1" t="s">
        <v>415</v>
      </c>
      <c r="AY140" s="1" t="s">
        <v>100</v>
      </c>
      <c r="AZ140" s="1" t="s">
        <v>118</v>
      </c>
      <c r="BA140" s="1" t="s">
        <v>100</v>
      </c>
      <c r="BB140" s="1" t="s">
        <v>101</v>
      </c>
      <c r="BC140" s="1" t="s">
        <v>98</v>
      </c>
      <c r="BD140" s="1" t="s">
        <v>101</v>
      </c>
      <c r="BE140" s="1" t="s">
        <v>98</v>
      </c>
      <c r="BF140" s="1" t="s">
        <v>137</v>
      </c>
      <c r="BG140" s="1" t="s">
        <v>100</v>
      </c>
      <c r="BH140" s="1" t="s">
        <v>147</v>
      </c>
      <c r="BI140" t="s">
        <v>96</v>
      </c>
      <c r="BJ140" t="s">
        <v>855</v>
      </c>
      <c r="BK140" t="s">
        <v>98</v>
      </c>
      <c r="BL140" t="s">
        <v>105</v>
      </c>
      <c r="BN140" t="s">
        <v>728</v>
      </c>
      <c r="BO140" t="s">
        <v>100</v>
      </c>
      <c r="BP140" t="s">
        <v>124</v>
      </c>
      <c r="BQ140" t="s">
        <v>96</v>
      </c>
      <c r="BR140" t="s">
        <v>105</v>
      </c>
      <c r="BT140" t="s">
        <v>105</v>
      </c>
      <c r="BV140" t="s">
        <v>125</v>
      </c>
      <c r="BW140" t="s">
        <v>96</v>
      </c>
      <c r="BX140" t="s">
        <v>200</v>
      </c>
      <c r="BY140" t="s">
        <v>100</v>
      </c>
      <c r="BZ140" t="s">
        <v>141</v>
      </c>
      <c r="CA140" t="s">
        <v>96</v>
      </c>
      <c r="CB140" t="s">
        <v>105</v>
      </c>
      <c r="CD140">
        <v>2.5</v>
      </c>
      <c r="CE140" t="s">
        <v>100</v>
      </c>
      <c r="CF140">
        <v>2.6</v>
      </c>
      <c r="CG140" t="s">
        <v>100</v>
      </c>
      <c r="CH140">
        <v>2.5</v>
      </c>
      <c r="CI140" t="s">
        <v>100</v>
      </c>
      <c r="CJ140" t="s">
        <v>105</v>
      </c>
      <c r="CL140" t="s">
        <v>130</v>
      </c>
      <c r="CM140" t="s">
        <v>96</v>
      </c>
      <c r="CN140">
        <v>9.25</v>
      </c>
      <c r="CO140">
        <v>0</v>
      </c>
    </row>
    <row r="141" spans="1:93" x14ac:dyDescent="0.2">
      <c r="A141" s="3">
        <v>183</v>
      </c>
      <c r="B141" s="3" t="s">
        <v>856</v>
      </c>
      <c r="C141" s="3" t="s">
        <v>857</v>
      </c>
      <c r="D141" s="1"/>
      <c r="E141" s="1">
        <f t="shared" si="12"/>
        <v>5.4037024344425184</v>
      </c>
      <c r="F141" s="1">
        <f t="shared" si="13"/>
        <v>2.92</v>
      </c>
      <c r="G141" s="1">
        <f t="shared" si="14"/>
        <v>10</v>
      </c>
      <c r="H141" s="1"/>
      <c r="I141" s="1">
        <v>55.4</v>
      </c>
      <c r="J141" s="1">
        <v>2.92</v>
      </c>
      <c r="K141" s="1">
        <v>0</v>
      </c>
      <c r="L141" s="1">
        <v>0.7</v>
      </c>
      <c r="M141" s="1"/>
      <c r="N141" s="1"/>
      <c r="O141" s="1">
        <v>0.8</v>
      </c>
      <c r="P141" s="1">
        <v>0.3</v>
      </c>
      <c r="Q141" s="1">
        <v>0.4</v>
      </c>
      <c r="R141" s="1">
        <v>2.3809523809523698</v>
      </c>
      <c r="S141" s="1">
        <v>-12.280490935607</v>
      </c>
      <c r="T141" s="1">
        <v>24.3212287871246</v>
      </c>
      <c r="U141" s="1">
        <v>0</v>
      </c>
      <c r="V141" s="1">
        <v>1.6214152524749701</v>
      </c>
      <c r="W141" s="1">
        <v>188.02199999999999</v>
      </c>
      <c r="X141" s="1">
        <v>5.149</v>
      </c>
      <c r="Y141" s="1">
        <v>7.52088</v>
      </c>
      <c r="Z141" s="1">
        <v>10</v>
      </c>
      <c r="AA141" s="1">
        <v>20210222</v>
      </c>
      <c r="AB141" s="1"/>
      <c r="AC141" s="1">
        <v>66.56</v>
      </c>
      <c r="AD141" s="1"/>
      <c r="AE141" s="1">
        <v>75</v>
      </c>
      <c r="AF141" s="1"/>
      <c r="AG141" s="1">
        <v>65.260000000000005</v>
      </c>
      <c r="AH141" s="1"/>
      <c r="AI141" s="1"/>
      <c r="AJ141" s="1">
        <v>2.0676923076923099</v>
      </c>
      <c r="AK141" s="1">
        <v>2.5</v>
      </c>
      <c r="AL141" s="1">
        <v>57114</v>
      </c>
      <c r="AM141" s="1">
        <v>54638</v>
      </c>
      <c r="AN141" s="1">
        <v>37846.605000000003</v>
      </c>
      <c r="AO141" s="1">
        <v>42077</v>
      </c>
      <c r="AP141" s="1">
        <v>2476</v>
      </c>
      <c r="AQ141" s="1">
        <v>65.421984349719096</v>
      </c>
      <c r="AR141" s="1">
        <v>35.736863369536799</v>
      </c>
      <c r="AS141" s="1">
        <v>3.57368633695368</v>
      </c>
      <c r="AT141" s="1">
        <v>3.1</v>
      </c>
      <c r="AU141" s="1"/>
      <c r="AV141" s="1" t="s">
        <v>858</v>
      </c>
      <c r="AW141" s="1" t="s">
        <v>98</v>
      </c>
      <c r="AX141" s="1" t="s">
        <v>380</v>
      </c>
      <c r="AY141" s="1" t="s">
        <v>100</v>
      </c>
      <c r="AZ141" s="1" t="s">
        <v>135</v>
      </c>
      <c r="BA141" s="1" t="s">
        <v>100</v>
      </c>
      <c r="BB141" s="1" t="s">
        <v>146</v>
      </c>
      <c r="BC141" s="1" t="s">
        <v>100</v>
      </c>
      <c r="BD141" s="1" t="s">
        <v>120</v>
      </c>
      <c r="BE141" s="1" t="s">
        <v>100</v>
      </c>
      <c r="BF141" s="1" t="s">
        <v>183</v>
      </c>
      <c r="BG141" s="1" t="s">
        <v>96</v>
      </c>
      <c r="BH141" s="1" t="s">
        <v>121</v>
      </c>
      <c r="BI141" t="s">
        <v>100</v>
      </c>
      <c r="BJ141" t="s">
        <v>859</v>
      </c>
      <c r="BK141" t="s">
        <v>98</v>
      </c>
      <c r="BL141" t="s">
        <v>225</v>
      </c>
      <c r="BM141" t="s">
        <v>96</v>
      </c>
      <c r="BN141" t="s">
        <v>405</v>
      </c>
      <c r="BO141" t="s">
        <v>100</v>
      </c>
      <c r="BP141" t="s">
        <v>169</v>
      </c>
      <c r="BQ141" t="s">
        <v>100</v>
      </c>
      <c r="BR141" t="s">
        <v>105</v>
      </c>
      <c r="BT141" t="s">
        <v>105</v>
      </c>
      <c r="BV141" t="s">
        <v>125</v>
      </c>
      <c r="BW141" t="s">
        <v>96</v>
      </c>
      <c r="BX141" t="s">
        <v>126</v>
      </c>
      <c r="BY141" t="s">
        <v>100</v>
      </c>
      <c r="BZ141" t="s">
        <v>127</v>
      </c>
      <c r="CA141" t="s">
        <v>100</v>
      </c>
      <c r="CB141" t="s">
        <v>105</v>
      </c>
      <c r="CD141">
        <v>0</v>
      </c>
      <c r="CE141" t="s">
        <v>96</v>
      </c>
      <c r="CF141">
        <v>0</v>
      </c>
      <c r="CG141" t="s">
        <v>96</v>
      </c>
      <c r="CH141">
        <v>0.3</v>
      </c>
      <c r="CI141" t="s">
        <v>96</v>
      </c>
      <c r="CJ141" t="s">
        <v>105</v>
      </c>
      <c r="CL141" t="s">
        <v>130</v>
      </c>
      <c r="CM141" t="s">
        <v>96</v>
      </c>
      <c r="CN141">
        <v>2.75</v>
      </c>
      <c r="CO141">
        <v>0</v>
      </c>
    </row>
    <row r="142" spans="1:93" x14ac:dyDescent="0.2">
      <c r="A142" s="3">
        <v>184</v>
      </c>
      <c r="B142" s="3" t="s">
        <v>860</v>
      </c>
      <c r="C142" s="3" t="s">
        <v>861</v>
      </c>
      <c r="D142" s="1"/>
      <c r="E142" s="1">
        <f t="shared" si="12"/>
        <v>6.75</v>
      </c>
      <c r="F142" s="1">
        <f t="shared" si="13"/>
        <v>6.75</v>
      </c>
      <c r="G142" s="1">
        <f t="shared" si="14"/>
        <v>0</v>
      </c>
      <c r="H142" s="1"/>
      <c r="I142" s="1">
        <v>70.2</v>
      </c>
      <c r="J142" s="1">
        <v>0</v>
      </c>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v>4.7</v>
      </c>
      <c r="AU142" s="1"/>
      <c r="AV142" s="1" t="s">
        <v>105</v>
      </c>
      <c r="AW142" s="1"/>
      <c r="AX142" s="1" t="s">
        <v>105</v>
      </c>
      <c r="AY142" s="1"/>
      <c r="AZ142" s="1" t="s">
        <v>105</v>
      </c>
      <c r="BA142" s="1"/>
      <c r="BB142" s="1" t="s">
        <v>105</v>
      </c>
      <c r="BC142" s="1"/>
      <c r="BD142" s="1" t="s">
        <v>105</v>
      </c>
      <c r="BE142" s="1"/>
      <c r="BF142" s="1" t="s">
        <v>105</v>
      </c>
      <c r="BG142" s="1"/>
      <c r="BH142" s="1" t="s">
        <v>105</v>
      </c>
      <c r="BJ142" t="s">
        <v>105</v>
      </c>
      <c r="BL142" t="s">
        <v>105</v>
      </c>
      <c r="BN142" t="s">
        <v>105</v>
      </c>
      <c r="BP142" t="s">
        <v>124</v>
      </c>
      <c r="BQ142" t="s">
        <v>96</v>
      </c>
      <c r="BR142" t="s">
        <v>105</v>
      </c>
      <c r="BT142" t="s">
        <v>105</v>
      </c>
      <c r="BV142" t="s">
        <v>105</v>
      </c>
      <c r="BX142" t="s">
        <v>105</v>
      </c>
      <c r="BZ142" t="s">
        <v>105</v>
      </c>
      <c r="CB142" t="s">
        <v>105</v>
      </c>
      <c r="CD142">
        <v>0</v>
      </c>
      <c r="CE142" t="s">
        <v>96</v>
      </c>
      <c r="CF142">
        <v>0.2</v>
      </c>
      <c r="CG142" t="s">
        <v>96</v>
      </c>
      <c r="CH142">
        <v>3.3</v>
      </c>
      <c r="CI142" t="s">
        <v>100</v>
      </c>
      <c r="CJ142" t="s">
        <v>112</v>
      </c>
      <c r="CK142" t="s">
        <v>96</v>
      </c>
      <c r="CL142" t="s">
        <v>98</v>
      </c>
      <c r="CM142" t="s">
        <v>98</v>
      </c>
      <c r="CN142">
        <v>6.75</v>
      </c>
      <c r="CO142">
        <v>0</v>
      </c>
    </row>
    <row r="143" spans="1:93" x14ac:dyDescent="0.2">
      <c r="A143" s="3">
        <v>185</v>
      </c>
      <c r="B143" s="3" t="s">
        <v>862</v>
      </c>
      <c r="C143" s="3" t="s">
        <v>863</v>
      </c>
      <c r="D143" s="1"/>
      <c r="E143" s="1">
        <f t="shared" si="12"/>
        <v>4.4721359549995796</v>
      </c>
      <c r="F143" s="1">
        <f t="shared" si="13"/>
        <v>2</v>
      </c>
      <c r="G143" s="1">
        <f t="shared" si="14"/>
        <v>10</v>
      </c>
      <c r="H143" s="1"/>
      <c r="I143" s="1">
        <v>60.3</v>
      </c>
      <c r="J143" s="1">
        <v>1.94</v>
      </c>
      <c r="K143" s="1">
        <v>0</v>
      </c>
      <c r="L143" s="1">
        <v>0.7</v>
      </c>
      <c r="M143" s="1"/>
      <c r="N143" s="1"/>
      <c r="O143" s="1">
        <v>0.8</v>
      </c>
      <c r="P143" s="1">
        <v>0.5</v>
      </c>
      <c r="Q143" s="1">
        <v>0.5</v>
      </c>
      <c r="R143" s="1">
        <v>4.7619047619047397</v>
      </c>
      <c r="S143" s="1">
        <v>-52.334161670376503</v>
      </c>
      <c r="T143" s="1">
        <v>-74.453650094767795</v>
      </c>
      <c r="U143" s="1">
        <v>0</v>
      </c>
      <c r="V143" s="1">
        <v>0</v>
      </c>
      <c r="W143" s="1">
        <v>164.88499999999999</v>
      </c>
      <c r="X143" s="1">
        <v>8.98</v>
      </c>
      <c r="Y143" s="1">
        <v>6.5953999999999997</v>
      </c>
      <c r="Z143" s="1">
        <v>10</v>
      </c>
      <c r="AA143" s="1">
        <v>20210222</v>
      </c>
      <c r="AB143" s="1"/>
      <c r="AC143" s="1">
        <v>72.33</v>
      </c>
      <c r="AD143" s="1"/>
      <c r="AE143" s="1">
        <v>50</v>
      </c>
      <c r="AF143" s="1"/>
      <c r="AG143" s="1">
        <v>75.77</v>
      </c>
      <c r="AH143" s="1"/>
      <c r="AI143" s="1"/>
      <c r="AJ143" s="1">
        <v>1.18</v>
      </c>
      <c r="AK143" s="1">
        <v>5</v>
      </c>
      <c r="AL143" s="1">
        <v>17046</v>
      </c>
      <c r="AM143" s="1">
        <v>17038</v>
      </c>
      <c r="AN143" s="1">
        <v>10196.707</v>
      </c>
      <c r="AO143" s="1">
        <v>15897</v>
      </c>
      <c r="AP143" s="1">
        <v>8</v>
      </c>
      <c r="AQ143" s="1">
        <v>0.784567017567534</v>
      </c>
      <c r="AR143" s="1">
        <v>7.2277788261936298</v>
      </c>
      <c r="AS143" s="1">
        <v>0.72277788261936304</v>
      </c>
      <c r="AT143" s="1">
        <v>2.8</v>
      </c>
      <c r="AU143" s="1"/>
      <c r="AV143" s="1" t="s">
        <v>864</v>
      </c>
      <c r="AW143" s="1" t="s">
        <v>98</v>
      </c>
      <c r="AX143" s="1" t="s">
        <v>153</v>
      </c>
      <c r="AY143" s="1" t="s">
        <v>100</v>
      </c>
      <c r="AZ143" s="1" t="s">
        <v>135</v>
      </c>
      <c r="BA143" s="1" t="s">
        <v>100</v>
      </c>
      <c r="BB143" s="1" t="s">
        <v>119</v>
      </c>
      <c r="BC143" s="1" t="s">
        <v>96</v>
      </c>
      <c r="BD143" s="1" t="s">
        <v>136</v>
      </c>
      <c r="BE143" s="1" t="s">
        <v>100</v>
      </c>
      <c r="BF143" s="1" t="s">
        <v>137</v>
      </c>
      <c r="BG143" s="1" t="s">
        <v>100</v>
      </c>
      <c r="BH143" s="1" t="s">
        <v>147</v>
      </c>
      <c r="BI143" t="s">
        <v>96</v>
      </c>
      <c r="BJ143" t="s">
        <v>828</v>
      </c>
      <c r="BK143" t="s">
        <v>98</v>
      </c>
      <c r="BL143" t="s">
        <v>442</v>
      </c>
      <c r="BM143" t="s">
        <v>100</v>
      </c>
      <c r="BN143" t="s">
        <v>156</v>
      </c>
      <c r="BO143" t="s">
        <v>100</v>
      </c>
      <c r="BP143" t="s">
        <v>124</v>
      </c>
      <c r="BQ143" t="s">
        <v>96</v>
      </c>
      <c r="BR143" t="s">
        <v>105</v>
      </c>
      <c r="BT143" t="s">
        <v>105</v>
      </c>
      <c r="BV143" t="s">
        <v>125</v>
      </c>
      <c r="BW143" t="s">
        <v>96</v>
      </c>
      <c r="BX143" t="s">
        <v>110</v>
      </c>
      <c r="BY143" t="s">
        <v>96</v>
      </c>
      <c r="BZ143" t="s">
        <v>127</v>
      </c>
      <c r="CA143" t="s">
        <v>100</v>
      </c>
      <c r="CB143" t="s">
        <v>105</v>
      </c>
      <c r="CD143">
        <v>3.7</v>
      </c>
      <c r="CE143" t="s">
        <v>100</v>
      </c>
      <c r="CF143">
        <v>0</v>
      </c>
      <c r="CG143" t="s">
        <v>96</v>
      </c>
      <c r="CH143">
        <v>2.2000000000000002</v>
      </c>
      <c r="CI143" t="s">
        <v>100</v>
      </c>
      <c r="CJ143" t="s">
        <v>105</v>
      </c>
      <c r="CL143" t="s">
        <v>130</v>
      </c>
      <c r="CM143" t="s">
        <v>96</v>
      </c>
      <c r="CN143">
        <v>2</v>
      </c>
      <c r="CO143">
        <v>0</v>
      </c>
    </row>
    <row r="144" spans="1:93" x14ac:dyDescent="0.2">
      <c r="A144" s="3">
        <v>186</v>
      </c>
      <c r="B144" s="3" t="s">
        <v>865</v>
      </c>
      <c r="C144" s="3" t="s">
        <v>866</v>
      </c>
      <c r="D144" s="1"/>
      <c r="E144" s="1">
        <f t="shared" si="12"/>
        <v>6.4951370116418641</v>
      </c>
      <c r="F144" s="1">
        <f t="shared" si="13"/>
        <v>6.86</v>
      </c>
      <c r="G144" s="1">
        <f t="shared" si="14"/>
        <v>6.14968</v>
      </c>
      <c r="H144" s="1"/>
      <c r="I144" s="1">
        <v>35.700000000000003</v>
      </c>
      <c r="J144" s="1">
        <v>6.86</v>
      </c>
      <c r="K144" s="1">
        <v>0</v>
      </c>
      <c r="L144" s="1">
        <v>0.6</v>
      </c>
      <c r="M144" s="1"/>
      <c r="N144" s="1"/>
      <c r="O144" s="1">
        <v>1</v>
      </c>
      <c r="P144" s="1">
        <v>0.5</v>
      </c>
      <c r="Q144" s="1">
        <v>0.5</v>
      </c>
      <c r="R144" s="1">
        <v>4.7619047619047397</v>
      </c>
      <c r="S144" s="1">
        <v>10.212139703506899</v>
      </c>
      <c r="T144" s="1">
        <v>30.026711404188799</v>
      </c>
      <c r="U144" s="1">
        <v>0.68080931356713004</v>
      </c>
      <c r="V144" s="1">
        <v>2.0017807602792601</v>
      </c>
      <c r="W144" s="1">
        <v>153.74199999999999</v>
      </c>
      <c r="X144" s="1">
        <v>2.5840000000000001</v>
      </c>
      <c r="Y144" s="1">
        <v>6.14968</v>
      </c>
      <c r="Z144" s="1">
        <v>5.1680000000000001</v>
      </c>
      <c r="AA144" s="1">
        <v>20210222</v>
      </c>
      <c r="AB144" s="1"/>
      <c r="AC144" s="1">
        <v>49.44</v>
      </c>
      <c r="AD144" s="1"/>
      <c r="AE144" s="1">
        <v>25</v>
      </c>
      <c r="AF144" s="1"/>
      <c r="AG144" s="1">
        <v>53.21</v>
      </c>
      <c r="AH144" s="1"/>
      <c r="AI144" s="1"/>
      <c r="AJ144" s="1">
        <v>4.7015384615384601</v>
      </c>
      <c r="AK144" s="1">
        <v>7.5</v>
      </c>
      <c r="AL144" s="1">
        <v>4500</v>
      </c>
      <c r="AM144" s="1">
        <v>4259</v>
      </c>
      <c r="AN144" s="1">
        <v>7132.53</v>
      </c>
      <c r="AO144" s="1">
        <v>3045</v>
      </c>
      <c r="AP144" s="1">
        <v>241</v>
      </c>
      <c r="AQ144" s="1">
        <v>33.788851922108996</v>
      </c>
      <c r="AR144" s="1">
        <v>47.783251231527103</v>
      </c>
      <c r="AS144" s="1">
        <v>4.77832512315271</v>
      </c>
      <c r="AT144" s="1">
        <v>3.6</v>
      </c>
      <c r="AU144" s="1"/>
      <c r="AV144" s="1" t="s">
        <v>867</v>
      </c>
      <c r="AW144" s="1" t="s">
        <v>98</v>
      </c>
      <c r="AX144" s="1" t="s">
        <v>270</v>
      </c>
      <c r="AY144" s="1" t="s">
        <v>100</v>
      </c>
      <c r="AZ144" s="1" t="s">
        <v>99</v>
      </c>
      <c r="BA144" s="1" t="s">
        <v>100</v>
      </c>
      <c r="BB144" s="1" t="s">
        <v>101</v>
      </c>
      <c r="BC144" s="1" t="s">
        <v>98</v>
      </c>
      <c r="BD144" s="1" t="s">
        <v>136</v>
      </c>
      <c r="BE144" s="1" t="s">
        <v>100</v>
      </c>
      <c r="BF144" s="1" t="s">
        <v>137</v>
      </c>
      <c r="BG144" s="1" t="s">
        <v>100</v>
      </c>
      <c r="BH144" s="1" t="s">
        <v>147</v>
      </c>
      <c r="BI144" t="s">
        <v>96</v>
      </c>
      <c r="BJ144" t="s">
        <v>122</v>
      </c>
      <c r="BK144" t="s">
        <v>98</v>
      </c>
      <c r="BL144" t="s">
        <v>868</v>
      </c>
      <c r="BM144" t="s">
        <v>100</v>
      </c>
      <c r="BN144" t="s">
        <v>288</v>
      </c>
      <c r="BO144" t="s">
        <v>96</v>
      </c>
      <c r="BP144" t="s">
        <v>169</v>
      </c>
      <c r="BQ144" t="s">
        <v>100</v>
      </c>
      <c r="BR144" t="s">
        <v>105</v>
      </c>
      <c r="BT144" t="s">
        <v>869</v>
      </c>
      <c r="BU144" t="s">
        <v>96</v>
      </c>
      <c r="BV144" t="s">
        <v>125</v>
      </c>
      <c r="BW144" t="s">
        <v>96</v>
      </c>
      <c r="BX144" t="s">
        <v>126</v>
      </c>
      <c r="BY144" t="s">
        <v>100</v>
      </c>
      <c r="BZ144" t="s">
        <v>141</v>
      </c>
      <c r="CA144" t="s">
        <v>96</v>
      </c>
      <c r="CB144" t="s">
        <v>105</v>
      </c>
      <c r="CD144">
        <v>1.2</v>
      </c>
      <c r="CE144" t="s">
        <v>96</v>
      </c>
      <c r="CF144">
        <v>0</v>
      </c>
      <c r="CG144" t="s">
        <v>96</v>
      </c>
      <c r="CH144">
        <v>3.5</v>
      </c>
      <c r="CI144" t="s">
        <v>100</v>
      </c>
      <c r="CJ144" t="s">
        <v>105</v>
      </c>
      <c r="CL144" t="s">
        <v>130</v>
      </c>
      <c r="CM144" t="s">
        <v>96</v>
      </c>
      <c r="CN144">
        <v>4</v>
      </c>
      <c r="CO144">
        <v>0</v>
      </c>
    </row>
    <row r="145" spans="1:93" x14ac:dyDescent="0.2">
      <c r="A145" s="3">
        <v>187</v>
      </c>
      <c r="B145" s="3" t="s">
        <v>870</v>
      </c>
      <c r="C145" s="3" t="s">
        <v>871</v>
      </c>
      <c r="D145" s="1"/>
      <c r="E145" s="1">
        <f t="shared" si="12"/>
        <v>7.5894663844041101</v>
      </c>
      <c r="F145" s="1">
        <f t="shared" si="13"/>
        <v>5.76</v>
      </c>
      <c r="G145" s="1">
        <f t="shared" si="14"/>
        <v>10</v>
      </c>
      <c r="H145" s="1"/>
      <c r="I145" s="1">
        <v>41.2</v>
      </c>
      <c r="J145" s="1">
        <v>5.76</v>
      </c>
      <c r="K145" s="1">
        <v>0</v>
      </c>
      <c r="L145" s="1">
        <v>0.6</v>
      </c>
      <c r="M145" s="1"/>
      <c r="N145" s="1"/>
      <c r="O145" s="1">
        <v>0.8</v>
      </c>
      <c r="P145" s="1">
        <v>0.4</v>
      </c>
      <c r="Q145" s="1">
        <v>0.4</v>
      </c>
      <c r="R145" s="1">
        <v>2.3809523809523698</v>
      </c>
      <c r="S145" s="1">
        <v>79.487179487179503</v>
      </c>
      <c r="T145" s="1">
        <v>21.5325067394127</v>
      </c>
      <c r="U145" s="1">
        <v>5.2991452991452999</v>
      </c>
      <c r="V145" s="1">
        <v>1.4355004492941801</v>
      </c>
      <c r="W145" s="1">
        <v>157.779</v>
      </c>
      <c r="X145" s="1">
        <v>0.05</v>
      </c>
      <c r="Y145" s="1">
        <v>6.3111600000000001</v>
      </c>
      <c r="Z145" s="1">
        <v>9.9999999999999603E-2</v>
      </c>
      <c r="AA145" s="1">
        <v>20210222</v>
      </c>
      <c r="AB145" s="1"/>
      <c r="AC145" s="1">
        <v>72.89</v>
      </c>
      <c r="AD145" s="1"/>
      <c r="AE145" s="1">
        <v>87.5</v>
      </c>
      <c r="AF145" s="1"/>
      <c r="AG145" s="1">
        <v>70.64</v>
      </c>
      <c r="AH145" s="1"/>
      <c r="AI145" s="1"/>
      <c r="AJ145" s="1">
        <v>1.0938461538461499</v>
      </c>
      <c r="AK145" s="1">
        <v>1.25</v>
      </c>
      <c r="AL145" s="1">
        <v>277</v>
      </c>
      <c r="AM145" s="1">
        <v>274</v>
      </c>
      <c r="AN145" s="1">
        <v>2881.06</v>
      </c>
      <c r="AO145" s="1">
        <v>256</v>
      </c>
      <c r="AP145" s="1">
        <v>3</v>
      </c>
      <c r="AQ145" s="1">
        <v>1.04128341652031</v>
      </c>
      <c r="AR145" s="1">
        <v>8.203125</v>
      </c>
      <c r="AS145" s="1">
        <v>0.8203125</v>
      </c>
      <c r="AT145" s="1">
        <v>3.3</v>
      </c>
      <c r="AU145" s="1"/>
      <c r="AV145" s="1" t="s">
        <v>872</v>
      </c>
      <c r="AW145" s="1" t="s">
        <v>98</v>
      </c>
      <c r="AX145" s="1" t="s">
        <v>701</v>
      </c>
      <c r="AY145" s="1" t="s">
        <v>100</v>
      </c>
      <c r="AZ145" s="1" t="s">
        <v>118</v>
      </c>
      <c r="BA145" s="1" t="s">
        <v>100</v>
      </c>
      <c r="BB145" s="1" t="s">
        <v>101</v>
      </c>
      <c r="BC145" s="1" t="s">
        <v>98</v>
      </c>
      <c r="BD145" s="1" t="s">
        <v>120</v>
      </c>
      <c r="BE145" s="1" t="s">
        <v>100</v>
      </c>
      <c r="BF145" s="1" t="s">
        <v>183</v>
      </c>
      <c r="BG145" s="1" t="s">
        <v>96</v>
      </c>
      <c r="BH145" s="1" t="s">
        <v>121</v>
      </c>
      <c r="BI145" t="s">
        <v>100</v>
      </c>
      <c r="BJ145" t="s">
        <v>161</v>
      </c>
      <c r="BK145" t="s">
        <v>98</v>
      </c>
      <c r="BL145" t="s">
        <v>105</v>
      </c>
      <c r="BN145" t="s">
        <v>356</v>
      </c>
      <c r="BO145" t="s">
        <v>100</v>
      </c>
      <c r="BP145" t="s">
        <v>169</v>
      </c>
      <c r="BQ145" t="s">
        <v>100</v>
      </c>
      <c r="BR145" t="s">
        <v>105</v>
      </c>
      <c r="BT145" t="s">
        <v>105</v>
      </c>
      <c r="BV145" t="s">
        <v>125</v>
      </c>
      <c r="BW145" t="s">
        <v>96</v>
      </c>
      <c r="BX145" t="s">
        <v>110</v>
      </c>
      <c r="BY145" t="s">
        <v>96</v>
      </c>
      <c r="BZ145" t="s">
        <v>141</v>
      </c>
      <c r="CA145" t="s">
        <v>96</v>
      </c>
      <c r="CB145" t="s">
        <v>105</v>
      </c>
      <c r="CD145">
        <v>0</v>
      </c>
      <c r="CE145" t="s">
        <v>96</v>
      </c>
      <c r="CF145">
        <v>0</v>
      </c>
      <c r="CG145" t="s">
        <v>96</v>
      </c>
      <c r="CH145">
        <v>0</v>
      </c>
      <c r="CI145" t="s">
        <v>96</v>
      </c>
      <c r="CJ145" t="s">
        <v>105</v>
      </c>
      <c r="CL145" t="s">
        <v>130</v>
      </c>
      <c r="CM145" t="s">
        <v>96</v>
      </c>
      <c r="CN145">
        <v>3.25</v>
      </c>
      <c r="CO145">
        <v>10</v>
      </c>
    </row>
    <row r="146" spans="1:93" x14ac:dyDescent="0.2">
      <c r="A146" s="3">
        <v>188</v>
      </c>
      <c r="B146" s="3" t="s">
        <v>873</v>
      </c>
      <c r="C146" s="3" t="s">
        <v>874</v>
      </c>
      <c r="D146" s="1"/>
      <c r="E146" s="1">
        <f t="shared" si="12"/>
        <v>5.8802176830454158</v>
      </c>
      <c r="F146" s="1">
        <f t="shared" si="13"/>
        <v>4.84</v>
      </c>
      <c r="G146" s="1">
        <f t="shared" si="14"/>
        <v>7.1440000000000001</v>
      </c>
      <c r="H146" s="1"/>
      <c r="I146" s="1">
        <v>45.8</v>
      </c>
      <c r="J146" s="1">
        <v>4.84</v>
      </c>
      <c r="K146" s="1">
        <v>0</v>
      </c>
      <c r="L146" s="1">
        <v>0.6</v>
      </c>
      <c r="M146" s="1"/>
      <c r="N146" s="1"/>
      <c r="O146" s="1">
        <v>0.2</v>
      </c>
      <c r="P146" s="1">
        <v>0.4</v>
      </c>
      <c r="Q146" s="1">
        <v>0.3</v>
      </c>
      <c r="R146" s="1">
        <v>0</v>
      </c>
      <c r="S146" s="1">
        <v>-14.807636155603401</v>
      </c>
      <c r="T146" s="1">
        <v>4.4750629638692896</v>
      </c>
      <c r="U146" s="1">
        <v>0</v>
      </c>
      <c r="V146" s="1">
        <v>0.29833753092462001</v>
      </c>
      <c r="W146" s="1">
        <v>131.67599999999999</v>
      </c>
      <c r="X146" s="1">
        <v>3.5720000000000001</v>
      </c>
      <c r="Y146" s="1">
        <v>5.2670399999999997</v>
      </c>
      <c r="Z146" s="1">
        <v>7.1440000000000001</v>
      </c>
      <c r="AA146" s="1">
        <v>20210222</v>
      </c>
      <c r="AB146" s="1"/>
      <c r="AC146" s="1">
        <v>62.78</v>
      </c>
      <c r="AD146" s="1"/>
      <c r="AE146" s="1">
        <v>62.5</v>
      </c>
      <c r="AF146" s="1"/>
      <c r="AG146" s="1">
        <v>62.82</v>
      </c>
      <c r="AH146" s="1"/>
      <c r="AI146" s="1"/>
      <c r="AJ146" s="1">
        <v>2.6492307692307699</v>
      </c>
      <c r="AK146" s="1">
        <v>3.75</v>
      </c>
      <c r="AL146" s="1">
        <v>23430</v>
      </c>
      <c r="AM146" s="1">
        <v>22973</v>
      </c>
      <c r="AN146" s="1">
        <v>19237.682000000001</v>
      </c>
      <c r="AO146" s="1">
        <v>19795</v>
      </c>
      <c r="AP146" s="1">
        <v>457</v>
      </c>
      <c r="AQ146" s="1">
        <v>23.755460767050799</v>
      </c>
      <c r="AR146" s="1">
        <v>18.3632230361202</v>
      </c>
      <c r="AS146" s="1">
        <v>1.83632230361202</v>
      </c>
      <c r="AT146" s="1">
        <v>3.7</v>
      </c>
      <c r="AU146" s="1"/>
      <c r="AV146" s="1" t="s">
        <v>875</v>
      </c>
      <c r="AW146" s="1" t="s">
        <v>98</v>
      </c>
      <c r="AX146" s="1" t="s">
        <v>601</v>
      </c>
      <c r="AY146" s="1" t="s">
        <v>100</v>
      </c>
      <c r="AZ146" s="1" t="s">
        <v>135</v>
      </c>
      <c r="BA146" s="1" t="s">
        <v>100</v>
      </c>
      <c r="BB146" s="1" t="s">
        <v>119</v>
      </c>
      <c r="BC146" s="1" t="s">
        <v>96</v>
      </c>
      <c r="BD146" s="1" t="s">
        <v>136</v>
      </c>
      <c r="BE146" s="1" t="s">
        <v>100</v>
      </c>
      <c r="BF146" s="1" t="s">
        <v>183</v>
      </c>
      <c r="BG146" s="1" t="s">
        <v>96</v>
      </c>
      <c r="BH146" s="1" t="s">
        <v>147</v>
      </c>
      <c r="BI146" t="s">
        <v>96</v>
      </c>
      <c r="BJ146" t="s">
        <v>691</v>
      </c>
      <c r="BK146" t="s">
        <v>98</v>
      </c>
      <c r="BL146" t="s">
        <v>876</v>
      </c>
      <c r="BM146" t="s">
        <v>100</v>
      </c>
      <c r="BN146" t="s">
        <v>288</v>
      </c>
      <c r="BO146" t="s">
        <v>96</v>
      </c>
      <c r="BP146" t="s">
        <v>124</v>
      </c>
      <c r="BQ146" t="s">
        <v>96</v>
      </c>
      <c r="BR146" t="s">
        <v>105</v>
      </c>
      <c r="BT146" t="s">
        <v>105</v>
      </c>
      <c r="BV146" t="s">
        <v>125</v>
      </c>
      <c r="BW146" t="s">
        <v>96</v>
      </c>
      <c r="BX146" t="s">
        <v>126</v>
      </c>
      <c r="BY146" t="s">
        <v>100</v>
      </c>
      <c r="BZ146" t="s">
        <v>141</v>
      </c>
      <c r="CA146" t="s">
        <v>96</v>
      </c>
      <c r="CB146" t="s">
        <v>105</v>
      </c>
      <c r="CD146">
        <v>0.8</v>
      </c>
      <c r="CE146" t="s">
        <v>96</v>
      </c>
      <c r="CF146">
        <v>0</v>
      </c>
      <c r="CG146" t="s">
        <v>96</v>
      </c>
      <c r="CH146">
        <v>0.5</v>
      </c>
      <c r="CI146" t="s">
        <v>96</v>
      </c>
      <c r="CJ146" t="s">
        <v>105</v>
      </c>
      <c r="CL146" t="s">
        <v>130</v>
      </c>
      <c r="CM146" t="s">
        <v>96</v>
      </c>
      <c r="CN146">
        <v>4.25</v>
      </c>
      <c r="CO146">
        <v>0</v>
      </c>
    </row>
    <row r="147" spans="1:93" x14ac:dyDescent="0.2">
      <c r="A147" s="3">
        <v>189</v>
      </c>
      <c r="B147" s="3" t="s">
        <v>877</v>
      </c>
      <c r="C147" s="3" t="s">
        <v>878</v>
      </c>
      <c r="D147" s="1"/>
      <c r="E147" s="1">
        <f t="shared" si="12"/>
        <v>5.5865982493821766</v>
      </c>
      <c r="F147" s="1">
        <f t="shared" si="13"/>
        <v>5.14</v>
      </c>
      <c r="G147" s="1">
        <f t="shared" si="14"/>
        <v>6.0720000000000001</v>
      </c>
      <c r="H147" s="1"/>
      <c r="I147" s="1">
        <v>44.3</v>
      </c>
      <c r="J147" s="1">
        <v>5.14</v>
      </c>
      <c r="K147" s="1"/>
      <c r="L147" s="1"/>
      <c r="M147" s="1"/>
      <c r="N147" s="1"/>
      <c r="O147" s="1"/>
      <c r="P147" s="1"/>
      <c r="Q147" s="1"/>
      <c r="R147" s="1"/>
      <c r="S147" s="1">
        <v>-6.00850577039561</v>
      </c>
      <c r="T147" s="1">
        <v>-20.060910346884199</v>
      </c>
      <c r="U147" s="1">
        <v>0</v>
      </c>
      <c r="V147" s="1">
        <v>0</v>
      </c>
      <c r="W147" s="1">
        <v>89.557000000000002</v>
      </c>
      <c r="X147" s="1">
        <v>3.036</v>
      </c>
      <c r="Y147" s="1">
        <v>3.5822799999999999</v>
      </c>
      <c r="Z147" s="1">
        <v>6.0720000000000001</v>
      </c>
      <c r="AA147" s="1">
        <v>20210222</v>
      </c>
      <c r="AB147" s="1"/>
      <c r="AC147" s="1">
        <v>44.28</v>
      </c>
      <c r="AD147" s="1"/>
      <c r="AE147" s="1">
        <v>37.5</v>
      </c>
      <c r="AF147" s="1"/>
      <c r="AG147" s="1">
        <v>45.32</v>
      </c>
      <c r="AH147" s="1"/>
      <c r="AI147" s="1"/>
      <c r="AJ147" s="1">
        <v>5.4953846153846202</v>
      </c>
      <c r="AK147" s="1">
        <v>6.25</v>
      </c>
      <c r="AL147" s="1">
        <v>98859</v>
      </c>
      <c r="AM147" s="1">
        <v>97325</v>
      </c>
      <c r="AN147" s="1">
        <v>145934.46</v>
      </c>
      <c r="AO147" s="1">
        <v>81517</v>
      </c>
      <c r="AP147" s="1">
        <v>1534</v>
      </c>
      <c r="AQ147" s="1">
        <v>10.5115680011424</v>
      </c>
      <c r="AR147" s="1">
        <v>21.274090067102598</v>
      </c>
      <c r="AS147" s="1">
        <v>2.12740900671026</v>
      </c>
      <c r="AT147" s="1">
        <v>3.2</v>
      </c>
      <c r="AU147" s="1"/>
      <c r="AV147" s="1" t="s">
        <v>879</v>
      </c>
      <c r="AW147" s="1" t="s">
        <v>98</v>
      </c>
      <c r="AX147" s="1" t="s">
        <v>715</v>
      </c>
      <c r="AY147" s="1" t="s">
        <v>100</v>
      </c>
      <c r="AZ147" s="1" t="s">
        <v>135</v>
      </c>
      <c r="BA147" s="1" t="s">
        <v>100</v>
      </c>
      <c r="BB147" s="1" t="s">
        <v>101</v>
      </c>
      <c r="BC147" s="1" t="s">
        <v>98</v>
      </c>
      <c r="BD147" s="1" t="s">
        <v>120</v>
      </c>
      <c r="BE147" s="1" t="s">
        <v>100</v>
      </c>
      <c r="BF147" s="1" t="s">
        <v>137</v>
      </c>
      <c r="BG147" s="1" t="s">
        <v>100</v>
      </c>
      <c r="BH147" s="1" t="s">
        <v>121</v>
      </c>
      <c r="BI147" t="s">
        <v>100</v>
      </c>
      <c r="BJ147" t="s">
        <v>880</v>
      </c>
      <c r="BK147" t="s">
        <v>98</v>
      </c>
      <c r="BL147" t="s">
        <v>226</v>
      </c>
      <c r="BM147" t="s">
        <v>100</v>
      </c>
      <c r="BN147" t="s">
        <v>324</v>
      </c>
      <c r="BO147" t="s">
        <v>100</v>
      </c>
      <c r="BP147" t="s">
        <v>124</v>
      </c>
      <c r="BQ147" t="s">
        <v>96</v>
      </c>
      <c r="BR147" t="s">
        <v>105</v>
      </c>
      <c r="BT147" t="s">
        <v>105</v>
      </c>
      <c r="BV147" t="s">
        <v>125</v>
      </c>
      <c r="BW147" t="s">
        <v>96</v>
      </c>
      <c r="BX147" t="s">
        <v>126</v>
      </c>
      <c r="BY147" t="s">
        <v>100</v>
      </c>
      <c r="BZ147" t="s">
        <v>141</v>
      </c>
      <c r="CA147" t="s">
        <v>96</v>
      </c>
      <c r="CB147" t="s">
        <v>393</v>
      </c>
      <c r="CC147" t="s">
        <v>98</v>
      </c>
      <c r="CD147">
        <v>0.8</v>
      </c>
      <c r="CE147" t="s">
        <v>96</v>
      </c>
      <c r="CF147">
        <v>0.1</v>
      </c>
      <c r="CG147" t="s">
        <v>96</v>
      </c>
      <c r="CH147">
        <v>2.7</v>
      </c>
      <c r="CI147" t="s">
        <v>100</v>
      </c>
      <c r="CJ147" t="s">
        <v>105</v>
      </c>
      <c r="CL147" t="s">
        <v>130</v>
      </c>
      <c r="CM147" t="s">
        <v>96</v>
      </c>
      <c r="CN147">
        <v>3</v>
      </c>
      <c r="CO147">
        <v>0</v>
      </c>
    </row>
    <row r="148" spans="1:93" x14ac:dyDescent="0.2">
      <c r="A148" s="3">
        <v>190</v>
      </c>
      <c r="B148" s="3" t="s">
        <v>881</v>
      </c>
      <c r="C148" s="3" t="s">
        <v>882</v>
      </c>
      <c r="D148" s="1"/>
      <c r="E148" s="1">
        <f t="shared" si="12"/>
        <v>8.4515425472851451</v>
      </c>
      <c r="F148" s="1">
        <f t="shared" si="13"/>
        <v>7.5</v>
      </c>
      <c r="G148" s="1">
        <f t="shared" si="14"/>
        <v>9.5238095238094793</v>
      </c>
      <c r="H148" s="1"/>
      <c r="I148" s="1">
        <v>34.200000000000003</v>
      </c>
      <c r="J148" s="1">
        <v>7.16</v>
      </c>
      <c r="K148" s="1">
        <v>0.4</v>
      </c>
      <c r="L148" s="1">
        <v>0.9</v>
      </c>
      <c r="M148" s="1"/>
      <c r="N148" s="1"/>
      <c r="O148" s="1">
        <v>1</v>
      </c>
      <c r="P148" s="1">
        <v>0.5</v>
      </c>
      <c r="Q148" s="1">
        <v>0.7</v>
      </c>
      <c r="R148" s="1">
        <v>9.5238095238094793</v>
      </c>
      <c r="S148" s="1">
        <v>-39.150207900207903</v>
      </c>
      <c r="T148" s="1">
        <v>-53.409636138922302</v>
      </c>
      <c r="U148" s="1">
        <v>0</v>
      </c>
      <c r="V148" s="1">
        <v>0</v>
      </c>
      <c r="W148" s="1">
        <v>7.8310000000000004</v>
      </c>
      <c r="X148" s="1">
        <v>0.11</v>
      </c>
      <c r="Y148" s="1">
        <v>0.31323999999999902</v>
      </c>
      <c r="Z148" s="1">
        <v>0.220000000000001</v>
      </c>
      <c r="AA148" s="1">
        <v>20210222</v>
      </c>
      <c r="AB148" s="1"/>
      <c r="AC148" s="1">
        <v>66.67</v>
      </c>
      <c r="AD148" s="1"/>
      <c r="AE148" s="1">
        <v>62.5</v>
      </c>
      <c r="AF148" s="1"/>
      <c r="AG148" s="1">
        <v>67.31</v>
      </c>
      <c r="AH148" s="1"/>
      <c r="AI148" s="1"/>
      <c r="AJ148" s="1">
        <v>2.0507692307692298</v>
      </c>
      <c r="AK148" s="1">
        <v>3.75</v>
      </c>
      <c r="AL148" s="1">
        <v>284</v>
      </c>
      <c r="AM148" s="1">
        <v>282</v>
      </c>
      <c r="AN148" s="1">
        <v>12952.209000000001</v>
      </c>
      <c r="AO148" s="1">
        <v>247</v>
      </c>
      <c r="AP148" s="1">
        <v>2</v>
      </c>
      <c r="AQ148" s="1">
        <v>0.15441381466281201</v>
      </c>
      <c r="AR148" s="1">
        <v>14.9797570850202</v>
      </c>
      <c r="AS148" s="1">
        <v>1.49797570850202</v>
      </c>
      <c r="AT148" s="1">
        <v>5</v>
      </c>
      <c r="AU148" s="1"/>
      <c r="AV148" s="1" t="s">
        <v>883</v>
      </c>
      <c r="AW148" s="1" t="s">
        <v>100</v>
      </c>
      <c r="AX148" s="1" t="s">
        <v>134</v>
      </c>
      <c r="AY148" s="1" t="s">
        <v>100</v>
      </c>
      <c r="AZ148" s="1" t="s">
        <v>99</v>
      </c>
      <c r="BA148" s="1" t="s">
        <v>100</v>
      </c>
      <c r="BB148" s="1" t="s">
        <v>119</v>
      </c>
      <c r="BC148" s="1" t="s">
        <v>96</v>
      </c>
      <c r="BD148" s="1" t="s">
        <v>120</v>
      </c>
      <c r="BE148" s="1" t="s">
        <v>100</v>
      </c>
      <c r="BF148" s="1" t="s">
        <v>137</v>
      </c>
      <c r="BG148" s="1" t="s">
        <v>100</v>
      </c>
      <c r="BH148" s="1" t="s">
        <v>147</v>
      </c>
      <c r="BI148" t="s">
        <v>96</v>
      </c>
      <c r="BJ148" t="s">
        <v>212</v>
      </c>
      <c r="BK148" t="s">
        <v>96</v>
      </c>
      <c r="BL148" t="s">
        <v>105</v>
      </c>
      <c r="BN148" t="s">
        <v>177</v>
      </c>
      <c r="BO148" t="s">
        <v>98</v>
      </c>
      <c r="BP148" t="s">
        <v>124</v>
      </c>
      <c r="BQ148" t="s">
        <v>96</v>
      </c>
      <c r="BR148" t="s">
        <v>105</v>
      </c>
      <c r="BT148" t="s">
        <v>105</v>
      </c>
      <c r="BV148" t="s">
        <v>125</v>
      </c>
      <c r="BW148" t="s">
        <v>96</v>
      </c>
      <c r="BX148" t="s">
        <v>110</v>
      </c>
      <c r="BY148" t="s">
        <v>96</v>
      </c>
      <c r="BZ148" t="s">
        <v>127</v>
      </c>
      <c r="CA148" t="s">
        <v>100</v>
      </c>
      <c r="CB148" t="s">
        <v>105</v>
      </c>
      <c r="CD148">
        <v>0.6</v>
      </c>
      <c r="CE148" t="s">
        <v>96</v>
      </c>
      <c r="CF148">
        <v>0</v>
      </c>
      <c r="CG148" t="s">
        <v>96</v>
      </c>
      <c r="CH148">
        <v>3.1</v>
      </c>
      <c r="CI148" t="s">
        <v>100</v>
      </c>
      <c r="CJ148" t="s">
        <v>112</v>
      </c>
      <c r="CK148" t="s">
        <v>96</v>
      </c>
      <c r="CL148" t="s">
        <v>96</v>
      </c>
      <c r="CM148" t="s">
        <v>100</v>
      </c>
      <c r="CN148">
        <v>7.5</v>
      </c>
      <c r="CO148">
        <v>0</v>
      </c>
    </row>
    <row r="149" spans="1:93" x14ac:dyDescent="0.2">
      <c r="A149" s="3">
        <v>191</v>
      </c>
      <c r="B149" s="3" t="s">
        <v>884</v>
      </c>
      <c r="C149" s="3" t="s">
        <v>885</v>
      </c>
      <c r="D149" s="1"/>
      <c r="E149" s="1">
        <f t="shared" si="12"/>
        <v>6.4342831768581652</v>
      </c>
      <c r="F149" s="1">
        <f t="shared" si="13"/>
        <v>4.1399999999999997</v>
      </c>
      <c r="G149" s="1">
        <f t="shared" si="14"/>
        <v>10</v>
      </c>
      <c r="H149" s="1"/>
      <c r="I149" s="1">
        <v>49.3</v>
      </c>
      <c r="J149" s="1">
        <v>4.1399999999999997</v>
      </c>
      <c r="K149" s="1">
        <v>0</v>
      </c>
      <c r="L149" s="1">
        <v>0.7</v>
      </c>
      <c r="M149" s="1"/>
      <c r="N149" s="1"/>
      <c r="O149" s="1">
        <v>1</v>
      </c>
      <c r="P149" s="1">
        <v>0.5</v>
      </c>
      <c r="Q149" s="1">
        <v>0.6</v>
      </c>
      <c r="R149" s="1">
        <v>7.1428571428571104</v>
      </c>
      <c r="S149" s="1">
        <v>16.292990286164301</v>
      </c>
      <c r="T149" s="1">
        <v>16.2543335477929</v>
      </c>
      <c r="U149" s="1">
        <v>1.0861993524109499</v>
      </c>
      <c r="V149" s="1">
        <v>1.0836222365195201</v>
      </c>
      <c r="W149" s="1">
        <v>9.3309999999999995</v>
      </c>
      <c r="X149" s="1">
        <v>0.115</v>
      </c>
      <c r="Y149" s="1">
        <v>0.37323999999999902</v>
      </c>
      <c r="Z149" s="1">
        <v>0.23</v>
      </c>
      <c r="AA149" s="1">
        <v>20210222</v>
      </c>
      <c r="AB149" s="1"/>
      <c r="AC149" s="1">
        <v>62</v>
      </c>
      <c r="AD149" s="1"/>
      <c r="AE149" s="1">
        <v>62.5</v>
      </c>
      <c r="AF149" s="1"/>
      <c r="AG149" s="1">
        <v>61.92</v>
      </c>
      <c r="AH149" s="1"/>
      <c r="AI149" s="1"/>
      <c r="AJ149" s="1">
        <v>2.7692307692307701</v>
      </c>
      <c r="AK149" s="1">
        <v>3.75</v>
      </c>
      <c r="AL149" s="1">
        <v>6708</v>
      </c>
      <c r="AM149" s="1">
        <v>6679</v>
      </c>
      <c r="AN149" s="1">
        <v>34813.866999999998</v>
      </c>
      <c r="AO149" s="1">
        <v>6457</v>
      </c>
      <c r="AP149" s="1">
        <v>29</v>
      </c>
      <c r="AQ149" s="1">
        <v>0.833001401424323</v>
      </c>
      <c r="AR149" s="1">
        <v>3.8872541427907699</v>
      </c>
      <c r="AS149" s="1">
        <v>0.38872541427907598</v>
      </c>
      <c r="AT149" s="1">
        <v>2.8</v>
      </c>
      <c r="AU149" s="1"/>
      <c r="AV149" s="1" t="s">
        <v>886</v>
      </c>
      <c r="AW149" s="1" t="s">
        <v>96</v>
      </c>
      <c r="AX149" s="1" t="s">
        <v>474</v>
      </c>
      <c r="AY149" s="1" t="s">
        <v>100</v>
      </c>
      <c r="AZ149" s="1" t="s">
        <v>135</v>
      </c>
      <c r="BA149" s="1" t="s">
        <v>100</v>
      </c>
      <c r="BB149" s="1" t="s">
        <v>101</v>
      </c>
      <c r="BC149" s="1" t="s">
        <v>98</v>
      </c>
      <c r="BD149" s="1" t="s">
        <v>101</v>
      </c>
      <c r="BE149" s="1" t="s">
        <v>98</v>
      </c>
      <c r="BF149" s="1" t="s">
        <v>183</v>
      </c>
      <c r="BG149" s="1" t="s">
        <v>96</v>
      </c>
      <c r="BH149" s="1" t="s">
        <v>121</v>
      </c>
      <c r="BI149" t="s">
        <v>100</v>
      </c>
      <c r="BJ149" t="s">
        <v>736</v>
      </c>
      <c r="BK149" t="s">
        <v>98</v>
      </c>
      <c r="BL149" t="s">
        <v>105</v>
      </c>
      <c r="BN149" t="s">
        <v>300</v>
      </c>
      <c r="BO149" t="s">
        <v>100</v>
      </c>
      <c r="BP149" t="s">
        <v>227</v>
      </c>
      <c r="BQ149" t="s">
        <v>98</v>
      </c>
      <c r="BR149" t="s">
        <v>105</v>
      </c>
      <c r="BT149" t="s">
        <v>105</v>
      </c>
      <c r="BV149" t="s">
        <v>125</v>
      </c>
      <c r="BW149" t="s">
        <v>96</v>
      </c>
      <c r="BX149" t="s">
        <v>110</v>
      </c>
      <c r="BY149" t="s">
        <v>96</v>
      </c>
      <c r="BZ149" t="s">
        <v>141</v>
      </c>
      <c r="CA149" t="s">
        <v>96</v>
      </c>
      <c r="CB149" t="s">
        <v>105</v>
      </c>
      <c r="CD149">
        <v>0</v>
      </c>
      <c r="CE149" t="s">
        <v>96</v>
      </c>
      <c r="CF149">
        <v>0</v>
      </c>
      <c r="CG149" t="s">
        <v>96</v>
      </c>
      <c r="CH149">
        <v>1.9</v>
      </c>
      <c r="CI149" t="s">
        <v>96</v>
      </c>
      <c r="CJ149" t="s">
        <v>105</v>
      </c>
      <c r="CL149" t="s">
        <v>130</v>
      </c>
      <c r="CM149" t="s">
        <v>96</v>
      </c>
      <c r="CN149">
        <v>2</v>
      </c>
      <c r="CO149">
        <v>10</v>
      </c>
    </row>
    <row r="150" spans="1:93" x14ac:dyDescent="0.2">
      <c r="A150" s="3">
        <v>192</v>
      </c>
      <c r="B150" s="3" t="s">
        <v>887</v>
      </c>
      <c r="C150" s="3" t="s">
        <v>888</v>
      </c>
      <c r="D150" s="1"/>
      <c r="E150" s="1">
        <f t="shared" si="12"/>
        <v>9.7467943448089631</v>
      </c>
      <c r="F150" s="1">
        <f t="shared" si="13"/>
        <v>9.5</v>
      </c>
      <c r="G150" s="1">
        <f t="shared" si="14"/>
        <v>10</v>
      </c>
      <c r="H150" s="1"/>
      <c r="I150" s="1">
        <v>26.2</v>
      </c>
      <c r="J150" s="1">
        <v>8.76</v>
      </c>
      <c r="K150" s="1">
        <v>0.1</v>
      </c>
      <c r="L150" s="1">
        <v>0.6</v>
      </c>
      <c r="M150" s="1"/>
      <c r="N150" s="1"/>
      <c r="O150" s="1">
        <v>0.8</v>
      </c>
      <c r="P150" s="1"/>
      <c r="Q150" s="1">
        <v>0.5</v>
      </c>
      <c r="R150" s="1">
        <v>4.7619047619047397</v>
      </c>
      <c r="S150" s="1">
        <v>-67.833431818971803</v>
      </c>
      <c r="T150" s="1">
        <v>-68.552387361474402</v>
      </c>
      <c r="U150" s="1">
        <v>0</v>
      </c>
      <c r="V150" s="1">
        <v>0</v>
      </c>
      <c r="W150" s="1">
        <v>0.63500000000000001</v>
      </c>
      <c r="X150" s="1">
        <v>4.9000000000000002E-2</v>
      </c>
      <c r="Y150" s="1">
        <v>2.5399999999999399E-2</v>
      </c>
      <c r="Z150" s="1">
        <v>9.8000000000000795E-2</v>
      </c>
      <c r="AA150" s="1">
        <v>20210222</v>
      </c>
      <c r="AB150" s="1"/>
      <c r="AC150" s="1">
        <v>26.11</v>
      </c>
      <c r="AD150" s="1"/>
      <c r="AE150" s="1">
        <v>25</v>
      </c>
      <c r="AF150" s="1"/>
      <c r="AG150" s="1">
        <v>26.28</v>
      </c>
      <c r="AH150" s="1"/>
      <c r="AI150" s="1"/>
      <c r="AJ150" s="1">
        <v>8.2907692307692304</v>
      </c>
      <c r="AK150" s="1">
        <v>7.5</v>
      </c>
      <c r="AL150" s="1">
        <v>1888</v>
      </c>
      <c r="AM150" s="1">
        <v>1888</v>
      </c>
      <c r="AN150" s="1">
        <v>43849.269</v>
      </c>
      <c r="AO150" s="1">
        <v>1864</v>
      </c>
      <c r="AP150" s="1">
        <v>0</v>
      </c>
      <c r="AQ150" s="1">
        <v>0</v>
      </c>
      <c r="AR150" s="1">
        <v>1.28755364806867</v>
      </c>
      <c r="AS150" s="1">
        <v>0.128755364806866</v>
      </c>
      <c r="AT150" s="1">
        <v>5.8</v>
      </c>
      <c r="AU150" s="1"/>
      <c r="AV150" s="1" t="s">
        <v>889</v>
      </c>
      <c r="AW150" s="1" t="s">
        <v>96</v>
      </c>
      <c r="AX150" s="1" t="s">
        <v>558</v>
      </c>
      <c r="AY150" s="1" t="s">
        <v>100</v>
      </c>
      <c r="AZ150" s="1" t="s">
        <v>118</v>
      </c>
      <c r="BA150" s="1" t="s">
        <v>100</v>
      </c>
      <c r="BB150" s="1" t="s">
        <v>101</v>
      </c>
      <c r="BC150" s="1" t="s">
        <v>98</v>
      </c>
      <c r="BD150" s="1" t="s">
        <v>101</v>
      </c>
      <c r="BE150" s="1" t="s">
        <v>98</v>
      </c>
      <c r="BF150" s="1" t="s">
        <v>137</v>
      </c>
      <c r="BG150" s="1" t="s">
        <v>100</v>
      </c>
      <c r="BH150" s="1" t="s">
        <v>103</v>
      </c>
      <c r="BI150" t="s">
        <v>98</v>
      </c>
      <c r="BJ150" t="s">
        <v>890</v>
      </c>
      <c r="BK150" t="s">
        <v>98</v>
      </c>
      <c r="BL150" t="s">
        <v>891</v>
      </c>
      <c r="BM150" t="s">
        <v>98</v>
      </c>
      <c r="BN150" t="s">
        <v>892</v>
      </c>
      <c r="BO150" t="s">
        <v>98</v>
      </c>
      <c r="BP150" t="s">
        <v>227</v>
      </c>
      <c r="BQ150" t="s">
        <v>98</v>
      </c>
      <c r="BR150" t="s">
        <v>893</v>
      </c>
      <c r="BS150" t="s">
        <v>98</v>
      </c>
      <c r="BT150" t="s">
        <v>105</v>
      </c>
      <c r="BV150" t="s">
        <v>109</v>
      </c>
      <c r="BW150" t="s">
        <v>100</v>
      </c>
      <c r="BX150" t="s">
        <v>200</v>
      </c>
      <c r="BY150" t="s">
        <v>100</v>
      </c>
      <c r="BZ150" t="s">
        <v>127</v>
      </c>
      <c r="CA150" t="s">
        <v>100</v>
      </c>
      <c r="CB150" t="s">
        <v>570</v>
      </c>
      <c r="CC150" t="s">
        <v>98</v>
      </c>
      <c r="CD150">
        <v>0</v>
      </c>
      <c r="CE150" t="s">
        <v>96</v>
      </c>
      <c r="CF150">
        <v>0</v>
      </c>
      <c r="CG150" t="s">
        <v>96</v>
      </c>
      <c r="CH150">
        <v>4.5</v>
      </c>
      <c r="CI150" t="s">
        <v>100</v>
      </c>
      <c r="CJ150" t="s">
        <v>129</v>
      </c>
      <c r="CK150" t="s">
        <v>98</v>
      </c>
      <c r="CL150" t="s">
        <v>98</v>
      </c>
      <c r="CM150" t="s">
        <v>98</v>
      </c>
      <c r="CN150">
        <v>9.5</v>
      </c>
      <c r="CO150">
        <v>10</v>
      </c>
    </row>
    <row r="151" spans="1:93" x14ac:dyDescent="0.2">
      <c r="A151" s="3">
        <v>193</v>
      </c>
      <c r="B151" s="3" t="s">
        <v>894</v>
      </c>
      <c r="C151" s="3" t="s">
        <v>895</v>
      </c>
      <c r="D151" s="1"/>
      <c r="E151" s="1">
        <f t="shared" si="12"/>
        <v>8.8034084308295046</v>
      </c>
      <c r="F151" s="1">
        <f t="shared" si="13"/>
        <v>7.75</v>
      </c>
      <c r="G151" s="1">
        <f t="shared" si="14"/>
        <v>10</v>
      </c>
      <c r="H151" s="1"/>
      <c r="I151" s="1">
        <v>37.9</v>
      </c>
      <c r="J151" s="1">
        <v>6.42</v>
      </c>
      <c r="K151" s="1">
        <v>0</v>
      </c>
      <c r="L151" s="1">
        <v>0.7</v>
      </c>
      <c r="M151" s="1"/>
      <c r="N151" s="1"/>
      <c r="O151" s="1">
        <v>0.8</v>
      </c>
      <c r="P151" s="1">
        <v>0.4</v>
      </c>
      <c r="Q151" s="1">
        <v>0.5</v>
      </c>
      <c r="R151" s="1">
        <v>4.7619047619047397</v>
      </c>
      <c r="S151" s="1">
        <v>19.776092452148799</v>
      </c>
      <c r="T151" s="1">
        <v>2.55161561755716</v>
      </c>
      <c r="U151" s="1">
        <v>1.31840616347658</v>
      </c>
      <c r="V151" s="1">
        <v>0.17010770783714299</v>
      </c>
      <c r="W151" s="1">
        <v>16.381</v>
      </c>
      <c r="X151" s="1">
        <v>0.51200000000000001</v>
      </c>
      <c r="Y151" s="1">
        <v>0.65524000000000104</v>
      </c>
      <c r="Z151" s="1">
        <v>1.024</v>
      </c>
      <c r="AA151" s="1">
        <v>20210222</v>
      </c>
      <c r="AB151" s="1"/>
      <c r="AC151" s="1">
        <v>45.28</v>
      </c>
      <c r="AD151" s="1"/>
      <c r="AE151" s="1">
        <v>0</v>
      </c>
      <c r="AF151" s="1"/>
      <c r="AG151" s="1">
        <v>52.24</v>
      </c>
      <c r="AH151" s="1"/>
      <c r="AI151" s="1"/>
      <c r="AJ151" s="1">
        <v>5.3415384615384598</v>
      </c>
      <c r="AK151" s="1">
        <v>10</v>
      </c>
      <c r="AL151" s="1">
        <v>1246</v>
      </c>
      <c r="AM151" s="1">
        <v>1194</v>
      </c>
      <c r="AN151" s="1">
        <v>16743.93</v>
      </c>
      <c r="AO151" s="1">
        <v>795</v>
      </c>
      <c r="AP151" s="1">
        <v>52</v>
      </c>
      <c r="AQ151" s="1">
        <v>3.1056030454021299</v>
      </c>
      <c r="AR151" s="1">
        <v>56.729559748427697</v>
      </c>
      <c r="AS151" s="1">
        <v>5.67295597484277</v>
      </c>
      <c r="AT151" s="1">
        <v>5.0999999999999996</v>
      </c>
      <c r="AU151" s="1"/>
      <c r="AV151" s="1" t="s">
        <v>896</v>
      </c>
      <c r="AW151" s="1" t="s">
        <v>100</v>
      </c>
      <c r="AX151" s="1" t="s">
        <v>515</v>
      </c>
      <c r="AY151" s="1" t="s">
        <v>100</v>
      </c>
      <c r="AZ151" s="1" t="s">
        <v>135</v>
      </c>
      <c r="BA151" s="1" t="s">
        <v>100</v>
      </c>
      <c r="BB151" s="1" t="s">
        <v>101</v>
      </c>
      <c r="BC151" s="1" t="s">
        <v>98</v>
      </c>
      <c r="BD151" s="1" t="s">
        <v>136</v>
      </c>
      <c r="BE151" s="1" t="s">
        <v>100</v>
      </c>
      <c r="BF151" s="1" t="s">
        <v>102</v>
      </c>
      <c r="BG151" s="1" t="s">
        <v>98</v>
      </c>
      <c r="BH151" s="1" t="s">
        <v>103</v>
      </c>
      <c r="BI151" t="s">
        <v>98</v>
      </c>
      <c r="BJ151" t="s">
        <v>897</v>
      </c>
      <c r="BK151" t="s">
        <v>100</v>
      </c>
      <c r="BL151" t="s">
        <v>105</v>
      </c>
      <c r="BN151" t="s">
        <v>212</v>
      </c>
      <c r="BO151" t="s">
        <v>96</v>
      </c>
      <c r="BP151" t="s">
        <v>124</v>
      </c>
      <c r="BQ151" t="s">
        <v>96</v>
      </c>
      <c r="BR151" t="s">
        <v>898</v>
      </c>
      <c r="BS151" t="s">
        <v>100</v>
      </c>
      <c r="BT151" t="s">
        <v>105</v>
      </c>
      <c r="BV151" t="s">
        <v>125</v>
      </c>
      <c r="BW151" t="s">
        <v>96</v>
      </c>
      <c r="BX151" t="s">
        <v>110</v>
      </c>
      <c r="BY151" t="s">
        <v>96</v>
      </c>
      <c r="BZ151" t="s">
        <v>127</v>
      </c>
      <c r="CA151" t="s">
        <v>100</v>
      </c>
      <c r="CB151" t="s">
        <v>105</v>
      </c>
      <c r="CD151">
        <v>0</v>
      </c>
      <c r="CE151" t="s">
        <v>96</v>
      </c>
      <c r="CF151">
        <v>0</v>
      </c>
      <c r="CG151" t="s">
        <v>96</v>
      </c>
      <c r="CH151">
        <v>2.5</v>
      </c>
      <c r="CI151" t="s">
        <v>100</v>
      </c>
      <c r="CJ151" t="s">
        <v>112</v>
      </c>
      <c r="CK151" t="s">
        <v>96</v>
      </c>
      <c r="CL151" t="s">
        <v>96</v>
      </c>
      <c r="CM151" t="s">
        <v>100</v>
      </c>
      <c r="CN151">
        <v>7.75</v>
      </c>
      <c r="CO151">
        <v>10</v>
      </c>
    </row>
    <row r="152" spans="1:93" x14ac:dyDescent="0.2">
      <c r="A152" s="3">
        <v>194</v>
      </c>
      <c r="B152" s="3" t="s">
        <v>899</v>
      </c>
      <c r="C152" s="3" t="s">
        <v>900</v>
      </c>
      <c r="D152" s="1"/>
      <c r="E152" s="1">
        <f t="shared" si="12"/>
        <v>2.3196879921559184</v>
      </c>
      <c r="F152" s="1">
        <f t="shared" si="13"/>
        <v>2.2599999999999998</v>
      </c>
      <c r="G152" s="1">
        <f t="shared" si="14"/>
        <v>2.3809523809523698</v>
      </c>
      <c r="H152" s="1"/>
      <c r="I152" s="1">
        <v>58.7</v>
      </c>
      <c r="J152" s="1">
        <v>2.2599999999999998</v>
      </c>
      <c r="K152" s="1">
        <v>0</v>
      </c>
      <c r="L152" s="1">
        <v>0.7</v>
      </c>
      <c r="M152" s="1"/>
      <c r="N152" s="1"/>
      <c r="O152" s="1">
        <v>0.5</v>
      </c>
      <c r="P152" s="1">
        <v>0.5</v>
      </c>
      <c r="Q152" s="1">
        <v>0.4</v>
      </c>
      <c r="R152" s="1">
        <v>2.3809523809523698</v>
      </c>
      <c r="S152" s="1">
        <v>0.01</v>
      </c>
      <c r="T152" s="1">
        <v>0.01</v>
      </c>
      <c r="U152" s="1">
        <v>6.6666666666748099E-4</v>
      </c>
      <c r="V152" s="1">
        <v>6.6666666666748099E-4</v>
      </c>
      <c r="W152" s="1">
        <v>1.6850000000000001</v>
      </c>
      <c r="X152" s="1">
        <v>0</v>
      </c>
      <c r="Y152" s="1">
        <v>6.7399999999999197E-2</v>
      </c>
      <c r="Z152" s="1">
        <v>0</v>
      </c>
      <c r="AA152" s="1">
        <v>20210222</v>
      </c>
      <c r="AB152" s="1">
        <v>66.56</v>
      </c>
      <c r="AC152" s="1">
        <v>66.56</v>
      </c>
      <c r="AD152" s="1">
        <v>100</v>
      </c>
      <c r="AE152" s="1">
        <v>100</v>
      </c>
      <c r="AF152" s="1">
        <v>61.41</v>
      </c>
      <c r="AG152" s="1">
        <v>61.41</v>
      </c>
      <c r="AH152" s="1">
        <v>2</v>
      </c>
      <c r="AI152" s="1">
        <v>1</v>
      </c>
      <c r="AJ152" s="1">
        <v>2.0676923076923099</v>
      </c>
      <c r="AK152" s="1">
        <v>0</v>
      </c>
      <c r="AL152" s="1">
        <v>29</v>
      </c>
      <c r="AM152" s="1">
        <v>29</v>
      </c>
      <c r="AN152" s="1">
        <v>5850.3429999999998</v>
      </c>
      <c r="AO152" s="1">
        <v>29</v>
      </c>
      <c r="AP152" s="1">
        <v>0</v>
      </c>
      <c r="AQ152" s="1">
        <v>0</v>
      </c>
      <c r="AR152" s="1">
        <v>0</v>
      </c>
      <c r="AS152" s="1">
        <v>0</v>
      </c>
      <c r="AT152" s="1">
        <v>2.5</v>
      </c>
      <c r="AU152" s="1"/>
      <c r="AV152" s="1" t="s">
        <v>901</v>
      </c>
      <c r="AW152" s="1" t="s">
        <v>96</v>
      </c>
      <c r="AX152" s="1" t="s">
        <v>701</v>
      </c>
      <c r="AY152" s="1" t="s">
        <v>100</v>
      </c>
      <c r="AZ152" s="1" t="s">
        <v>135</v>
      </c>
      <c r="BA152" s="1" t="s">
        <v>100</v>
      </c>
      <c r="BB152" s="1" t="s">
        <v>101</v>
      </c>
      <c r="BC152" s="1" t="s">
        <v>98</v>
      </c>
      <c r="BD152" s="1" t="s">
        <v>120</v>
      </c>
      <c r="BE152" s="1" t="s">
        <v>100</v>
      </c>
      <c r="BF152" s="1" t="s">
        <v>183</v>
      </c>
      <c r="BG152" s="1" t="s">
        <v>96</v>
      </c>
      <c r="BH152" s="1" t="s">
        <v>147</v>
      </c>
      <c r="BI152" t="s">
        <v>96</v>
      </c>
      <c r="BJ152" t="s">
        <v>328</v>
      </c>
      <c r="BK152" t="s">
        <v>98</v>
      </c>
      <c r="BL152" t="s">
        <v>192</v>
      </c>
      <c r="BM152" t="s">
        <v>96</v>
      </c>
      <c r="BN152" t="s">
        <v>832</v>
      </c>
      <c r="BO152" t="s">
        <v>100</v>
      </c>
      <c r="BP152" t="s">
        <v>124</v>
      </c>
      <c r="BQ152" t="s">
        <v>96</v>
      </c>
      <c r="BR152" t="s">
        <v>105</v>
      </c>
      <c r="BT152" t="s">
        <v>105</v>
      </c>
      <c r="BV152" t="s">
        <v>125</v>
      </c>
      <c r="BW152" t="s">
        <v>96</v>
      </c>
      <c r="BX152" t="s">
        <v>110</v>
      </c>
      <c r="BY152" t="s">
        <v>96</v>
      </c>
      <c r="BZ152" t="s">
        <v>141</v>
      </c>
      <c r="CA152" t="s">
        <v>96</v>
      </c>
      <c r="CB152" t="s">
        <v>105</v>
      </c>
      <c r="CD152">
        <v>0.1</v>
      </c>
      <c r="CE152" t="s">
        <v>96</v>
      </c>
      <c r="CF152">
        <v>0</v>
      </c>
      <c r="CG152" t="s">
        <v>96</v>
      </c>
      <c r="CH152">
        <v>0</v>
      </c>
      <c r="CI152" t="s">
        <v>96</v>
      </c>
      <c r="CJ152" t="s">
        <v>105</v>
      </c>
      <c r="CL152" t="s">
        <v>130</v>
      </c>
      <c r="CM152" t="s">
        <v>96</v>
      </c>
      <c r="CN152">
        <v>1.25</v>
      </c>
      <c r="CO152">
        <v>0</v>
      </c>
    </row>
    <row r="153" spans="1:93" x14ac:dyDescent="0.2">
      <c r="A153" s="3">
        <v>195</v>
      </c>
      <c r="B153" s="3" t="s">
        <v>902</v>
      </c>
      <c r="C153" s="3" t="s">
        <v>903</v>
      </c>
      <c r="D153" s="1"/>
      <c r="E153" s="1">
        <f t="shared" si="12"/>
        <v>8.8051086569978469</v>
      </c>
      <c r="F153" s="1">
        <f t="shared" si="13"/>
        <v>9.86</v>
      </c>
      <c r="G153" s="1">
        <f t="shared" si="14"/>
        <v>7.8630769230769202</v>
      </c>
      <c r="H153" s="1"/>
      <c r="I153" s="1">
        <v>20.7</v>
      </c>
      <c r="J153" s="1">
        <v>9.86</v>
      </c>
      <c r="K153" s="1"/>
      <c r="L153" s="1">
        <v>0</v>
      </c>
      <c r="M153" s="1"/>
      <c r="N153" s="1"/>
      <c r="O153" s="1">
        <v>1</v>
      </c>
      <c r="P153" s="1"/>
      <c r="Q153" s="1">
        <v>0.5</v>
      </c>
      <c r="R153" s="1">
        <v>4.7619047619047397</v>
      </c>
      <c r="S153" s="1"/>
      <c r="T153" s="1"/>
      <c r="U153" s="1"/>
      <c r="V153" s="1"/>
      <c r="W153" s="1">
        <v>0</v>
      </c>
      <c r="X153" s="1">
        <v>0</v>
      </c>
      <c r="Y153" s="1">
        <v>0</v>
      </c>
      <c r="Z153" s="1">
        <v>0</v>
      </c>
      <c r="AA153" s="1">
        <v>20210222</v>
      </c>
      <c r="AB153" s="1">
        <v>28.89</v>
      </c>
      <c r="AC153" s="1">
        <v>28.89</v>
      </c>
      <c r="AD153" s="1">
        <v>0</v>
      </c>
      <c r="AE153" s="1">
        <v>0</v>
      </c>
      <c r="AF153" s="1">
        <v>33.33</v>
      </c>
      <c r="AG153" s="1">
        <v>33.33</v>
      </c>
      <c r="AH153" s="1">
        <v>0</v>
      </c>
      <c r="AI153" s="1"/>
      <c r="AJ153" s="1">
        <v>7.8630769230769202</v>
      </c>
      <c r="AK153" s="1">
        <v>10</v>
      </c>
      <c r="AL153" s="1"/>
      <c r="AM153" s="1"/>
      <c r="AN153" s="1"/>
      <c r="AO153" s="1"/>
      <c r="AP153" s="1"/>
      <c r="AQ153" s="1"/>
      <c r="AR153" s="1"/>
      <c r="AS153" s="1"/>
      <c r="AT153" s="1">
        <v>5.6</v>
      </c>
      <c r="AU153" s="1"/>
      <c r="AV153" s="1" t="s">
        <v>533</v>
      </c>
      <c r="AW153" s="1" t="s">
        <v>96</v>
      </c>
      <c r="AX153" s="1" t="s">
        <v>363</v>
      </c>
      <c r="AY153" s="1" t="s">
        <v>100</v>
      </c>
      <c r="AZ153" s="1" t="s">
        <v>174</v>
      </c>
      <c r="BA153" s="1" t="s">
        <v>96</v>
      </c>
      <c r="BB153" s="1" t="s">
        <v>146</v>
      </c>
      <c r="BC153" s="1" t="s">
        <v>100</v>
      </c>
      <c r="BD153" s="1" t="s">
        <v>120</v>
      </c>
      <c r="BE153" s="1" t="s">
        <v>100</v>
      </c>
      <c r="BF153" s="1" t="s">
        <v>137</v>
      </c>
      <c r="BG153" s="1" t="s">
        <v>100</v>
      </c>
      <c r="BH153" s="1" t="s">
        <v>121</v>
      </c>
      <c r="BI153" t="s">
        <v>100</v>
      </c>
      <c r="BJ153" t="s">
        <v>104</v>
      </c>
      <c r="BK153" t="s">
        <v>98</v>
      </c>
      <c r="BL153" t="s">
        <v>105</v>
      </c>
      <c r="BN153" t="s">
        <v>766</v>
      </c>
      <c r="BO153" t="s">
        <v>100</v>
      </c>
      <c r="BP153" t="s">
        <v>124</v>
      </c>
      <c r="BQ153" t="s">
        <v>96</v>
      </c>
      <c r="BR153" t="s">
        <v>105</v>
      </c>
      <c r="BT153" t="s">
        <v>105</v>
      </c>
      <c r="BV153" t="s">
        <v>125</v>
      </c>
      <c r="BW153" t="s">
        <v>96</v>
      </c>
      <c r="BX153" t="s">
        <v>904</v>
      </c>
      <c r="BY153" t="s">
        <v>98</v>
      </c>
      <c r="BZ153" t="s">
        <v>253</v>
      </c>
      <c r="CA153" t="s">
        <v>98</v>
      </c>
      <c r="CB153" t="s">
        <v>105</v>
      </c>
      <c r="CD153">
        <v>0.1</v>
      </c>
      <c r="CE153" t="s">
        <v>96</v>
      </c>
      <c r="CF153">
        <v>4.0999999999999996</v>
      </c>
      <c r="CG153" t="s">
        <v>100</v>
      </c>
      <c r="CH153">
        <v>0.8</v>
      </c>
      <c r="CI153" t="s">
        <v>96</v>
      </c>
      <c r="CJ153" t="s">
        <v>105</v>
      </c>
      <c r="CL153" t="s">
        <v>130</v>
      </c>
      <c r="CM153" t="s">
        <v>96</v>
      </c>
      <c r="CN153">
        <v>9</v>
      </c>
      <c r="CO153">
        <v>0</v>
      </c>
    </row>
    <row r="154" spans="1:93" x14ac:dyDescent="0.2">
      <c r="A154" s="3">
        <v>196</v>
      </c>
      <c r="B154" s="3" t="s">
        <v>905</v>
      </c>
      <c r="C154" s="3" t="s">
        <v>906</v>
      </c>
      <c r="D154" s="1"/>
      <c r="E154" s="1">
        <f t="shared" si="12"/>
        <v>10</v>
      </c>
      <c r="F154" s="1">
        <f t="shared" si="13"/>
        <v>10</v>
      </c>
      <c r="G154" s="1">
        <f t="shared" si="14"/>
        <v>10</v>
      </c>
      <c r="H154" s="1"/>
      <c r="I154" s="1">
        <v>38.200000000000003</v>
      </c>
      <c r="J154" s="1">
        <v>6.36</v>
      </c>
      <c r="K154" s="1">
        <v>0.8</v>
      </c>
      <c r="L154" s="1">
        <v>0.7</v>
      </c>
      <c r="M154" s="1"/>
      <c r="N154" s="1"/>
      <c r="O154" s="1">
        <v>1</v>
      </c>
      <c r="P154" s="1"/>
      <c r="Q154" s="1">
        <v>0.8</v>
      </c>
      <c r="R154" s="1">
        <v>10</v>
      </c>
      <c r="S154" s="1">
        <v>-100</v>
      </c>
      <c r="T154" s="1">
        <v>-88.462634203485294</v>
      </c>
      <c r="U154" s="1">
        <v>0</v>
      </c>
      <c r="V154" s="1">
        <v>0</v>
      </c>
      <c r="W154" s="1">
        <v>0.60899999999999999</v>
      </c>
      <c r="X154" s="1">
        <v>0</v>
      </c>
      <c r="Y154" s="1">
        <v>2.4359999999999701E-2</v>
      </c>
      <c r="Z154" s="1">
        <v>0</v>
      </c>
      <c r="AA154" s="1">
        <v>20210222</v>
      </c>
      <c r="AB154" s="1"/>
      <c r="AC154" s="1">
        <v>50</v>
      </c>
      <c r="AD154" s="1"/>
      <c r="AE154" s="1">
        <v>0</v>
      </c>
      <c r="AF154" s="1"/>
      <c r="AG154" s="1">
        <v>57.69</v>
      </c>
      <c r="AH154" s="1"/>
      <c r="AI154" s="1"/>
      <c r="AJ154" s="1">
        <v>4.6153846153846203</v>
      </c>
      <c r="AK154" s="1">
        <v>10</v>
      </c>
      <c r="AL154" s="1">
        <v>79</v>
      </c>
      <c r="AM154" s="1">
        <v>79</v>
      </c>
      <c r="AN154" s="1">
        <v>7976.9849999999997</v>
      </c>
      <c r="AO154" s="1">
        <v>79</v>
      </c>
      <c r="AP154" s="1">
        <v>0</v>
      </c>
      <c r="AQ154" s="1">
        <v>0</v>
      </c>
      <c r="AR154" s="1">
        <v>0</v>
      </c>
      <c r="AS154" s="1">
        <v>0</v>
      </c>
      <c r="AT154" s="1">
        <v>6.1</v>
      </c>
      <c r="AU154" s="1"/>
      <c r="AV154" s="1" t="s">
        <v>445</v>
      </c>
      <c r="AW154" s="1" t="s">
        <v>96</v>
      </c>
      <c r="AX154" s="1" t="s">
        <v>510</v>
      </c>
      <c r="AY154" s="1" t="s">
        <v>100</v>
      </c>
      <c r="AZ154" s="1" t="s">
        <v>99</v>
      </c>
      <c r="BA154" s="1" t="s">
        <v>100</v>
      </c>
      <c r="BB154" s="1" t="s">
        <v>101</v>
      </c>
      <c r="BC154" s="1" t="s">
        <v>98</v>
      </c>
      <c r="BD154" s="1" t="s">
        <v>101</v>
      </c>
      <c r="BE154" s="1" t="s">
        <v>98</v>
      </c>
      <c r="BF154" s="1" t="s">
        <v>102</v>
      </c>
      <c r="BG154" s="1" t="s">
        <v>98</v>
      </c>
      <c r="BH154" s="1" t="s">
        <v>103</v>
      </c>
      <c r="BI154" t="s">
        <v>98</v>
      </c>
      <c r="BJ154" t="s">
        <v>907</v>
      </c>
      <c r="BK154" t="s">
        <v>98</v>
      </c>
      <c r="BL154" t="s">
        <v>105</v>
      </c>
      <c r="BN154" t="s">
        <v>908</v>
      </c>
      <c r="BO154" t="s">
        <v>98</v>
      </c>
      <c r="BP154" t="s">
        <v>124</v>
      </c>
      <c r="BQ154" t="s">
        <v>96</v>
      </c>
      <c r="BR154" t="s">
        <v>909</v>
      </c>
      <c r="BS154" t="s">
        <v>98</v>
      </c>
      <c r="BT154" t="s">
        <v>105</v>
      </c>
      <c r="BV154" t="s">
        <v>125</v>
      </c>
      <c r="BW154" t="s">
        <v>96</v>
      </c>
      <c r="BX154" t="s">
        <v>126</v>
      </c>
      <c r="BY154" t="s">
        <v>100</v>
      </c>
      <c r="BZ154" t="s">
        <v>141</v>
      </c>
      <c r="CA154" t="s">
        <v>96</v>
      </c>
      <c r="CB154" t="s">
        <v>105</v>
      </c>
      <c r="CD154">
        <v>0</v>
      </c>
      <c r="CE154" t="s">
        <v>96</v>
      </c>
      <c r="CF154">
        <v>0</v>
      </c>
      <c r="CG154" t="s">
        <v>96</v>
      </c>
      <c r="CH154">
        <v>0</v>
      </c>
      <c r="CI154" t="s">
        <v>96</v>
      </c>
      <c r="CJ154" t="s">
        <v>112</v>
      </c>
      <c r="CK154" t="s">
        <v>96</v>
      </c>
      <c r="CL154" t="s">
        <v>130</v>
      </c>
      <c r="CM154" t="s">
        <v>96</v>
      </c>
      <c r="CN154">
        <v>10</v>
      </c>
      <c r="CO154">
        <v>0</v>
      </c>
    </row>
    <row r="155" spans="1:93" x14ac:dyDescent="0.2">
      <c r="A155" s="3">
        <v>197</v>
      </c>
      <c r="B155" s="3" t="s">
        <v>910</v>
      </c>
      <c r="C155" s="3" t="s">
        <v>911</v>
      </c>
      <c r="D155" s="1"/>
      <c r="E155" s="1">
        <f t="shared" si="12"/>
        <v>6.2678317052800727</v>
      </c>
      <c r="F155" s="1">
        <f t="shared" si="13"/>
        <v>5.5</v>
      </c>
      <c r="G155" s="1">
        <f t="shared" si="14"/>
        <v>7.1428571428571104</v>
      </c>
      <c r="H155" s="1"/>
      <c r="I155" s="1">
        <v>44.2</v>
      </c>
      <c r="J155" s="1">
        <v>5.16</v>
      </c>
      <c r="K155" s="1">
        <v>0</v>
      </c>
      <c r="L155" s="1">
        <v>0.6</v>
      </c>
      <c r="M155" s="1"/>
      <c r="N155" s="1"/>
      <c r="O155" s="1">
        <v>1</v>
      </c>
      <c r="P155" s="1">
        <v>0.7</v>
      </c>
      <c r="Q155" s="1">
        <v>0.6</v>
      </c>
      <c r="R155" s="1">
        <v>7.1428571428571104</v>
      </c>
      <c r="S155" s="1">
        <v>-3.9837689064799799</v>
      </c>
      <c r="T155" s="1">
        <v>-35.771286106938902</v>
      </c>
      <c r="U155" s="1">
        <v>0</v>
      </c>
      <c r="V155" s="1">
        <v>0</v>
      </c>
      <c r="W155" s="1">
        <v>24.623999999999999</v>
      </c>
      <c r="X155" s="1">
        <v>1.2549999999999999</v>
      </c>
      <c r="Y155" s="1">
        <v>0.98496000000000095</v>
      </c>
      <c r="Z155" s="1">
        <v>2.5099999999999998</v>
      </c>
      <c r="AA155" s="1">
        <v>20210222</v>
      </c>
      <c r="AB155" s="1"/>
      <c r="AC155" s="1">
        <v>51.11</v>
      </c>
      <c r="AD155" s="1"/>
      <c r="AE155" s="1">
        <v>75</v>
      </c>
      <c r="AF155" s="1"/>
      <c r="AG155" s="1">
        <v>47.44</v>
      </c>
      <c r="AH155" s="1"/>
      <c r="AI155" s="1"/>
      <c r="AJ155" s="1">
        <v>4.4446153846153802</v>
      </c>
      <c r="AK155" s="1">
        <v>2.5</v>
      </c>
      <c r="AL155" s="1">
        <v>2131</v>
      </c>
      <c r="AM155" s="1">
        <v>2092</v>
      </c>
      <c r="AN155" s="1">
        <v>6486.201</v>
      </c>
      <c r="AO155" s="1">
        <v>1792</v>
      </c>
      <c r="AP155" s="1">
        <v>39</v>
      </c>
      <c r="AQ155" s="1">
        <v>6.0127646368035803</v>
      </c>
      <c r="AR155" s="1">
        <v>18.917410714285701</v>
      </c>
      <c r="AS155" s="1">
        <v>1.8917410714285701</v>
      </c>
      <c r="AT155" s="1">
        <v>4.2</v>
      </c>
      <c r="AU155" s="1"/>
      <c r="AV155" s="1" t="s">
        <v>912</v>
      </c>
      <c r="AW155" s="1" t="s">
        <v>100</v>
      </c>
      <c r="AX155" s="1" t="s">
        <v>304</v>
      </c>
      <c r="AY155" s="1" t="s">
        <v>100</v>
      </c>
      <c r="AZ155" s="1" t="s">
        <v>135</v>
      </c>
      <c r="BA155" s="1" t="s">
        <v>100</v>
      </c>
      <c r="BB155" s="1" t="s">
        <v>146</v>
      </c>
      <c r="BC155" s="1" t="s">
        <v>100</v>
      </c>
      <c r="BD155" s="1" t="s">
        <v>120</v>
      </c>
      <c r="BE155" s="1" t="s">
        <v>100</v>
      </c>
      <c r="BF155" s="1" t="s">
        <v>137</v>
      </c>
      <c r="BG155" s="1" t="s">
        <v>100</v>
      </c>
      <c r="BH155" s="1" t="s">
        <v>147</v>
      </c>
      <c r="BI155" t="s">
        <v>96</v>
      </c>
      <c r="BJ155" t="s">
        <v>552</v>
      </c>
      <c r="BK155" t="s">
        <v>98</v>
      </c>
      <c r="BL155" t="s">
        <v>913</v>
      </c>
      <c r="BM155" t="s">
        <v>100</v>
      </c>
      <c r="BN155" t="s">
        <v>464</v>
      </c>
      <c r="BO155" t="s">
        <v>96</v>
      </c>
      <c r="BP155" t="s">
        <v>227</v>
      </c>
      <c r="BQ155" t="s">
        <v>98</v>
      </c>
      <c r="BR155" t="s">
        <v>105</v>
      </c>
      <c r="BT155" t="s">
        <v>105</v>
      </c>
      <c r="BV155" t="s">
        <v>125</v>
      </c>
      <c r="BW155" t="s">
        <v>96</v>
      </c>
      <c r="BX155" t="s">
        <v>110</v>
      </c>
      <c r="BY155" t="s">
        <v>96</v>
      </c>
      <c r="BZ155" t="s">
        <v>253</v>
      </c>
      <c r="CA155" t="s">
        <v>98</v>
      </c>
      <c r="CB155" t="s">
        <v>914</v>
      </c>
      <c r="CC155" t="s">
        <v>98</v>
      </c>
      <c r="CD155">
        <v>0</v>
      </c>
      <c r="CE155" t="s">
        <v>96</v>
      </c>
      <c r="CF155">
        <v>0</v>
      </c>
      <c r="CG155" t="s">
        <v>96</v>
      </c>
      <c r="CH155">
        <v>3.2</v>
      </c>
      <c r="CI155" t="s">
        <v>100</v>
      </c>
      <c r="CJ155" t="s">
        <v>112</v>
      </c>
      <c r="CK155" t="s">
        <v>96</v>
      </c>
      <c r="CL155" t="s">
        <v>100</v>
      </c>
      <c r="CM155" t="s">
        <v>100</v>
      </c>
      <c r="CN155">
        <v>5.5</v>
      </c>
      <c r="CO155">
        <v>0</v>
      </c>
    </row>
    <row r="156" spans="1:93" x14ac:dyDescent="0.2">
      <c r="A156" s="3">
        <v>198</v>
      </c>
      <c r="B156" s="3" t="s">
        <v>915</v>
      </c>
      <c r="C156" s="3" t="s">
        <v>916</v>
      </c>
      <c r="D156" s="1"/>
      <c r="E156" s="1">
        <f t="shared" si="12"/>
        <v>10</v>
      </c>
      <c r="F156" s="1">
        <f t="shared" si="13"/>
        <v>10</v>
      </c>
      <c r="G156" s="1">
        <f t="shared" si="14"/>
        <v>10</v>
      </c>
      <c r="H156" s="1"/>
      <c r="I156" s="1">
        <v>16.600000000000001</v>
      </c>
      <c r="J156" s="1">
        <v>10</v>
      </c>
      <c r="K156" s="1">
        <v>0.9</v>
      </c>
      <c r="L156" s="1">
        <v>0.1</v>
      </c>
      <c r="M156" s="1"/>
      <c r="N156" s="1"/>
      <c r="O156" s="1">
        <v>1</v>
      </c>
      <c r="P156" s="1"/>
      <c r="Q156" s="1">
        <v>0.7</v>
      </c>
      <c r="R156" s="1">
        <v>9.5238095238094793</v>
      </c>
      <c r="S156" s="1">
        <v>1728.6324786324799</v>
      </c>
      <c r="T156" s="1">
        <v>1051.60728030063</v>
      </c>
      <c r="U156" s="1">
        <v>10</v>
      </c>
      <c r="V156" s="1">
        <v>10</v>
      </c>
      <c r="W156" s="1">
        <v>7.4960000000000004</v>
      </c>
      <c r="X156" s="1">
        <v>0.44900000000000001</v>
      </c>
      <c r="Y156" s="1">
        <v>0.29984</v>
      </c>
      <c r="Z156" s="1">
        <v>0.89800000000000002</v>
      </c>
      <c r="AA156" s="1">
        <v>20210222</v>
      </c>
      <c r="AB156" s="1">
        <v>12.78</v>
      </c>
      <c r="AC156" s="1">
        <v>12.78</v>
      </c>
      <c r="AD156" s="1">
        <v>0</v>
      </c>
      <c r="AE156" s="1">
        <v>0</v>
      </c>
      <c r="AF156" s="1">
        <v>14.74</v>
      </c>
      <c r="AG156" s="1">
        <v>14.74</v>
      </c>
      <c r="AH156" s="1">
        <v>0</v>
      </c>
      <c r="AI156" s="1"/>
      <c r="AJ156" s="1">
        <v>10</v>
      </c>
      <c r="AK156" s="1">
        <v>10</v>
      </c>
      <c r="AL156" s="1">
        <v>8835</v>
      </c>
      <c r="AM156" s="1">
        <v>5502</v>
      </c>
      <c r="AN156" s="1">
        <v>15893.218999999999</v>
      </c>
      <c r="AO156" s="1">
        <v>194</v>
      </c>
      <c r="AP156" s="1">
        <v>3333</v>
      </c>
      <c r="AQ156" s="1">
        <v>209.71207909486401</v>
      </c>
      <c r="AR156" s="1">
        <v>4454.1237113402103</v>
      </c>
      <c r="AS156" s="1">
        <v>10</v>
      </c>
      <c r="AT156" s="1">
        <v>7.3</v>
      </c>
      <c r="AU156" s="1"/>
      <c r="AV156" s="1" t="s">
        <v>823</v>
      </c>
      <c r="AW156" s="1" t="s">
        <v>96</v>
      </c>
      <c r="AX156" s="1" t="s">
        <v>415</v>
      </c>
      <c r="AY156" s="1" t="s">
        <v>100</v>
      </c>
      <c r="AZ156" s="1" t="s">
        <v>99</v>
      </c>
      <c r="BA156" s="1" t="s">
        <v>100</v>
      </c>
      <c r="BB156" s="1" t="s">
        <v>101</v>
      </c>
      <c r="BC156" s="1" t="s">
        <v>98</v>
      </c>
      <c r="BD156" s="1" t="s">
        <v>120</v>
      </c>
      <c r="BE156" s="1" t="s">
        <v>100</v>
      </c>
      <c r="BF156" s="1" t="s">
        <v>102</v>
      </c>
      <c r="BG156" s="1" t="s">
        <v>98</v>
      </c>
      <c r="BH156" s="1" t="s">
        <v>103</v>
      </c>
      <c r="BI156" t="s">
        <v>98</v>
      </c>
      <c r="BJ156" t="s">
        <v>149</v>
      </c>
      <c r="BK156" t="s">
        <v>98</v>
      </c>
      <c r="BL156" t="s">
        <v>105</v>
      </c>
      <c r="BN156" t="s">
        <v>156</v>
      </c>
      <c r="BO156" t="s">
        <v>100</v>
      </c>
      <c r="BP156" t="s">
        <v>124</v>
      </c>
      <c r="BQ156" t="s">
        <v>96</v>
      </c>
      <c r="BR156" t="s">
        <v>917</v>
      </c>
      <c r="BS156" t="s">
        <v>98</v>
      </c>
      <c r="BT156" t="s">
        <v>105</v>
      </c>
      <c r="BV156" t="s">
        <v>125</v>
      </c>
      <c r="BW156" t="s">
        <v>96</v>
      </c>
      <c r="BX156" t="s">
        <v>126</v>
      </c>
      <c r="BY156" t="s">
        <v>100</v>
      </c>
      <c r="BZ156" t="s">
        <v>127</v>
      </c>
      <c r="CA156" t="s">
        <v>100</v>
      </c>
      <c r="CB156" t="s">
        <v>918</v>
      </c>
      <c r="CC156" t="s">
        <v>98</v>
      </c>
      <c r="CD156">
        <v>0</v>
      </c>
      <c r="CE156" t="s">
        <v>96</v>
      </c>
      <c r="CF156">
        <v>1</v>
      </c>
      <c r="CG156" t="s">
        <v>96</v>
      </c>
      <c r="CH156">
        <v>5.5</v>
      </c>
      <c r="CI156" t="s">
        <v>100</v>
      </c>
      <c r="CJ156" t="s">
        <v>129</v>
      </c>
      <c r="CK156" t="s">
        <v>98</v>
      </c>
      <c r="CL156" t="s">
        <v>98</v>
      </c>
      <c r="CM156" t="s">
        <v>98</v>
      </c>
      <c r="CN156">
        <v>10</v>
      </c>
      <c r="CO156">
        <v>0</v>
      </c>
    </row>
    <row r="157" spans="1:93" x14ac:dyDescent="0.2">
      <c r="A157" s="3">
        <v>199</v>
      </c>
      <c r="B157" s="3" t="s">
        <v>919</v>
      </c>
      <c r="C157" s="3" t="s">
        <v>920</v>
      </c>
      <c r="D157" s="1"/>
      <c r="E157" s="1">
        <f t="shared" si="12"/>
        <v>6.5192024052026483</v>
      </c>
      <c r="F157" s="1">
        <f t="shared" si="13"/>
        <v>4.25</v>
      </c>
      <c r="G157" s="1">
        <f t="shared" si="14"/>
        <v>10</v>
      </c>
      <c r="H157" s="1"/>
      <c r="I157" s="1">
        <v>52.3</v>
      </c>
      <c r="J157" s="1">
        <v>3.54</v>
      </c>
      <c r="K157" s="1">
        <v>0</v>
      </c>
      <c r="L157" s="1">
        <v>0.6</v>
      </c>
      <c r="M157" s="1"/>
      <c r="N157" s="1"/>
      <c r="O157" s="1">
        <v>0</v>
      </c>
      <c r="P157" s="1">
        <v>0.4</v>
      </c>
      <c r="Q157" s="1">
        <v>0.3</v>
      </c>
      <c r="R157" s="1">
        <v>0</v>
      </c>
      <c r="S157" s="1">
        <v>-8.8793535454773096</v>
      </c>
      <c r="T157" s="1">
        <v>16.7729153014829</v>
      </c>
      <c r="U157" s="1">
        <v>0</v>
      </c>
      <c r="V157" s="1">
        <v>1.1181943534321901</v>
      </c>
      <c r="W157" s="1">
        <v>330.89</v>
      </c>
      <c r="X157" s="1">
        <v>2.246</v>
      </c>
      <c r="Y157" s="1">
        <v>10</v>
      </c>
      <c r="Z157" s="1">
        <v>4.492</v>
      </c>
      <c r="AA157" s="1">
        <v>20210222</v>
      </c>
      <c r="AB157" s="1">
        <v>63.67</v>
      </c>
      <c r="AC157" s="1">
        <v>63.67</v>
      </c>
      <c r="AD157" s="1">
        <v>62.5</v>
      </c>
      <c r="AE157" s="1">
        <v>62.5</v>
      </c>
      <c r="AF157" s="1">
        <v>63.85</v>
      </c>
      <c r="AG157" s="1">
        <v>63.85</v>
      </c>
      <c r="AH157" s="1">
        <v>2</v>
      </c>
      <c r="AI157" s="1">
        <v>0</v>
      </c>
      <c r="AJ157" s="1">
        <v>2.5123076923076901</v>
      </c>
      <c r="AK157" s="1">
        <v>3.75</v>
      </c>
      <c r="AL157" s="1">
        <v>5432</v>
      </c>
      <c r="AM157" s="1">
        <v>5268</v>
      </c>
      <c r="AN157" s="1">
        <v>8737.3700000000008</v>
      </c>
      <c r="AO157" s="1">
        <v>4321</v>
      </c>
      <c r="AP157" s="1">
        <v>164</v>
      </c>
      <c r="AQ157" s="1">
        <v>18.769950225296601</v>
      </c>
      <c r="AR157" s="1">
        <v>25.7116408238834</v>
      </c>
      <c r="AS157" s="1">
        <v>2.5711640823883402</v>
      </c>
      <c r="AT157" s="1">
        <v>3.7</v>
      </c>
      <c r="AU157" s="1"/>
      <c r="AV157" s="1" t="s">
        <v>921</v>
      </c>
      <c r="AW157" s="1" t="s">
        <v>98</v>
      </c>
      <c r="AX157" s="1" t="s">
        <v>134</v>
      </c>
      <c r="AY157" s="1" t="s">
        <v>100</v>
      </c>
      <c r="AZ157" s="1" t="s">
        <v>101</v>
      </c>
      <c r="BA157" s="1" t="s">
        <v>98</v>
      </c>
      <c r="BB157" s="1" t="s">
        <v>146</v>
      </c>
      <c r="BC157" s="1" t="s">
        <v>100</v>
      </c>
      <c r="BD157" s="1" t="s">
        <v>120</v>
      </c>
      <c r="BE157" s="1" t="s">
        <v>100</v>
      </c>
      <c r="BF157" s="1" t="s">
        <v>137</v>
      </c>
      <c r="BG157" s="1" t="s">
        <v>100</v>
      </c>
      <c r="BH157" s="1" t="s">
        <v>121</v>
      </c>
      <c r="BI157" t="s">
        <v>100</v>
      </c>
      <c r="BJ157" t="s">
        <v>922</v>
      </c>
      <c r="BK157" t="s">
        <v>98</v>
      </c>
      <c r="BL157" t="s">
        <v>279</v>
      </c>
      <c r="BM157" t="s">
        <v>100</v>
      </c>
      <c r="BN157" t="s">
        <v>643</v>
      </c>
      <c r="BO157" t="s">
        <v>96</v>
      </c>
      <c r="BP157" t="s">
        <v>107</v>
      </c>
      <c r="BQ157" t="s">
        <v>96</v>
      </c>
      <c r="BR157" t="s">
        <v>105</v>
      </c>
      <c r="BT157" t="s">
        <v>128</v>
      </c>
      <c r="BU157" t="s">
        <v>100</v>
      </c>
      <c r="BV157" t="s">
        <v>125</v>
      </c>
      <c r="BW157" t="s">
        <v>96</v>
      </c>
      <c r="BX157" t="s">
        <v>200</v>
      </c>
      <c r="BY157" t="s">
        <v>100</v>
      </c>
      <c r="BZ157" t="s">
        <v>141</v>
      </c>
      <c r="CA157" t="s">
        <v>96</v>
      </c>
      <c r="CB157" t="s">
        <v>105</v>
      </c>
      <c r="CD157">
        <v>3</v>
      </c>
      <c r="CE157" t="s">
        <v>100</v>
      </c>
      <c r="CF157">
        <v>0</v>
      </c>
      <c r="CG157" t="s">
        <v>96</v>
      </c>
      <c r="CH157">
        <v>0</v>
      </c>
      <c r="CI157" t="s">
        <v>96</v>
      </c>
      <c r="CJ157" t="s">
        <v>105</v>
      </c>
      <c r="CL157" t="s">
        <v>130</v>
      </c>
      <c r="CM157" t="s">
        <v>96</v>
      </c>
      <c r="CN157">
        <v>4.25</v>
      </c>
      <c r="CO157">
        <v>0</v>
      </c>
    </row>
    <row r="158" spans="1:93" x14ac:dyDescent="0.2">
      <c r="A158" s="3">
        <v>200</v>
      </c>
      <c r="B158" s="3" t="s">
        <v>923</v>
      </c>
      <c r="C158" s="3" t="s">
        <v>924</v>
      </c>
      <c r="D158" s="1"/>
      <c r="E158" s="1">
        <f t="shared" si="12"/>
        <v>10</v>
      </c>
      <c r="F158" s="1">
        <f t="shared" si="13"/>
        <v>10</v>
      </c>
      <c r="G158" s="1">
        <f t="shared" si="14"/>
        <v>10</v>
      </c>
      <c r="H158" s="1"/>
      <c r="I158" s="1">
        <v>21.7</v>
      </c>
      <c r="J158" s="1">
        <v>9.66</v>
      </c>
      <c r="K158" s="1">
        <v>0.6</v>
      </c>
      <c r="L158" s="1">
        <v>0.3</v>
      </c>
      <c r="M158" s="1"/>
      <c r="N158" s="1"/>
      <c r="O158" s="1">
        <v>1</v>
      </c>
      <c r="P158" s="1"/>
      <c r="Q158" s="1">
        <v>0.7</v>
      </c>
      <c r="R158" s="1">
        <v>9.5238095238094793</v>
      </c>
      <c r="S158" s="1">
        <v>975.11817791147405</v>
      </c>
      <c r="T158" s="1">
        <v>158.93492415089301</v>
      </c>
      <c r="U158" s="1">
        <v>10</v>
      </c>
      <c r="V158" s="1">
        <v>10</v>
      </c>
      <c r="W158" s="1">
        <v>14.932</v>
      </c>
      <c r="X158" s="1">
        <v>0.153</v>
      </c>
      <c r="Y158" s="1">
        <v>0.59728000000000003</v>
      </c>
      <c r="Z158" s="1">
        <v>0.305999999999999</v>
      </c>
      <c r="AA158" s="1">
        <v>20210222</v>
      </c>
      <c r="AB158" s="1">
        <v>54.44</v>
      </c>
      <c r="AC158" s="1">
        <v>54.44</v>
      </c>
      <c r="AD158" s="1">
        <v>0</v>
      </c>
      <c r="AE158" s="1">
        <v>0</v>
      </c>
      <c r="AF158" s="1">
        <v>62.82</v>
      </c>
      <c r="AG158" s="1">
        <v>62.82</v>
      </c>
      <c r="AH158" s="1">
        <v>0</v>
      </c>
      <c r="AI158" s="1"/>
      <c r="AJ158" s="1">
        <v>3.9323076923076901</v>
      </c>
      <c r="AK158" s="1">
        <v>10</v>
      </c>
      <c r="AL158" s="1">
        <v>492</v>
      </c>
      <c r="AM158" s="1">
        <v>418</v>
      </c>
      <c r="AN158" s="1">
        <v>11193.728999999999</v>
      </c>
      <c r="AO158" s="1">
        <v>85</v>
      </c>
      <c r="AP158" s="1">
        <v>74</v>
      </c>
      <c r="AQ158" s="1">
        <v>6.6108443397191401</v>
      </c>
      <c r="AR158" s="1">
        <v>478.82352941176498</v>
      </c>
      <c r="AS158" s="1">
        <v>10</v>
      </c>
      <c r="AT158" s="1">
        <v>7.3</v>
      </c>
      <c r="AU158" s="1"/>
      <c r="AV158" s="1" t="s">
        <v>925</v>
      </c>
      <c r="AW158" s="1" t="s">
        <v>96</v>
      </c>
      <c r="AX158" s="1" t="s">
        <v>304</v>
      </c>
      <c r="AY158" s="1" t="s">
        <v>100</v>
      </c>
      <c r="AZ158" s="1" t="s">
        <v>99</v>
      </c>
      <c r="BA158" s="1" t="s">
        <v>100</v>
      </c>
      <c r="BB158" s="1" t="s">
        <v>146</v>
      </c>
      <c r="BC158" s="1" t="s">
        <v>100</v>
      </c>
      <c r="BD158" s="1" t="s">
        <v>136</v>
      </c>
      <c r="BE158" s="1" t="s">
        <v>100</v>
      </c>
      <c r="BF158" s="1" t="s">
        <v>102</v>
      </c>
      <c r="BG158" s="1" t="s">
        <v>98</v>
      </c>
      <c r="BH158" s="1" t="s">
        <v>103</v>
      </c>
      <c r="BI158" t="s">
        <v>98</v>
      </c>
      <c r="BJ158" t="s">
        <v>651</v>
      </c>
      <c r="BK158" t="s">
        <v>96</v>
      </c>
      <c r="BL158" t="s">
        <v>105</v>
      </c>
      <c r="BN158" t="s">
        <v>926</v>
      </c>
      <c r="BO158" t="s">
        <v>98</v>
      </c>
      <c r="BP158" t="s">
        <v>124</v>
      </c>
      <c r="BQ158" t="s">
        <v>96</v>
      </c>
      <c r="BR158" t="s">
        <v>927</v>
      </c>
      <c r="BS158" t="s">
        <v>98</v>
      </c>
      <c r="BT158" t="s">
        <v>105</v>
      </c>
      <c r="BV158" t="s">
        <v>125</v>
      </c>
      <c r="BW158" t="s">
        <v>96</v>
      </c>
      <c r="BX158" t="s">
        <v>126</v>
      </c>
      <c r="BY158" t="s">
        <v>100</v>
      </c>
      <c r="BZ158" t="s">
        <v>127</v>
      </c>
      <c r="CA158" t="s">
        <v>100</v>
      </c>
      <c r="CB158" t="s">
        <v>928</v>
      </c>
      <c r="CC158" t="s">
        <v>98</v>
      </c>
      <c r="CD158">
        <v>0</v>
      </c>
      <c r="CE158" t="s">
        <v>96</v>
      </c>
      <c r="CF158">
        <v>0</v>
      </c>
      <c r="CG158" t="s">
        <v>96</v>
      </c>
      <c r="CH158">
        <v>2.7</v>
      </c>
      <c r="CI158" t="s">
        <v>100</v>
      </c>
      <c r="CJ158" t="s">
        <v>929</v>
      </c>
      <c r="CK158" t="s">
        <v>98</v>
      </c>
      <c r="CL158" t="s">
        <v>98</v>
      </c>
      <c r="CM158" t="s">
        <v>98</v>
      </c>
      <c r="CN158">
        <v>10</v>
      </c>
      <c r="CO158">
        <v>10</v>
      </c>
    </row>
    <row r="159" spans="1:93" x14ac:dyDescent="0.2">
      <c r="A159" s="3">
        <v>201</v>
      </c>
      <c r="B159" s="3" t="s">
        <v>930</v>
      </c>
      <c r="C159" s="3" t="s">
        <v>931</v>
      </c>
      <c r="D159" s="1"/>
      <c r="E159" s="1">
        <f t="shared" si="12"/>
        <v>10</v>
      </c>
      <c r="F159" s="1">
        <f t="shared" si="13"/>
        <v>10</v>
      </c>
      <c r="G159" s="1">
        <f t="shared" si="14"/>
        <v>10</v>
      </c>
      <c r="H159" s="1"/>
      <c r="I159" s="1">
        <v>17.7</v>
      </c>
      <c r="J159" s="1">
        <v>10</v>
      </c>
      <c r="K159" s="1"/>
      <c r="L159" s="1"/>
      <c r="M159" s="1"/>
      <c r="N159" s="1"/>
      <c r="O159" s="1"/>
      <c r="P159" s="1"/>
      <c r="Q159" s="1"/>
      <c r="R159" s="1"/>
      <c r="S159" s="1">
        <v>223.07692307692301</v>
      </c>
      <c r="T159" s="1">
        <v>65.431514745776596</v>
      </c>
      <c r="U159" s="1">
        <v>10</v>
      </c>
      <c r="V159" s="1">
        <v>4.3621009830517696</v>
      </c>
      <c r="W159" s="1">
        <v>83.435000000000002</v>
      </c>
      <c r="X159" s="1">
        <v>1.304</v>
      </c>
      <c r="Y159" s="1">
        <v>3.3374000000000001</v>
      </c>
      <c r="Z159" s="1">
        <v>2.6080000000000001</v>
      </c>
      <c r="AA159" s="1"/>
      <c r="AB159" s="1"/>
      <c r="AC159" s="1"/>
      <c r="AD159" s="1"/>
      <c r="AE159" s="1"/>
      <c r="AF159" s="1"/>
      <c r="AG159" s="1"/>
      <c r="AH159" s="1"/>
      <c r="AI159" s="1"/>
      <c r="AJ159" s="1"/>
      <c r="AK159" s="1"/>
      <c r="AL159" s="1">
        <v>36</v>
      </c>
      <c r="AM159" s="1">
        <v>33</v>
      </c>
      <c r="AN159" s="1">
        <v>219.161</v>
      </c>
      <c r="AO159" s="1">
        <v>21</v>
      </c>
      <c r="AP159" s="1">
        <v>3</v>
      </c>
      <c r="AQ159" s="1">
        <v>13.6885668526791</v>
      </c>
      <c r="AR159" s="1">
        <v>71.428571428571402</v>
      </c>
      <c r="AS159" s="1">
        <v>7.1428571428571397</v>
      </c>
      <c r="AT159" s="1">
        <v>5.0999999999999996</v>
      </c>
      <c r="AU159" s="1"/>
      <c r="AV159" s="1" t="s">
        <v>932</v>
      </c>
      <c r="AW159" s="1" t="s">
        <v>100</v>
      </c>
      <c r="AX159" s="1" t="s">
        <v>105</v>
      </c>
      <c r="AY159" s="1"/>
      <c r="AZ159" s="1" t="s">
        <v>105</v>
      </c>
      <c r="BA159" s="1"/>
      <c r="BB159" s="1" t="s">
        <v>105</v>
      </c>
      <c r="BC159" s="1"/>
      <c r="BD159" s="1" t="s">
        <v>105</v>
      </c>
      <c r="BE159" s="1"/>
      <c r="BF159" s="1" t="s">
        <v>105</v>
      </c>
      <c r="BG159" s="1"/>
      <c r="BH159" s="1" t="s">
        <v>105</v>
      </c>
      <c r="BJ159" t="s">
        <v>250</v>
      </c>
      <c r="BK159" t="s">
        <v>98</v>
      </c>
      <c r="BL159" t="s">
        <v>105</v>
      </c>
      <c r="BN159" t="s">
        <v>876</v>
      </c>
      <c r="BO159" t="s">
        <v>98</v>
      </c>
      <c r="BP159" t="s">
        <v>124</v>
      </c>
      <c r="BQ159" t="s">
        <v>96</v>
      </c>
      <c r="BR159" t="s">
        <v>105</v>
      </c>
      <c r="BT159" t="s">
        <v>105</v>
      </c>
      <c r="BV159" t="s">
        <v>105</v>
      </c>
      <c r="BX159" t="s">
        <v>105</v>
      </c>
      <c r="BZ159" t="s">
        <v>105</v>
      </c>
      <c r="CB159" t="s">
        <v>105</v>
      </c>
      <c r="CD159">
        <v>0.1</v>
      </c>
      <c r="CE159" t="s">
        <v>96</v>
      </c>
      <c r="CF159">
        <v>0</v>
      </c>
      <c r="CG159" t="s">
        <v>96</v>
      </c>
      <c r="CH159">
        <v>0</v>
      </c>
      <c r="CI159" t="s">
        <v>96</v>
      </c>
      <c r="CJ159" t="s">
        <v>105</v>
      </c>
      <c r="CL159" t="s">
        <v>130</v>
      </c>
      <c r="CM159" t="s">
        <v>96</v>
      </c>
      <c r="CN159">
        <v>7.75</v>
      </c>
      <c r="CO159">
        <v>0</v>
      </c>
    </row>
    <row r="160" spans="1:93" x14ac:dyDescent="0.2">
      <c r="A160" s="3">
        <v>202</v>
      </c>
      <c r="B160" s="3" t="s">
        <v>933</v>
      </c>
      <c r="C160" s="3" t="s">
        <v>934</v>
      </c>
      <c r="D160" s="1"/>
      <c r="E160" s="1">
        <f t="shared" si="12"/>
        <v>4.1452289534985933</v>
      </c>
      <c r="F160" s="1">
        <f t="shared" si="13"/>
        <v>6.7</v>
      </c>
      <c r="G160" s="1">
        <f t="shared" si="14"/>
        <v>2.5646153846153799</v>
      </c>
      <c r="H160" s="1"/>
      <c r="I160" s="1">
        <v>36.5</v>
      </c>
      <c r="J160" s="1">
        <v>6.7</v>
      </c>
      <c r="K160" s="1">
        <v>0</v>
      </c>
      <c r="L160" s="1">
        <v>0.2</v>
      </c>
      <c r="M160" s="1"/>
      <c r="N160" s="1"/>
      <c r="O160" s="1">
        <v>1</v>
      </c>
      <c r="P160" s="1"/>
      <c r="Q160" s="1">
        <v>0.4</v>
      </c>
      <c r="R160" s="1">
        <v>2.3809523809523698</v>
      </c>
      <c r="S160" s="1">
        <v>-50.289502915856701</v>
      </c>
      <c r="T160" s="1">
        <v>-66.835091871096793</v>
      </c>
      <c r="U160" s="1">
        <v>0</v>
      </c>
      <c r="V160" s="1">
        <v>0</v>
      </c>
      <c r="W160" s="1">
        <v>15.829000000000001</v>
      </c>
      <c r="X160" s="1">
        <v>0.48699999999999999</v>
      </c>
      <c r="Y160" s="1">
        <v>0.63315999999999995</v>
      </c>
      <c r="Z160" s="1">
        <v>0.97399999999999998</v>
      </c>
      <c r="AA160" s="1">
        <v>20210222</v>
      </c>
      <c r="AB160" s="1"/>
      <c r="AC160" s="1">
        <v>63.33</v>
      </c>
      <c r="AD160" s="1"/>
      <c r="AE160" s="1">
        <v>50</v>
      </c>
      <c r="AF160" s="1"/>
      <c r="AG160" s="1">
        <v>65.38</v>
      </c>
      <c r="AH160" s="1"/>
      <c r="AI160" s="1"/>
      <c r="AJ160" s="1">
        <v>2.5646153846153799</v>
      </c>
      <c r="AK160" s="1">
        <v>5</v>
      </c>
      <c r="AL160" s="1">
        <v>173</v>
      </c>
      <c r="AM160" s="1">
        <v>173</v>
      </c>
      <c r="AN160" s="1">
        <v>586.63400000000001</v>
      </c>
      <c r="AO160" s="1">
        <v>168</v>
      </c>
      <c r="AP160" s="1">
        <v>0</v>
      </c>
      <c r="AQ160" s="1">
        <v>0</v>
      </c>
      <c r="AR160" s="1">
        <v>2.9761904761904701</v>
      </c>
      <c r="AS160" s="1">
        <v>0.29761904761904701</v>
      </c>
      <c r="AT160" s="1">
        <v>3.6</v>
      </c>
      <c r="AU160" s="1"/>
      <c r="AV160" s="1" t="s">
        <v>935</v>
      </c>
      <c r="AW160" s="1" t="s">
        <v>100</v>
      </c>
      <c r="AX160" s="1" t="s">
        <v>386</v>
      </c>
      <c r="AY160" s="1" t="s">
        <v>100</v>
      </c>
      <c r="AZ160" s="1" t="s">
        <v>174</v>
      </c>
      <c r="BA160" s="1" t="s">
        <v>96</v>
      </c>
      <c r="BB160" s="1" t="s">
        <v>101</v>
      </c>
      <c r="BC160" s="1" t="s">
        <v>98</v>
      </c>
      <c r="BD160" s="1" t="s">
        <v>136</v>
      </c>
      <c r="BE160" s="1" t="s">
        <v>100</v>
      </c>
      <c r="BF160" s="1" t="s">
        <v>102</v>
      </c>
      <c r="BG160" s="1" t="s">
        <v>98</v>
      </c>
      <c r="BH160" s="1" t="s">
        <v>147</v>
      </c>
      <c r="BI160" t="s">
        <v>96</v>
      </c>
      <c r="BJ160" t="s">
        <v>936</v>
      </c>
      <c r="BK160" t="s">
        <v>98</v>
      </c>
      <c r="BL160" t="s">
        <v>937</v>
      </c>
      <c r="BM160" t="s">
        <v>100</v>
      </c>
      <c r="BN160" t="s">
        <v>938</v>
      </c>
      <c r="BO160" t="s">
        <v>98</v>
      </c>
      <c r="BP160" t="s">
        <v>124</v>
      </c>
      <c r="BQ160" t="s">
        <v>96</v>
      </c>
      <c r="BR160" t="s">
        <v>105</v>
      </c>
      <c r="BT160" t="s">
        <v>105</v>
      </c>
      <c r="BV160" t="s">
        <v>125</v>
      </c>
      <c r="BW160" t="s">
        <v>96</v>
      </c>
      <c r="BX160" t="s">
        <v>126</v>
      </c>
      <c r="BY160" t="s">
        <v>100</v>
      </c>
      <c r="BZ160" t="s">
        <v>127</v>
      </c>
      <c r="CA160" t="s">
        <v>100</v>
      </c>
      <c r="CB160" t="s">
        <v>105</v>
      </c>
      <c r="CD160">
        <v>0</v>
      </c>
      <c r="CE160" t="s">
        <v>96</v>
      </c>
      <c r="CF160">
        <v>0</v>
      </c>
      <c r="CG160" t="s">
        <v>96</v>
      </c>
      <c r="CH160">
        <v>0</v>
      </c>
      <c r="CI160" t="s">
        <v>96</v>
      </c>
      <c r="CJ160" t="s">
        <v>105</v>
      </c>
      <c r="CL160" t="s">
        <v>130</v>
      </c>
      <c r="CM160" t="s">
        <v>96</v>
      </c>
      <c r="CN160">
        <v>4</v>
      </c>
      <c r="CO160">
        <v>0</v>
      </c>
    </row>
    <row r="161" spans="1:93" x14ac:dyDescent="0.2">
      <c r="A161" s="3">
        <v>203</v>
      </c>
      <c r="B161" s="3" t="s">
        <v>939</v>
      </c>
      <c r="C161" s="3" t="s">
        <v>940</v>
      </c>
      <c r="D161" s="1"/>
      <c r="E161" s="1">
        <f t="shared" si="12"/>
        <v>6.6483080554378651</v>
      </c>
      <c r="F161" s="1">
        <f t="shared" si="13"/>
        <v>4.42</v>
      </c>
      <c r="G161" s="1">
        <f t="shared" si="14"/>
        <v>10</v>
      </c>
      <c r="H161" s="1"/>
      <c r="I161" s="1">
        <v>47.9</v>
      </c>
      <c r="J161" s="1">
        <v>4.42</v>
      </c>
      <c r="K161" s="1"/>
      <c r="L161" s="1"/>
      <c r="M161" s="1"/>
      <c r="N161" s="1"/>
      <c r="O161" s="1"/>
      <c r="P161" s="1"/>
      <c r="Q161" s="1"/>
      <c r="R161" s="1"/>
      <c r="S161" s="1">
        <v>10.468399093860301</v>
      </c>
      <c r="T161" s="1">
        <v>11.6885812126141</v>
      </c>
      <c r="U161" s="1">
        <v>0.69789327292402004</v>
      </c>
      <c r="V161" s="1">
        <v>0.77923874750760402</v>
      </c>
      <c r="W161" s="1">
        <v>378.387</v>
      </c>
      <c r="X161" s="1">
        <v>16.222999999999999</v>
      </c>
      <c r="Y161" s="1">
        <v>10</v>
      </c>
      <c r="Z161" s="1">
        <v>10</v>
      </c>
      <c r="AA161" s="1">
        <v>20210222</v>
      </c>
      <c r="AB161" s="1"/>
      <c r="AC161" s="1">
        <v>77.11</v>
      </c>
      <c r="AD161" s="1"/>
      <c r="AE161" s="1">
        <v>87.5</v>
      </c>
      <c r="AF161" s="1"/>
      <c r="AG161" s="1">
        <v>75.510000000000005</v>
      </c>
      <c r="AH161" s="1"/>
      <c r="AI161" s="1"/>
      <c r="AJ161" s="1">
        <v>0.44461538461538402</v>
      </c>
      <c r="AK161" s="1">
        <v>1.25</v>
      </c>
      <c r="AL161" s="1">
        <v>11235</v>
      </c>
      <c r="AM161" s="1">
        <v>10651</v>
      </c>
      <c r="AN161" s="1">
        <v>5459.643</v>
      </c>
      <c r="AO161" s="1">
        <v>6424</v>
      </c>
      <c r="AP161" s="1">
        <v>584</v>
      </c>
      <c r="AQ161" s="1">
        <v>106.96670093630701</v>
      </c>
      <c r="AR161" s="1">
        <v>74.891033623910303</v>
      </c>
      <c r="AS161" s="1">
        <v>7.4891033623910301</v>
      </c>
      <c r="AT161" s="1">
        <v>3.3</v>
      </c>
      <c r="AU161" s="1"/>
      <c r="AV161" s="1" t="s">
        <v>941</v>
      </c>
      <c r="AW161" s="1" t="s">
        <v>98</v>
      </c>
      <c r="AX161" s="1" t="s">
        <v>942</v>
      </c>
      <c r="AY161" s="1" t="s">
        <v>100</v>
      </c>
      <c r="AZ161" s="1" t="s">
        <v>118</v>
      </c>
      <c r="BA161" s="1" t="s">
        <v>100</v>
      </c>
      <c r="BB161" s="1" t="s">
        <v>146</v>
      </c>
      <c r="BC161" s="1" t="s">
        <v>100</v>
      </c>
      <c r="BD161" s="1" t="s">
        <v>101</v>
      </c>
      <c r="BE161" s="1" t="s">
        <v>98</v>
      </c>
      <c r="BF161" s="1" t="s">
        <v>183</v>
      </c>
      <c r="BG161" s="1" t="s">
        <v>96</v>
      </c>
      <c r="BH161" s="1" t="s">
        <v>147</v>
      </c>
      <c r="BI161" t="s">
        <v>96</v>
      </c>
      <c r="BJ161" t="s">
        <v>318</v>
      </c>
      <c r="BK161" t="s">
        <v>98</v>
      </c>
      <c r="BL161" t="s">
        <v>463</v>
      </c>
      <c r="BM161" t="s">
        <v>100</v>
      </c>
      <c r="BN161" t="s">
        <v>643</v>
      </c>
      <c r="BO161" t="s">
        <v>96</v>
      </c>
      <c r="BP161" t="s">
        <v>169</v>
      </c>
      <c r="BQ161" t="s">
        <v>100</v>
      </c>
      <c r="BR161" t="s">
        <v>105</v>
      </c>
      <c r="BT161" t="s">
        <v>105</v>
      </c>
      <c r="BV161" t="s">
        <v>125</v>
      </c>
      <c r="BW161" t="s">
        <v>96</v>
      </c>
      <c r="BX161" t="s">
        <v>110</v>
      </c>
      <c r="BY161" t="s">
        <v>96</v>
      </c>
      <c r="BZ161" t="s">
        <v>141</v>
      </c>
      <c r="CA161" t="s">
        <v>96</v>
      </c>
      <c r="CB161" t="s">
        <v>105</v>
      </c>
      <c r="CD161">
        <v>0</v>
      </c>
      <c r="CE161" t="s">
        <v>96</v>
      </c>
      <c r="CF161">
        <v>0</v>
      </c>
      <c r="CG161" t="s">
        <v>96</v>
      </c>
      <c r="CH161">
        <v>0</v>
      </c>
      <c r="CI161" t="s">
        <v>96</v>
      </c>
      <c r="CJ161" t="s">
        <v>105</v>
      </c>
      <c r="CL161" t="s">
        <v>130</v>
      </c>
      <c r="CM161" t="s">
        <v>96</v>
      </c>
      <c r="CN161">
        <v>3.25</v>
      </c>
      <c r="CO161">
        <v>0</v>
      </c>
    </row>
    <row r="162" spans="1:93" x14ac:dyDescent="0.2">
      <c r="A162" s="3">
        <v>204</v>
      </c>
      <c r="B162" s="3" t="s">
        <v>943</v>
      </c>
      <c r="C162" s="3" t="s">
        <v>944</v>
      </c>
      <c r="D162" s="1"/>
      <c r="E162" s="1">
        <f t="shared" si="12"/>
        <v>4.1833001326703778</v>
      </c>
      <c r="F162" s="1">
        <f t="shared" si="13"/>
        <v>1.75</v>
      </c>
      <c r="G162" s="1">
        <f t="shared" si="14"/>
        <v>10</v>
      </c>
      <c r="H162" s="1"/>
      <c r="I162" s="1">
        <v>67.2</v>
      </c>
      <c r="J162" s="1">
        <v>0.55999999999999905</v>
      </c>
      <c r="K162" s="1">
        <v>0.7</v>
      </c>
      <c r="L162" s="1">
        <v>0.8</v>
      </c>
      <c r="M162" s="1"/>
      <c r="N162" s="1"/>
      <c r="O162" s="1">
        <v>0.5</v>
      </c>
      <c r="P162" s="1">
        <v>0.6</v>
      </c>
      <c r="Q162" s="1">
        <v>0.6</v>
      </c>
      <c r="R162" s="1">
        <v>7.1428571428571104</v>
      </c>
      <c r="S162" s="1">
        <v>-40.685096153846203</v>
      </c>
      <c r="T162" s="1">
        <v>-26.931570131895899</v>
      </c>
      <c r="U162" s="1">
        <v>0</v>
      </c>
      <c r="V162" s="1">
        <v>0</v>
      </c>
      <c r="W162" s="1">
        <v>363.51100000000002</v>
      </c>
      <c r="X162" s="1">
        <v>4.0540000000000003</v>
      </c>
      <c r="Y162" s="1">
        <v>10</v>
      </c>
      <c r="Z162" s="1">
        <v>8.1080000000000005</v>
      </c>
      <c r="AA162" s="1">
        <v>20210222</v>
      </c>
      <c r="AB162" s="1">
        <v>67.33</v>
      </c>
      <c r="AC162" s="1">
        <v>67.33</v>
      </c>
      <c r="AD162" s="1">
        <v>75</v>
      </c>
      <c r="AE162" s="1">
        <v>75</v>
      </c>
      <c r="AF162" s="1">
        <v>66.150000000000006</v>
      </c>
      <c r="AG162" s="1">
        <v>66.150000000000006</v>
      </c>
      <c r="AH162" s="1">
        <v>2</v>
      </c>
      <c r="AI162" s="1">
        <v>1</v>
      </c>
      <c r="AJ162" s="1">
        <v>1.94923076923077</v>
      </c>
      <c r="AK162" s="1">
        <v>2.5</v>
      </c>
      <c r="AL162" s="1">
        <v>4096</v>
      </c>
      <c r="AM162" s="1">
        <v>4069</v>
      </c>
      <c r="AN162" s="1">
        <v>2078.9319999999998</v>
      </c>
      <c r="AO162" s="1">
        <v>3769</v>
      </c>
      <c r="AP162" s="1">
        <v>27</v>
      </c>
      <c r="AQ162" s="1">
        <v>12.9874377805527</v>
      </c>
      <c r="AR162" s="1">
        <v>8.6760413902891909</v>
      </c>
      <c r="AS162" s="1">
        <v>0.86760413902891997</v>
      </c>
      <c r="AT162" s="1">
        <v>2.7</v>
      </c>
      <c r="AU162" s="1"/>
      <c r="AV162" s="1" t="s">
        <v>945</v>
      </c>
      <c r="AW162" s="1" t="s">
        <v>98</v>
      </c>
      <c r="AX162" s="1" t="s">
        <v>397</v>
      </c>
      <c r="AY162" s="1" t="s">
        <v>100</v>
      </c>
      <c r="AZ162" s="1" t="s">
        <v>118</v>
      </c>
      <c r="BA162" s="1" t="s">
        <v>100</v>
      </c>
      <c r="BB162" s="1" t="s">
        <v>101</v>
      </c>
      <c r="BC162" s="1" t="s">
        <v>98</v>
      </c>
      <c r="BD162" s="1" t="s">
        <v>101</v>
      </c>
      <c r="BE162" s="1" t="s">
        <v>98</v>
      </c>
      <c r="BF162" s="1" t="s">
        <v>137</v>
      </c>
      <c r="BG162" s="1" t="s">
        <v>100</v>
      </c>
      <c r="BH162" s="1" t="s">
        <v>121</v>
      </c>
      <c r="BI162" t="s">
        <v>100</v>
      </c>
      <c r="BJ162" t="s">
        <v>184</v>
      </c>
      <c r="BK162" t="s">
        <v>98</v>
      </c>
      <c r="BL162" t="s">
        <v>272</v>
      </c>
      <c r="BM162" t="s">
        <v>100</v>
      </c>
      <c r="BN162" t="s">
        <v>411</v>
      </c>
      <c r="BO162" t="s">
        <v>96</v>
      </c>
      <c r="BP162" t="s">
        <v>169</v>
      </c>
      <c r="BQ162" t="s">
        <v>100</v>
      </c>
      <c r="BR162" t="s">
        <v>105</v>
      </c>
      <c r="BT162" t="s">
        <v>105</v>
      </c>
      <c r="BV162" t="s">
        <v>125</v>
      </c>
      <c r="BW162" t="s">
        <v>96</v>
      </c>
      <c r="BX162" t="s">
        <v>126</v>
      </c>
      <c r="BY162" t="s">
        <v>100</v>
      </c>
      <c r="BZ162" t="s">
        <v>141</v>
      </c>
      <c r="CA162" t="s">
        <v>96</v>
      </c>
      <c r="CB162" t="s">
        <v>105</v>
      </c>
      <c r="CD162">
        <v>0</v>
      </c>
      <c r="CE162" t="s">
        <v>96</v>
      </c>
      <c r="CF162">
        <v>0</v>
      </c>
      <c r="CG162" t="s">
        <v>96</v>
      </c>
      <c r="CH162">
        <v>0</v>
      </c>
      <c r="CI162" t="s">
        <v>96</v>
      </c>
      <c r="CJ162" t="s">
        <v>105</v>
      </c>
      <c r="CL162" t="s">
        <v>130</v>
      </c>
      <c r="CM162" t="s">
        <v>96</v>
      </c>
      <c r="CN162">
        <v>1.75</v>
      </c>
      <c r="CO162">
        <v>0</v>
      </c>
    </row>
    <row r="163" spans="1:93" x14ac:dyDescent="0.2">
      <c r="A163" s="3">
        <v>205</v>
      </c>
      <c r="B163" s="3" t="s">
        <v>946</v>
      </c>
      <c r="C163" s="3" t="s">
        <v>947</v>
      </c>
      <c r="D163" s="1"/>
      <c r="E163" s="1">
        <f t="shared" ref="E163:E194" si="15">IFERROR(GEOMEAN(F163, G163), MAX(F163, G163))</f>
        <v>2.2360679774997898</v>
      </c>
      <c r="F163" s="1">
        <f t="shared" ref="F163:F192" si="16">MAX(J163, CN163)</f>
        <v>0.5</v>
      </c>
      <c r="G163" s="1">
        <f t="shared" ref="G163:G192" si="17">MAX(R163, U163, V163, Y163, Z163, AJ163, CO163)</f>
        <v>10</v>
      </c>
      <c r="H163" s="1"/>
      <c r="I163" s="1">
        <v>72.099999999999994</v>
      </c>
      <c r="J163" s="1">
        <v>0</v>
      </c>
      <c r="K163" s="1">
        <v>0</v>
      </c>
      <c r="L163" s="1">
        <v>0.6</v>
      </c>
      <c r="M163" s="1"/>
      <c r="N163" s="1"/>
      <c r="O163" s="1">
        <v>0.8</v>
      </c>
      <c r="P163" s="1">
        <v>0.4</v>
      </c>
      <c r="Q163" s="1">
        <v>0.4</v>
      </c>
      <c r="R163" s="1">
        <v>2.3809523809523698</v>
      </c>
      <c r="S163" s="1">
        <v>-48.1923857288932</v>
      </c>
      <c r="T163" s="1">
        <v>13.506608258056801</v>
      </c>
      <c r="U163" s="1">
        <v>0</v>
      </c>
      <c r="V163" s="1">
        <v>0.90044055053712002</v>
      </c>
      <c r="W163" s="1">
        <v>321.87599999999998</v>
      </c>
      <c r="X163" s="1">
        <v>3.1259999999999999</v>
      </c>
      <c r="Y163" s="1">
        <v>10</v>
      </c>
      <c r="Z163" s="1">
        <v>6.2519999999999998</v>
      </c>
      <c r="AA163" s="1">
        <v>20210222</v>
      </c>
      <c r="AB163" s="1"/>
      <c r="AC163" s="1">
        <v>59.61</v>
      </c>
      <c r="AD163" s="1"/>
      <c r="AE163" s="1">
        <v>37.5</v>
      </c>
      <c r="AF163" s="1"/>
      <c r="AG163" s="1">
        <v>63.01</v>
      </c>
      <c r="AH163" s="1"/>
      <c r="AI163" s="1"/>
      <c r="AJ163" s="1">
        <v>3.1369230769230798</v>
      </c>
      <c r="AK163" s="1">
        <v>6.25</v>
      </c>
      <c r="AL163" s="1">
        <v>14181</v>
      </c>
      <c r="AM163" s="1">
        <v>14018</v>
      </c>
      <c r="AN163" s="1">
        <v>10099.27</v>
      </c>
      <c r="AO163" s="1">
        <v>12649</v>
      </c>
      <c r="AP163" s="1">
        <v>163</v>
      </c>
      <c r="AQ163" s="1">
        <v>16.139780399969499</v>
      </c>
      <c r="AR163" s="1">
        <v>12.111629377816399</v>
      </c>
      <c r="AS163" s="1">
        <v>1.21116293778164</v>
      </c>
      <c r="AT163" s="1">
        <v>2.2000000000000002</v>
      </c>
      <c r="AU163" s="1"/>
      <c r="AV163" s="1" t="s">
        <v>948</v>
      </c>
      <c r="AW163" s="1" t="s">
        <v>98</v>
      </c>
      <c r="AX163" s="1" t="s">
        <v>380</v>
      </c>
      <c r="AY163" s="1" t="s">
        <v>100</v>
      </c>
      <c r="AZ163" s="1" t="s">
        <v>135</v>
      </c>
      <c r="BA163" s="1" t="s">
        <v>100</v>
      </c>
      <c r="BB163" s="1" t="s">
        <v>146</v>
      </c>
      <c r="BC163" s="1" t="s">
        <v>100</v>
      </c>
      <c r="BD163" s="1" t="s">
        <v>120</v>
      </c>
      <c r="BE163" s="1" t="s">
        <v>100</v>
      </c>
      <c r="BF163" s="1" t="s">
        <v>183</v>
      </c>
      <c r="BG163" s="1" t="s">
        <v>96</v>
      </c>
      <c r="BH163" s="1" t="s">
        <v>121</v>
      </c>
      <c r="BI163" t="s">
        <v>100</v>
      </c>
      <c r="BJ163" t="s">
        <v>949</v>
      </c>
      <c r="BK163" t="s">
        <v>98</v>
      </c>
      <c r="BL163" t="s">
        <v>950</v>
      </c>
      <c r="BM163" t="s">
        <v>100</v>
      </c>
      <c r="BN163" t="s">
        <v>266</v>
      </c>
      <c r="BO163" t="s">
        <v>96</v>
      </c>
      <c r="BP163" t="s">
        <v>124</v>
      </c>
      <c r="BQ163" t="s">
        <v>96</v>
      </c>
      <c r="BR163" t="s">
        <v>105</v>
      </c>
      <c r="BT163" t="s">
        <v>105</v>
      </c>
      <c r="BV163" t="s">
        <v>125</v>
      </c>
      <c r="BW163" t="s">
        <v>96</v>
      </c>
      <c r="BX163" t="s">
        <v>126</v>
      </c>
      <c r="BY163" t="s">
        <v>100</v>
      </c>
      <c r="BZ163" t="s">
        <v>127</v>
      </c>
      <c r="CA163" t="s">
        <v>100</v>
      </c>
      <c r="CB163" t="s">
        <v>105</v>
      </c>
      <c r="CD163">
        <v>0</v>
      </c>
      <c r="CE163" t="s">
        <v>96</v>
      </c>
      <c r="CF163">
        <v>0</v>
      </c>
      <c r="CG163" t="s">
        <v>96</v>
      </c>
      <c r="CH163">
        <v>0.1</v>
      </c>
      <c r="CI163" t="s">
        <v>96</v>
      </c>
      <c r="CJ163" t="s">
        <v>105</v>
      </c>
      <c r="CL163" t="s">
        <v>130</v>
      </c>
      <c r="CM163" t="s">
        <v>96</v>
      </c>
      <c r="CN163">
        <v>0.5</v>
      </c>
      <c r="CO163">
        <v>0</v>
      </c>
    </row>
    <row r="164" spans="1:93" x14ac:dyDescent="0.2">
      <c r="A164" s="3">
        <v>206</v>
      </c>
      <c r="B164" s="3" t="s">
        <v>951</v>
      </c>
      <c r="C164" s="3" t="s">
        <v>952</v>
      </c>
      <c r="D164" s="1"/>
      <c r="E164" s="1">
        <f t="shared" si="15"/>
        <v>6.2678317052800718</v>
      </c>
      <c r="F164" s="1">
        <f t="shared" si="16"/>
        <v>8.25</v>
      </c>
      <c r="G164" s="1">
        <f t="shared" si="17"/>
        <v>4.7619047619047397</v>
      </c>
      <c r="H164" s="1"/>
      <c r="I164" s="1">
        <v>31.1</v>
      </c>
      <c r="J164" s="1">
        <v>7.78</v>
      </c>
      <c r="K164" s="1">
        <v>0</v>
      </c>
      <c r="L164" s="1">
        <v>0.6</v>
      </c>
      <c r="M164" s="1"/>
      <c r="N164" s="1"/>
      <c r="O164" s="1">
        <v>1</v>
      </c>
      <c r="P164" s="1"/>
      <c r="Q164" s="1">
        <v>0.5</v>
      </c>
      <c r="R164" s="1">
        <v>4.7619047619047397</v>
      </c>
      <c r="S164" s="1">
        <v>-64.1021987863151</v>
      </c>
      <c r="T164" s="1">
        <v>-62.922370394631201</v>
      </c>
      <c r="U164" s="1">
        <v>0</v>
      </c>
      <c r="V164" s="1">
        <v>0</v>
      </c>
      <c r="W164" s="1">
        <v>31.276</v>
      </c>
      <c r="X164" s="1">
        <v>1.847</v>
      </c>
      <c r="Y164" s="1">
        <v>1.2510399999999999</v>
      </c>
      <c r="Z164" s="1">
        <v>3.694</v>
      </c>
      <c r="AA164" s="1">
        <v>20210222</v>
      </c>
      <c r="AB164" s="1">
        <v>56.11</v>
      </c>
      <c r="AC164" s="1">
        <v>56.11</v>
      </c>
      <c r="AD164" s="1">
        <v>25</v>
      </c>
      <c r="AE164" s="1">
        <v>25</v>
      </c>
      <c r="AF164" s="1">
        <v>60.9</v>
      </c>
      <c r="AG164" s="1">
        <v>60.9</v>
      </c>
      <c r="AH164" s="1">
        <v>0</v>
      </c>
      <c r="AI164" s="1"/>
      <c r="AJ164" s="1">
        <v>3.6753846153846199</v>
      </c>
      <c r="AK164" s="1">
        <v>7.5</v>
      </c>
      <c r="AL164" s="1">
        <v>681</v>
      </c>
      <c r="AM164" s="1">
        <v>679</v>
      </c>
      <c r="AN164" s="1">
        <v>1160.164</v>
      </c>
      <c r="AO164" s="1">
        <v>645</v>
      </c>
      <c r="AP164" s="1">
        <v>2</v>
      </c>
      <c r="AQ164" s="1">
        <v>1.72389420806024</v>
      </c>
      <c r="AR164" s="1">
        <v>5.5813953488372201</v>
      </c>
      <c r="AS164" s="1">
        <v>0.55813953488372203</v>
      </c>
      <c r="AT164" s="1">
        <v>5.3</v>
      </c>
      <c r="AU164" s="1"/>
      <c r="AV164" s="1" t="s">
        <v>953</v>
      </c>
      <c r="AW164" s="1" t="s">
        <v>98</v>
      </c>
      <c r="AX164" s="1" t="s">
        <v>117</v>
      </c>
      <c r="AY164" s="1" t="s">
        <v>100</v>
      </c>
      <c r="AZ164" s="1" t="s">
        <v>99</v>
      </c>
      <c r="BA164" s="1" t="s">
        <v>100</v>
      </c>
      <c r="BB164" s="1" t="s">
        <v>119</v>
      </c>
      <c r="BC164" s="1" t="s">
        <v>96</v>
      </c>
      <c r="BD164" s="1" t="s">
        <v>136</v>
      </c>
      <c r="BE164" s="1" t="s">
        <v>100</v>
      </c>
      <c r="BF164" s="1" t="s">
        <v>102</v>
      </c>
      <c r="BG164" s="1" t="s">
        <v>98</v>
      </c>
      <c r="BH164" s="1" t="s">
        <v>121</v>
      </c>
      <c r="BI164" t="s">
        <v>100</v>
      </c>
      <c r="BJ164" t="s">
        <v>954</v>
      </c>
      <c r="BK164" t="s">
        <v>98</v>
      </c>
      <c r="BL164" t="s">
        <v>105</v>
      </c>
      <c r="BN164" t="s">
        <v>651</v>
      </c>
      <c r="BO164" t="s">
        <v>100</v>
      </c>
      <c r="BP164" t="s">
        <v>227</v>
      </c>
      <c r="BQ164" t="s">
        <v>98</v>
      </c>
      <c r="BR164" t="s">
        <v>955</v>
      </c>
      <c r="BS164" t="s">
        <v>100</v>
      </c>
      <c r="BT164" t="s">
        <v>105</v>
      </c>
      <c r="BV164" t="s">
        <v>125</v>
      </c>
      <c r="BW164" t="s">
        <v>96</v>
      </c>
      <c r="BX164" t="s">
        <v>126</v>
      </c>
      <c r="BY164" t="s">
        <v>100</v>
      </c>
      <c r="BZ164" t="s">
        <v>127</v>
      </c>
      <c r="CA164" t="s">
        <v>100</v>
      </c>
      <c r="CB164" t="s">
        <v>128</v>
      </c>
      <c r="CC164" t="s">
        <v>100</v>
      </c>
      <c r="CD164">
        <v>4.2</v>
      </c>
      <c r="CE164" t="s">
        <v>100</v>
      </c>
      <c r="CF164">
        <v>0.2</v>
      </c>
      <c r="CG164" t="s">
        <v>96</v>
      </c>
      <c r="CH164">
        <v>3.7</v>
      </c>
      <c r="CI164" t="s">
        <v>100</v>
      </c>
      <c r="CJ164" t="s">
        <v>112</v>
      </c>
      <c r="CK164" t="s">
        <v>96</v>
      </c>
      <c r="CL164" t="s">
        <v>98</v>
      </c>
      <c r="CM164" t="s">
        <v>98</v>
      </c>
      <c r="CN164">
        <v>8.25</v>
      </c>
      <c r="CO164">
        <v>0</v>
      </c>
    </row>
    <row r="165" spans="1:93" x14ac:dyDescent="0.2">
      <c r="A165" s="3">
        <v>207</v>
      </c>
      <c r="B165" s="3" t="s">
        <v>956</v>
      </c>
      <c r="C165" s="3" t="s">
        <v>957</v>
      </c>
      <c r="D165" s="1"/>
      <c r="E165" s="1">
        <f t="shared" si="15"/>
        <v>8.7292611371180779</v>
      </c>
      <c r="F165" s="1">
        <f t="shared" si="16"/>
        <v>7.62</v>
      </c>
      <c r="G165" s="1">
        <f t="shared" si="17"/>
        <v>10</v>
      </c>
      <c r="H165" s="1"/>
      <c r="I165" s="1">
        <v>31.9</v>
      </c>
      <c r="J165" s="1">
        <v>7.62</v>
      </c>
      <c r="K165" s="1">
        <v>1</v>
      </c>
      <c r="L165" s="1">
        <v>0.4</v>
      </c>
      <c r="M165" s="1"/>
      <c r="N165" s="1"/>
      <c r="O165" s="1">
        <v>0.2</v>
      </c>
      <c r="P165" s="1"/>
      <c r="Q165" s="1">
        <v>0.6</v>
      </c>
      <c r="R165" s="1">
        <v>7.1428571428571104</v>
      </c>
      <c r="S165" s="1">
        <v>-19.230769230769202</v>
      </c>
      <c r="T165" s="1">
        <v>75.798167377073</v>
      </c>
      <c r="U165" s="1">
        <v>0</v>
      </c>
      <c r="V165" s="1">
        <v>5.0532111584715302</v>
      </c>
      <c r="W165" s="1">
        <v>739.41700000000003</v>
      </c>
      <c r="X165" s="1">
        <v>2.9049999999999998</v>
      </c>
      <c r="Y165" s="1">
        <v>10</v>
      </c>
      <c r="Z165" s="1">
        <v>5.81</v>
      </c>
      <c r="AA165" s="1">
        <v>20210222</v>
      </c>
      <c r="AB165" s="1">
        <v>72.67</v>
      </c>
      <c r="AC165" s="1">
        <v>72.67</v>
      </c>
      <c r="AD165" s="1">
        <v>62.5</v>
      </c>
      <c r="AE165" s="1">
        <v>62.5</v>
      </c>
      <c r="AF165" s="1">
        <v>74.23</v>
      </c>
      <c r="AG165" s="1">
        <v>74.23</v>
      </c>
      <c r="AH165" s="1">
        <v>2</v>
      </c>
      <c r="AI165" s="1">
        <v>0</v>
      </c>
      <c r="AJ165" s="1">
        <v>1.12769230769231</v>
      </c>
      <c r="AK165" s="1">
        <v>3.75</v>
      </c>
      <c r="AL165" s="1">
        <v>34</v>
      </c>
      <c r="AM165" s="1">
        <v>31</v>
      </c>
      <c r="AN165" s="1">
        <v>98.34</v>
      </c>
      <c r="AO165" s="1">
        <v>10</v>
      </c>
      <c r="AP165" s="1">
        <v>3</v>
      </c>
      <c r="AQ165" s="1">
        <v>30.506406345332501</v>
      </c>
      <c r="AR165" s="1">
        <v>240</v>
      </c>
      <c r="AS165" s="1">
        <v>10</v>
      </c>
      <c r="AT165" s="1">
        <v>4</v>
      </c>
      <c r="AU165" s="1"/>
      <c r="AV165" s="1" t="s">
        <v>958</v>
      </c>
      <c r="AW165" s="1" t="s">
        <v>98</v>
      </c>
      <c r="AX165" s="1" t="s">
        <v>419</v>
      </c>
      <c r="AY165" s="1" t="s">
        <v>100</v>
      </c>
      <c r="AZ165" s="1" t="s">
        <v>99</v>
      </c>
      <c r="BA165" s="1" t="s">
        <v>100</v>
      </c>
      <c r="BB165" s="1" t="s">
        <v>119</v>
      </c>
      <c r="BC165" s="1" t="s">
        <v>96</v>
      </c>
      <c r="BD165" s="1" t="s">
        <v>136</v>
      </c>
      <c r="BE165" s="1" t="s">
        <v>100</v>
      </c>
      <c r="BF165" s="1" t="s">
        <v>183</v>
      </c>
      <c r="BG165" s="1" t="s">
        <v>96</v>
      </c>
      <c r="BH165" s="1" t="s">
        <v>121</v>
      </c>
      <c r="BI165" t="s">
        <v>100</v>
      </c>
      <c r="BJ165" t="s">
        <v>959</v>
      </c>
      <c r="BK165" t="s">
        <v>98</v>
      </c>
      <c r="BL165" t="s">
        <v>192</v>
      </c>
      <c r="BM165" t="s">
        <v>96</v>
      </c>
      <c r="BN165" t="s">
        <v>766</v>
      </c>
      <c r="BO165" t="s">
        <v>100</v>
      </c>
      <c r="BP165" t="s">
        <v>124</v>
      </c>
      <c r="BQ165" t="s">
        <v>96</v>
      </c>
      <c r="BR165" t="s">
        <v>105</v>
      </c>
      <c r="BT165" t="s">
        <v>105</v>
      </c>
      <c r="BV165" t="s">
        <v>125</v>
      </c>
      <c r="BW165" t="s">
        <v>96</v>
      </c>
      <c r="BX165" t="s">
        <v>126</v>
      </c>
      <c r="BY165" t="s">
        <v>100</v>
      </c>
      <c r="BZ165" t="s">
        <v>141</v>
      </c>
      <c r="CA165" t="s">
        <v>96</v>
      </c>
      <c r="CB165" t="s">
        <v>105</v>
      </c>
      <c r="CD165">
        <v>0.1</v>
      </c>
      <c r="CE165" t="s">
        <v>96</v>
      </c>
      <c r="CF165">
        <v>0</v>
      </c>
      <c r="CG165" t="s">
        <v>96</v>
      </c>
      <c r="CH165">
        <v>0</v>
      </c>
      <c r="CI165" t="s">
        <v>96</v>
      </c>
      <c r="CJ165" t="s">
        <v>105</v>
      </c>
      <c r="CL165" t="s">
        <v>130</v>
      </c>
      <c r="CM165" t="s">
        <v>96</v>
      </c>
      <c r="CN165">
        <v>5</v>
      </c>
      <c r="CO165">
        <v>0</v>
      </c>
    </row>
    <row r="166" spans="1:93" x14ac:dyDescent="0.2">
      <c r="A166" s="3">
        <v>208</v>
      </c>
      <c r="B166" s="3" t="s">
        <v>960</v>
      </c>
      <c r="C166" s="3" t="s">
        <v>961</v>
      </c>
      <c r="D166" s="1"/>
      <c r="E166" s="1">
        <f t="shared" si="15"/>
        <v>8.7951035328668077</v>
      </c>
      <c r="F166" s="1">
        <f t="shared" si="16"/>
        <v>10</v>
      </c>
      <c r="G166" s="1">
        <f t="shared" si="17"/>
        <v>7.7353846153846204</v>
      </c>
      <c r="H166" s="1"/>
      <c r="I166" s="1">
        <v>19.899999999999999</v>
      </c>
      <c r="J166" s="1">
        <v>10</v>
      </c>
      <c r="K166" s="1">
        <v>0.5</v>
      </c>
      <c r="L166" s="1">
        <v>0.1</v>
      </c>
      <c r="M166" s="1"/>
      <c r="N166" s="1"/>
      <c r="O166" s="1">
        <v>0.8</v>
      </c>
      <c r="P166" s="1"/>
      <c r="Q166" s="1">
        <v>0.4</v>
      </c>
      <c r="R166" s="1">
        <v>2.3809523809523698</v>
      </c>
      <c r="S166" s="1">
        <v>-36.780267816523903</v>
      </c>
      <c r="T166" s="1">
        <v>-20.8075993026196</v>
      </c>
      <c r="U166" s="1">
        <v>0</v>
      </c>
      <c r="V166" s="1">
        <v>0</v>
      </c>
      <c r="W166" s="1">
        <v>2.5790000000000002</v>
      </c>
      <c r="X166" s="1">
        <v>0.16300000000000001</v>
      </c>
      <c r="Y166" s="1">
        <v>0.103159999999999</v>
      </c>
      <c r="Z166" s="1">
        <v>0.32600000000000101</v>
      </c>
      <c r="AA166" s="1">
        <v>20210222</v>
      </c>
      <c r="AB166" s="1"/>
      <c r="AC166" s="1">
        <v>29.72</v>
      </c>
      <c r="AD166" s="1"/>
      <c r="AE166" s="1">
        <v>0</v>
      </c>
      <c r="AF166" s="1"/>
      <c r="AG166" s="1">
        <v>34.29</v>
      </c>
      <c r="AH166" s="1"/>
      <c r="AI166" s="1"/>
      <c r="AJ166" s="1">
        <v>7.7353846153846204</v>
      </c>
      <c r="AK166" s="1">
        <v>10</v>
      </c>
      <c r="AL166" s="1">
        <v>1109</v>
      </c>
      <c r="AM166" s="1">
        <v>1099</v>
      </c>
      <c r="AN166" s="1">
        <v>17500.656999999999</v>
      </c>
      <c r="AO166" s="1">
        <v>996</v>
      </c>
      <c r="AP166" s="1">
        <v>10</v>
      </c>
      <c r="AQ166" s="1">
        <v>0.57140711917272602</v>
      </c>
      <c r="AR166" s="1">
        <v>11.345381526104401</v>
      </c>
      <c r="AS166" s="1">
        <v>1.1345381526104401</v>
      </c>
      <c r="AT166" s="1">
        <v>4.7</v>
      </c>
      <c r="AU166" s="1"/>
      <c r="AV166" s="1" t="s">
        <v>962</v>
      </c>
      <c r="AW166" s="1" t="s">
        <v>96</v>
      </c>
      <c r="AX166" s="1" t="s">
        <v>963</v>
      </c>
      <c r="AY166" s="1" t="s">
        <v>100</v>
      </c>
      <c r="AZ166" s="1" t="s">
        <v>135</v>
      </c>
      <c r="BA166" s="1" t="s">
        <v>100</v>
      </c>
      <c r="BB166" s="1" t="s">
        <v>119</v>
      </c>
      <c r="BC166" s="1" t="s">
        <v>96</v>
      </c>
      <c r="BD166" s="1" t="s">
        <v>120</v>
      </c>
      <c r="BE166" s="1" t="s">
        <v>100</v>
      </c>
      <c r="BF166" s="1" t="s">
        <v>102</v>
      </c>
      <c r="BG166" s="1" t="s">
        <v>98</v>
      </c>
      <c r="BH166" s="1" t="s">
        <v>103</v>
      </c>
      <c r="BI166" t="s">
        <v>98</v>
      </c>
      <c r="BJ166" t="s">
        <v>156</v>
      </c>
      <c r="BK166" t="s">
        <v>100</v>
      </c>
      <c r="BL166" t="s">
        <v>105</v>
      </c>
      <c r="BN166" t="s">
        <v>156</v>
      </c>
      <c r="BO166" t="s">
        <v>100</v>
      </c>
      <c r="BP166" t="s">
        <v>124</v>
      </c>
      <c r="BQ166" t="s">
        <v>96</v>
      </c>
      <c r="BR166" t="s">
        <v>105</v>
      </c>
      <c r="BT166" t="s">
        <v>105</v>
      </c>
      <c r="BV166" t="s">
        <v>109</v>
      </c>
      <c r="BW166" t="s">
        <v>100</v>
      </c>
      <c r="BX166" t="s">
        <v>200</v>
      </c>
      <c r="BY166" t="s">
        <v>100</v>
      </c>
      <c r="BZ166" t="s">
        <v>253</v>
      </c>
      <c r="CA166" t="s">
        <v>98</v>
      </c>
      <c r="CB166" t="s">
        <v>964</v>
      </c>
      <c r="CC166" t="s">
        <v>98</v>
      </c>
      <c r="CD166">
        <v>0</v>
      </c>
      <c r="CE166" t="s">
        <v>96</v>
      </c>
      <c r="CF166">
        <v>0</v>
      </c>
      <c r="CG166" t="s">
        <v>96</v>
      </c>
      <c r="CH166">
        <v>5</v>
      </c>
      <c r="CI166" t="s">
        <v>100</v>
      </c>
      <c r="CJ166" t="s">
        <v>112</v>
      </c>
      <c r="CK166" t="s">
        <v>96</v>
      </c>
      <c r="CL166" t="s">
        <v>113</v>
      </c>
      <c r="CM166" t="s">
        <v>98</v>
      </c>
      <c r="CN166">
        <v>6.75</v>
      </c>
      <c r="CO166">
        <v>0</v>
      </c>
    </row>
    <row r="167" spans="1:93" x14ac:dyDescent="0.2">
      <c r="A167" s="3">
        <v>209</v>
      </c>
      <c r="B167" s="3" t="s">
        <v>965</v>
      </c>
      <c r="C167" s="3" t="s">
        <v>966</v>
      </c>
      <c r="D167" s="1"/>
      <c r="E167" s="1">
        <f t="shared" si="15"/>
        <v>10</v>
      </c>
      <c r="F167" s="1">
        <f t="shared" si="16"/>
        <v>10</v>
      </c>
      <c r="G167" s="1">
        <f t="shared" si="17"/>
        <v>10</v>
      </c>
      <c r="H167" s="1"/>
      <c r="I167" s="1">
        <v>28.8</v>
      </c>
      <c r="J167" s="1">
        <v>8.24</v>
      </c>
      <c r="K167" s="1">
        <v>1</v>
      </c>
      <c r="L167" s="1">
        <v>0.2</v>
      </c>
      <c r="M167" s="1"/>
      <c r="N167" s="1"/>
      <c r="O167" s="1">
        <v>1</v>
      </c>
      <c r="P167" s="1"/>
      <c r="Q167" s="1">
        <v>0.7</v>
      </c>
      <c r="R167" s="1">
        <v>9.5238095238094793</v>
      </c>
      <c r="S167" s="1">
        <v>7.6923076923076898</v>
      </c>
      <c r="T167" s="1">
        <v>12.6406845874802</v>
      </c>
      <c r="U167" s="1">
        <v>0.512820512820513</v>
      </c>
      <c r="V167" s="1">
        <v>0.84271230583201495</v>
      </c>
      <c r="W167" s="1">
        <v>1.774</v>
      </c>
      <c r="X167" s="1">
        <v>4.2999999999999997E-2</v>
      </c>
      <c r="Y167" s="1">
        <v>7.0959999999999496E-2</v>
      </c>
      <c r="Z167" s="1">
        <v>8.6000000000000298E-2</v>
      </c>
      <c r="AA167" s="1">
        <v>20210222</v>
      </c>
      <c r="AB167" s="1"/>
      <c r="AC167" s="1">
        <v>41.67</v>
      </c>
      <c r="AD167" s="1"/>
      <c r="AE167" s="1">
        <v>50</v>
      </c>
      <c r="AF167" s="1"/>
      <c r="AG167" s="1">
        <v>40.380000000000003</v>
      </c>
      <c r="AH167" s="1"/>
      <c r="AI167" s="1"/>
      <c r="AJ167" s="1">
        <v>5.8969230769230796</v>
      </c>
      <c r="AK167" s="1">
        <v>5</v>
      </c>
      <c r="AL167" s="1">
        <v>183</v>
      </c>
      <c r="AM167" s="1">
        <v>175</v>
      </c>
      <c r="AN167" s="1">
        <v>16425.859</v>
      </c>
      <c r="AO167" s="1">
        <v>133</v>
      </c>
      <c r="AP167" s="1">
        <v>8</v>
      </c>
      <c r="AQ167" s="1">
        <v>0.48703693365442902</v>
      </c>
      <c r="AR167" s="1">
        <v>37.593984962405997</v>
      </c>
      <c r="AS167" s="1">
        <v>3.7593984962406002</v>
      </c>
      <c r="AT167" s="1">
        <v>7.2</v>
      </c>
      <c r="AU167" s="1"/>
      <c r="AV167" s="1" t="s">
        <v>967</v>
      </c>
      <c r="AW167" s="1" t="s">
        <v>96</v>
      </c>
      <c r="AX167" s="1" t="s">
        <v>334</v>
      </c>
      <c r="AY167" s="1" t="s">
        <v>100</v>
      </c>
      <c r="AZ167" s="1" t="s">
        <v>118</v>
      </c>
      <c r="BA167" s="1" t="s">
        <v>100</v>
      </c>
      <c r="BB167" s="1" t="s">
        <v>119</v>
      </c>
      <c r="BC167" s="1" t="s">
        <v>96</v>
      </c>
      <c r="BD167" s="1" t="s">
        <v>136</v>
      </c>
      <c r="BE167" s="1" t="s">
        <v>100</v>
      </c>
      <c r="BF167" s="1" t="s">
        <v>102</v>
      </c>
      <c r="BG167" s="1" t="s">
        <v>98</v>
      </c>
      <c r="BH167" s="1" t="s">
        <v>147</v>
      </c>
      <c r="BI167" t="s">
        <v>96</v>
      </c>
      <c r="BJ167" t="s">
        <v>897</v>
      </c>
      <c r="BK167" t="s">
        <v>100</v>
      </c>
      <c r="BL167" t="s">
        <v>105</v>
      </c>
      <c r="BN167" t="s">
        <v>348</v>
      </c>
      <c r="BO167" t="s">
        <v>96</v>
      </c>
      <c r="BP167" t="s">
        <v>124</v>
      </c>
      <c r="BQ167" t="s">
        <v>96</v>
      </c>
      <c r="BR167" t="s">
        <v>968</v>
      </c>
      <c r="BS167" t="s">
        <v>98</v>
      </c>
      <c r="BT167" t="s">
        <v>105</v>
      </c>
      <c r="BV167" t="s">
        <v>125</v>
      </c>
      <c r="BW167" t="s">
        <v>96</v>
      </c>
      <c r="BX167" t="s">
        <v>200</v>
      </c>
      <c r="BY167" t="s">
        <v>100</v>
      </c>
      <c r="BZ167" t="s">
        <v>141</v>
      </c>
      <c r="CA167" t="s">
        <v>96</v>
      </c>
      <c r="CB167" t="s">
        <v>193</v>
      </c>
      <c r="CC167" t="s">
        <v>98</v>
      </c>
      <c r="CD167">
        <v>0</v>
      </c>
      <c r="CE167" t="s">
        <v>96</v>
      </c>
      <c r="CF167">
        <v>0</v>
      </c>
      <c r="CG167" t="s">
        <v>96</v>
      </c>
      <c r="CH167">
        <v>3.6</v>
      </c>
      <c r="CI167" t="s">
        <v>100</v>
      </c>
      <c r="CJ167" t="s">
        <v>112</v>
      </c>
      <c r="CK167" t="s">
        <v>96</v>
      </c>
      <c r="CL167" t="s">
        <v>98</v>
      </c>
      <c r="CM167" t="s">
        <v>98</v>
      </c>
      <c r="CN167">
        <v>10</v>
      </c>
      <c r="CO167">
        <v>10</v>
      </c>
    </row>
    <row r="168" spans="1:93" x14ac:dyDescent="0.2">
      <c r="A168" s="3">
        <v>210</v>
      </c>
      <c r="B168" s="3" t="s">
        <v>969</v>
      </c>
      <c r="C168" s="3" t="s">
        <v>970</v>
      </c>
      <c r="D168" s="1"/>
      <c r="E168" s="1">
        <f t="shared" si="15"/>
        <v>9.8742088290657488</v>
      </c>
      <c r="F168" s="1">
        <f t="shared" si="16"/>
        <v>9.75</v>
      </c>
      <c r="G168" s="1">
        <f t="shared" si="17"/>
        <v>10</v>
      </c>
      <c r="H168" s="1"/>
      <c r="I168" s="1">
        <v>32.5</v>
      </c>
      <c r="J168" s="1">
        <v>7.5</v>
      </c>
      <c r="K168" s="1">
        <v>0.7</v>
      </c>
      <c r="L168" s="1">
        <v>0.7</v>
      </c>
      <c r="M168" s="1"/>
      <c r="N168" s="1"/>
      <c r="O168" s="1">
        <v>1</v>
      </c>
      <c r="P168" s="1">
        <v>0.6</v>
      </c>
      <c r="Q168" s="1">
        <v>0.7</v>
      </c>
      <c r="R168" s="1">
        <v>9.5238095238094793</v>
      </c>
      <c r="S168" s="1">
        <v>-73.076923076923094</v>
      </c>
      <c r="T168" s="1">
        <v>8.8828891275928008</v>
      </c>
      <c r="U168" s="1">
        <v>0</v>
      </c>
      <c r="V168" s="1">
        <v>0.59219260850618805</v>
      </c>
      <c r="W168" s="1">
        <v>7.6790000000000003</v>
      </c>
      <c r="X168" s="1">
        <v>0</v>
      </c>
      <c r="Y168" s="1">
        <v>0.30715999999999999</v>
      </c>
      <c r="Z168" s="1">
        <v>0</v>
      </c>
      <c r="AA168" s="1">
        <v>20210222</v>
      </c>
      <c r="AB168" s="1"/>
      <c r="AC168" s="1">
        <v>49.44</v>
      </c>
      <c r="AD168" s="1"/>
      <c r="AE168" s="1">
        <v>100</v>
      </c>
      <c r="AF168" s="1"/>
      <c r="AG168" s="1">
        <v>41.67</v>
      </c>
      <c r="AH168" s="1"/>
      <c r="AI168" s="1"/>
      <c r="AJ168" s="1">
        <v>4.7015384615384601</v>
      </c>
      <c r="AK168" s="1">
        <v>0</v>
      </c>
      <c r="AL168" s="1">
        <v>91</v>
      </c>
      <c r="AM168" s="1">
        <v>89</v>
      </c>
      <c r="AN168" s="1">
        <v>8278.7369999999992</v>
      </c>
      <c r="AO168" s="1">
        <v>81</v>
      </c>
      <c r="AP168" s="1">
        <v>2</v>
      </c>
      <c r="AQ168" s="1">
        <v>0.24158274384124001</v>
      </c>
      <c r="AR168" s="1">
        <v>12.3456790123457</v>
      </c>
      <c r="AS168" s="1">
        <v>1.2345679012345701</v>
      </c>
      <c r="AT168" s="1">
        <v>5.9</v>
      </c>
      <c r="AU168" s="1"/>
      <c r="AV168" s="1" t="s">
        <v>971</v>
      </c>
      <c r="AW168" s="1" t="s">
        <v>96</v>
      </c>
      <c r="AX168" s="1" t="s">
        <v>270</v>
      </c>
      <c r="AY168" s="1" t="s">
        <v>100</v>
      </c>
      <c r="AZ168" s="1" t="s">
        <v>118</v>
      </c>
      <c r="BA168" s="1" t="s">
        <v>100</v>
      </c>
      <c r="BB168" s="1" t="s">
        <v>101</v>
      </c>
      <c r="BC168" s="1" t="s">
        <v>98</v>
      </c>
      <c r="BD168" s="1" t="s">
        <v>101</v>
      </c>
      <c r="BE168" s="1" t="s">
        <v>98</v>
      </c>
      <c r="BF168" s="1" t="s">
        <v>102</v>
      </c>
      <c r="BG168" s="1" t="s">
        <v>98</v>
      </c>
      <c r="BH168" s="1" t="s">
        <v>103</v>
      </c>
      <c r="BI168" t="s">
        <v>98</v>
      </c>
      <c r="BJ168" t="s">
        <v>156</v>
      </c>
      <c r="BK168" t="s">
        <v>100</v>
      </c>
      <c r="BL168" t="s">
        <v>105</v>
      </c>
      <c r="BN168" t="s">
        <v>140</v>
      </c>
      <c r="BO168" t="s">
        <v>96</v>
      </c>
      <c r="BP168" t="s">
        <v>124</v>
      </c>
      <c r="BQ168" t="s">
        <v>96</v>
      </c>
      <c r="BR168" t="s">
        <v>972</v>
      </c>
      <c r="BS168" t="s">
        <v>100</v>
      </c>
      <c r="BT168" t="s">
        <v>105</v>
      </c>
      <c r="BV168" t="s">
        <v>125</v>
      </c>
      <c r="BW168" t="s">
        <v>96</v>
      </c>
      <c r="BX168" t="s">
        <v>126</v>
      </c>
      <c r="BY168" t="s">
        <v>100</v>
      </c>
      <c r="BZ168" t="s">
        <v>141</v>
      </c>
      <c r="CA168" t="s">
        <v>96</v>
      </c>
      <c r="CB168" t="s">
        <v>105</v>
      </c>
      <c r="CD168">
        <v>0</v>
      </c>
      <c r="CE168" t="s">
        <v>96</v>
      </c>
      <c r="CF168">
        <v>0</v>
      </c>
      <c r="CG168" t="s">
        <v>96</v>
      </c>
      <c r="CH168">
        <v>1.8</v>
      </c>
      <c r="CI168" t="s">
        <v>96</v>
      </c>
      <c r="CJ168" t="s">
        <v>112</v>
      </c>
      <c r="CK168" t="s">
        <v>96</v>
      </c>
      <c r="CL168" t="s">
        <v>130</v>
      </c>
      <c r="CM168" t="s">
        <v>96</v>
      </c>
      <c r="CN168">
        <v>9.75</v>
      </c>
      <c r="CO168">
        <v>10</v>
      </c>
    </row>
    <row r="169" spans="1:93" x14ac:dyDescent="0.2">
      <c r="A169" s="3">
        <v>211</v>
      </c>
      <c r="B169" s="3" t="s">
        <v>973</v>
      </c>
      <c r="C169" s="3" t="s">
        <v>974</v>
      </c>
      <c r="D169" s="1"/>
      <c r="E169" s="1">
        <f t="shared" si="15"/>
        <v>6.7082039324993685</v>
      </c>
      <c r="F169" s="1">
        <f t="shared" si="16"/>
        <v>4.5</v>
      </c>
      <c r="G169" s="1">
        <f t="shared" si="17"/>
        <v>10</v>
      </c>
      <c r="H169" s="1"/>
      <c r="I169" s="1">
        <v>73.2</v>
      </c>
      <c r="J169" s="1">
        <v>0</v>
      </c>
      <c r="K169" s="1">
        <v>0.9</v>
      </c>
      <c r="L169" s="1">
        <v>0.9</v>
      </c>
      <c r="M169" s="1"/>
      <c r="N169" s="1"/>
      <c r="O169" s="1">
        <v>0.8</v>
      </c>
      <c r="P169" s="1">
        <v>0.7</v>
      </c>
      <c r="Q169" s="1">
        <v>0.8</v>
      </c>
      <c r="R169" s="1">
        <v>10</v>
      </c>
      <c r="S169" s="1">
        <v>7.6923076923076898</v>
      </c>
      <c r="T169" s="1">
        <v>-76.469907721229504</v>
      </c>
      <c r="U169" s="1">
        <v>0.512820512820513</v>
      </c>
      <c r="V169" s="1">
        <v>0</v>
      </c>
      <c r="W169" s="1">
        <v>1.91</v>
      </c>
      <c r="X169" s="1">
        <v>6.0000000000000001E-3</v>
      </c>
      <c r="Y169" s="1">
        <v>7.6399999999999593E-2</v>
      </c>
      <c r="Z169" s="1">
        <v>1.20000000000005E-2</v>
      </c>
      <c r="AA169" s="1">
        <v>20210222</v>
      </c>
      <c r="AB169" s="1">
        <v>37.78</v>
      </c>
      <c r="AC169" s="1">
        <v>37.78</v>
      </c>
      <c r="AD169" s="1">
        <v>12.5</v>
      </c>
      <c r="AE169" s="1">
        <v>12.5</v>
      </c>
      <c r="AF169" s="1">
        <v>41.67</v>
      </c>
      <c r="AG169" s="1">
        <v>41.67</v>
      </c>
      <c r="AH169" s="1">
        <v>1</v>
      </c>
      <c r="AI169" s="1">
        <v>0</v>
      </c>
      <c r="AJ169" s="1">
        <v>6.4953846153846104</v>
      </c>
      <c r="AK169" s="1">
        <v>8.75</v>
      </c>
      <c r="AL169" s="1">
        <v>85</v>
      </c>
      <c r="AM169" s="1">
        <v>85</v>
      </c>
      <c r="AN169" s="1">
        <v>69799.978000000003</v>
      </c>
      <c r="AO169" s="1">
        <v>83</v>
      </c>
      <c r="AP169" s="1">
        <v>0</v>
      </c>
      <c r="AQ169" s="1">
        <v>0</v>
      </c>
      <c r="AR169" s="1">
        <v>2.4096385542168699</v>
      </c>
      <c r="AS169" s="1">
        <v>0.240963855421686</v>
      </c>
      <c r="AT169" s="1">
        <v>3.8</v>
      </c>
      <c r="AU169" s="1"/>
      <c r="AV169" s="1" t="s">
        <v>975</v>
      </c>
      <c r="AW169" s="1" t="s">
        <v>96</v>
      </c>
      <c r="AX169" s="1" t="s">
        <v>304</v>
      </c>
      <c r="AY169" s="1" t="s">
        <v>100</v>
      </c>
      <c r="AZ169" s="1" t="s">
        <v>174</v>
      </c>
      <c r="BA169" s="1" t="s">
        <v>96</v>
      </c>
      <c r="BB169" s="1" t="s">
        <v>119</v>
      </c>
      <c r="BC169" s="1" t="s">
        <v>96</v>
      </c>
      <c r="BD169" s="1" t="s">
        <v>120</v>
      </c>
      <c r="BE169" s="1" t="s">
        <v>100</v>
      </c>
      <c r="BF169" s="1" t="s">
        <v>137</v>
      </c>
      <c r="BG169" s="1" t="s">
        <v>100</v>
      </c>
      <c r="BH169" s="1" t="s">
        <v>147</v>
      </c>
      <c r="BI169" t="s">
        <v>96</v>
      </c>
      <c r="BJ169" t="s">
        <v>318</v>
      </c>
      <c r="BK169" t="s">
        <v>98</v>
      </c>
      <c r="BL169" t="s">
        <v>168</v>
      </c>
      <c r="BM169" t="s">
        <v>96</v>
      </c>
      <c r="BN169" t="s">
        <v>832</v>
      </c>
      <c r="BO169" t="s">
        <v>100</v>
      </c>
      <c r="BP169" t="s">
        <v>124</v>
      </c>
      <c r="BQ169" t="s">
        <v>96</v>
      </c>
      <c r="BR169" t="s">
        <v>105</v>
      </c>
      <c r="BT169" t="s">
        <v>976</v>
      </c>
      <c r="BU169" t="s">
        <v>98</v>
      </c>
      <c r="BV169" t="s">
        <v>125</v>
      </c>
      <c r="BW169" t="s">
        <v>96</v>
      </c>
      <c r="BX169" t="s">
        <v>126</v>
      </c>
      <c r="BY169" t="s">
        <v>100</v>
      </c>
      <c r="BZ169" t="s">
        <v>127</v>
      </c>
      <c r="CA169" t="s">
        <v>100</v>
      </c>
      <c r="CB169" t="s">
        <v>977</v>
      </c>
      <c r="CC169" t="s">
        <v>100</v>
      </c>
      <c r="CD169">
        <v>0.7</v>
      </c>
      <c r="CE169" t="s">
        <v>96</v>
      </c>
      <c r="CF169">
        <v>0.1</v>
      </c>
      <c r="CG169" t="s">
        <v>96</v>
      </c>
      <c r="CH169">
        <v>5.0999999999999996</v>
      </c>
      <c r="CI169" t="s">
        <v>100</v>
      </c>
      <c r="CJ169" t="s">
        <v>112</v>
      </c>
      <c r="CK169" t="s">
        <v>96</v>
      </c>
      <c r="CL169" t="s">
        <v>96</v>
      </c>
      <c r="CM169" t="s">
        <v>100</v>
      </c>
      <c r="CN169">
        <v>4.5</v>
      </c>
      <c r="CO169">
        <v>0</v>
      </c>
    </row>
    <row r="170" spans="1:93" x14ac:dyDescent="0.2">
      <c r="A170" s="3">
        <v>212</v>
      </c>
      <c r="B170" s="3" t="s">
        <v>978</v>
      </c>
      <c r="C170" s="3" t="s">
        <v>979</v>
      </c>
      <c r="D170" s="1"/>
      <c r="E170" s="1">
        <f t="shared" si="15"/>
        <v>8.4579666587188687</v>
      </c>
      <c r="F170" s="1">
        <f t="shared" si="16"/>
        <v>7.54</v>
      </c>
      <c r="G170" s="1">
        <f t="shared" si="17"/>
        <v>9.4876923076923099</v>
      </c>
      <c r="H170" s="1"/>
      <c r="I170" s="1">
        <v>32.299999999999997</v>
      </c>
      <c r="J170" s="1">
        <v>7.54</v>
      </c>
      <c r="K170" s="1">
        <v>0.1</v>
      </c>
      <c r="L170" s="1">
        <v>0.2</v>
      </c>
      <c r="M170" s="1"/>
      <c r="N170" s="1"/>
      <c r="O170" s="1">
        <v>0.8</v>
      </c>
      <c r="P170" s="1">
        <v>0.4</v>
      </c>
      <c r="Q170" s="1">
        <v>0.4</v>
      </c>
      <c r="R170" s="1">
        <v>2.3809523809523698</v>
      </c>
      <c r="S170" s="1">
        <v>0.01</v>
      </c>
      <c r="T170" s="1">
        <v>0.01</v>
      </c>
      <c r="U170" s="1">
        <v>6.6666666666748099E-4</v>
      </c>
      <c r="V170" s="1">
        <v>6.6666666666748099E-4</v>
      </c>
      <c r="W170" s="1">
        <v>0</v>
      </c>
      <c r="X170" s="1">
        <v>0</v>
      </c>
      <c r="Y170" s="1">
        <v>0</v>
      </c>
      <c r="Z170" s="1">
        <v>0</v>
      </c>
      <c r="AA170" s="1">
        <v>20210222</v>
      </c>
      <c r="AB170" s="1"/>
      <c r="AC170" s="1">
        <v>18.329999999999998</v>
      </c>
      <c r="AD170" s="1"/>
      <c r="AE170" s="1">
        <v>0</v>
      </c>
      <c r="AF170" s="1"/>
      <c r="AG170" s="1">
        <v>21.15</v>
      </c>
      <c r="AH170" s="1"/>
      <c r="AI170" s="1"/>
      <c r="AJ170" s="1">
        <v>9.4876923076923099</v>
      </c>
      <c r="AK170" s="1">
        <v>10</v>
      </c>
      <c r="AL170" s="1"/>
      <c r="AM170" s="1"/>
      <c r="AN170" s="1"/>
      <c r="AO170" s="1"/>
      <c r="AP170" s="1"/>
      <c r="AQ170" s="1"/>
      <c r="AR170" s="1"/>
      <c r="AS170" s="1"/>
      <c r="AT170" s="1">
        <v>4.3</v>
      </c>
      <c r="AU170" s="1"/>
      <c r="AV170" s="1" t="s">
        <v>533</v>
      </c>
      <c r="AW170" s="1" t="s">
        <v>96</v>
      </c>
      <c r="AX170" s="1" t="s">
        <v>515</v>
      </c>
      <c r="AY170" s="1" t="s">
        <v>100</v>
      </c>
      <c r="AZ170" s="1" t="s">
        <v>118</v>
      </c>
      <c r="BA170" s="1" t="s">
        <v>100</v>
      </c>
      <c r="BB170" s="1" t="s">
        <v>101</v>
      </c>
      <c r="BC170" s="1" t="s">
        <v>98</v>
      </c>
      <c r="BD170" s="1" t="s">
        <v>101</v>
      </c>
      <c r="BE170" s="1" t="s">
        <v>98</v>
      </c>
      <c r="BF170" s="1" t="s">
        <v>137</v>
      </c>
      <c r="BG170" s="1" t="s">
        <v>100</v>
      </c>
      <c r="BH170" s="1" t="s">
        <v>121</v>
      </c>
      <c r="BI170" t="s">
        <v>100</v>
      </c>
      <c r="BJ170" t="s">
        <v>168</v>
      </c>
      <c r="BK170" t="s">
        <v>100</v>
      </c>
      <c r="BL170" t="s">
        <v>105</v>
      </c>
      <c r="BN170" t="s">
        <v>442</v>
      </c>
      <c r="BO170" t="s">
        <v>98</v>
      </c>
      <c r="BP170" t="s">
        <v>124</v>
      </c>
      <c r="BQ170" t="s">
        <v>96</v>
      </c>
      <c r="BR170" t="s">
        <v>105</v>
      </c>
      <c r="BT170" t="s">
        <v>105</v>
      </c>
      <c r="BV170" t="s">
        <v>125</v>
      </c>
      <c r="BW170" t="s">
        <v>96</v>
      </c>
      <c r="BX170" t="s">
        <v>200</v>
      </c>
      <c r="BY170" t="s">
        <v>100</v>
      </c>
      <c r="BZ170" t="s">
        <v>127</v>
      </c>
      <c r="CA170" t="s">
        <v>100</v>
      </c>
      <c r="CB170" t="s">
        <v>105</v>
      </c>
      <c r="CD170">
        <v>0.8</v>
      </c>
      <c r="CE170" t="s">
        <v>96</v>
      </c>
      <c r="CF170">
        <v>0</v>
      </c>
      <c r="CG170" t="s">
        <v>96</v>
      </c>
      <c r="CH170">
        <v>5.0999999999999996</v>
      </c>
      <c r="CI170" t="s">
        <v>100</v>
      </c>
      <c r="CJ170" t="s">
        <v>112</v>
      </c>
      <c r="CK170" t="s">
        <v>96</v>
      </c>
      <c r="CL170" t="s">
        <v>130</v>
      </c>
      <c r="CM170" t="s">
        <v>96</v>
      </c>
      <c r="CN170">
        <v>5.75</v>
      </c>
      <c r="CO170">
        <v>0</v>
      </c>
    </row>
    <row r="171" spans="1:93" x14ac:dyDescent="0.2">
      <c r="A171" s="3">
        <v>213</v>
      </c>
      <c r="B171" s="3" t="s">
        <v>980</v>
      </c>
      <c r="C171" s="3" t="s">
        <v>981</v>
      </c>
      <c r="D171" s="1"/>
      <c r="E171" s="1">
        <f t="shared" si="15"/>
        <v>7.0444828384728444</v>
      </c>
      <c r="F171" s="1">
        <f t="shared" si="16"/>
        <v>7.64</v>
      </c>
      <c r="G171" s="1">
        <f t="shared" si="17"/>
        <v>6.4953846153846104</v>
      </c>
      <c r="H171" s="1"/>
      <c r="I171" s="1">
        <v>31.8</v>
      </c>
      <c r="J171" s="1">
        <v>7.64</v>
      </c>
      <c r="K171" s="1"/>
      <c r="L171" s="1">
        <v>0.1</v>
      </c>
      <c r="M171" s="1"/>
      <c r="N171" s="1"/>
      <c r="O171" s="1">
        <v>0.8</v>
      </c>
      <c r="P171" s="1">
        <v>0</v>
      </c>
      <c r="Q171" s="1">
        <v>0.3</v>
      </c>
      <c r="R171" s="1">
        <v>0</v>
      </c>
      <c r="S171" s="1"/>
      <c r="T171" s="1"/>
      <c r="U171" s="1"/>
      <c r="V171" s="1"/>
      <c r="W171" s="1"/>
      <c r="X171" s="1"/>
      <c r="Y171" s="1"/>
      <c r="Z171" s="1"/>
      <c r="AA171" s="1">
        <v>20210222</v>
      </c>
      <c r="AB171" s="1"/>
      <c r="AC171" s="1">
        <v>37.78</v>
      </c>
      <c r="AD171" s="1"/>
      <c r="AE171" s="1">
        <v>0</v>
      </c>
      <c r="AF171" s="1"/>
      <c r="AG171" s="1">
        <v>43.59</v>
      </c>
      <c r="AH171" s="1"/>
      <c r="AI171" s="1"/>
      <c r="AJ171" s="1">
        <v>6.4953846153846104</v>
      </c>
      <c r="AK171" s="1">
        <v>10</v>
      </c>
      <c r="AL171" s="1"/>
      <c r="AM171" s="1"/>
      <c r="AN171" s="1"/>
      <c r="AO171" s="1"/>
      <c r="AP171" s="1"/>
      <c r="AQ171" s="1"/>
      <c r="AR171" s="1"/>
      <c r="AS171" s="1"/>
      <c r="AT171" s="1">
        <v>3.3</v>
      </c>
      <c r="AU171" s="1"/>
      <c r="AV171" s="1" t="s">
        <v>105</v>
      </c>
      <c r="AW171" s="1"/>
      <c r="AX171" s="1" t="s">
        <v>386</v>
      </c>
      <c r="AY171" s="1" t="s">
        <v>100</v>
      </c>
      <c r="AZ171" s="1" t="s">
        <v>174</v>
      </c>
      <c r="BA171" s="1" t="s">
        <v>96</v>
      </c>
      <c r="BB171" s="1" t="s">
        <v>119</v>
      </c>
      <c r="BC171" s="1" t="s">
        <v>96</v>
      </c>
      <c r="BD171" s="1" t="s">
        <v>101</v>
      </c>
      <c r="BE171" s="1" t="s">
        <v>98</v>
      </c>
      <c r="BF171" s="1" t="s">
        <v>102</v>
      </c>
      <c r="BG171" s="1" t="s">
        <v>98</v>
      </c>
      <c r="BH171" s="1" t="s">
        <v>103</v>
      </c>
      <c r="BI171" t="s">
        <v>98</v>
      </c>
      <c r="BJ171" t="s">
        <v>245</v>
      </c>
      <c r="BK171" t="s">
        <v>96</v>
      </c>
      <c r="BL171" t="s">
        <v>105</v>
      </c>
      <c r="BN171" t="s">
        <v>272</v>
      </c>
      <c r="BO171" t="s">
        <v>98</v>
      </c>
      <c r="BP171" t="s">
        <v>124</v>
      </c>
      <c r="BQ171" t="s">
        <v>96</v>
      </c>
      <c r="BR171" t="s">
        <v>105</v>
      </c>
      <c r="BT171" t="s">
        <v>105</v>
      </c>
      <c r="BV171" t="s">
        <v>125</v>
      </c>
      <c r="BW171" t="s">
        <v>96</v>
      </c>
      <c r="BX171" t="s">
        <v>904</v>
      </c>
      <c r="BY171" t="s">
        <v>98</v>
      </c>
      <c r="BZ171" t="s">
        <v>253</v>
      </c>
      <c r="CA171" t="s">
        <v>98</v>
      </c>
      <c r="CB171" t="s">
        <v>105</v>
      </c>
      <c r="CD171">
        <v>0</v>
      </c>
      <c r="CE171" t="s">
        <v>96</v>
      </c>
      <c r="CF171">
        <v>0</v>
      </c>
      <c r="CG171" t="s">
        <v>96</v>
      </c>
      <c r="CH171">
        <v>0.8</v>
      </c>
      <c r="CI171" t="s">
        <v>96</v>
      </c>
      <c r="CJ171" t="s">
        <v>112</v>
      </c>
      <c r="CK171" t="s">
        <v>96</v>
      </c>
      <c r="CL171" t="s">
        <v>130</v>
      </c>
      <c r="CM171" t="s">
        <v>96</v>
      </c>
      <c r="CN171">
        <v>3.25</v>
      </c>
      <c r="CO171">
        <v>0</v>
      </c>
    </row>
    <row r="172" spans="1:93" x14ac:dyDescent="0.2">
      <c r="A172" s="3">
        <v>214</v>
      </c>
      <c r="B172" s="3" t="s">
        <v>982</v>
      </c>
      <c r="C172" s="3" t="s">
        <v>983</v>
      </c>
      <c r="D172" s="1"/>
      <c r="E172" s="1">
        <f t="shared" si="15"/>
        <v>9.1547541643412487</v>
      </c>
      <c r="F172" s="1">
        <f t="shared" si="16"/>
        <v>8.8000000000000007</v>
      </c>
      <c r="G172" s="1">
        <f t="shared" si="17"/>
        <v>9.5238095238094793</v>
      </c>
      <c r="H172" s="1"/>
      <c r="I172" s="1">
        <v>26</v>
      </c>
      <c r="J172" s="1">
        <v>8.8000000000000007</v>
      </c>
      <c r="K172" s="1">
        <v>1</v>
      </c>
      <c r="L172" s="1">
        <v>0.7</v>
      </c>
      <c r="M172" s="1"/>
      <c r="N172" s="1"/>
      <c r="O172" s="1">
        <v>0.5</v>
      </c>
      <c r="P172" s="1"/>
      <c r="Q172" s="1">
        <v>0.7</v>
      </c>
      <c r="R172" s="1">
        <v>9.5238095238094793</v>
      </c>
      <c r="S172" s="1"/>
      <c r="T172" s="1"/>
      <c r="U172" s="1"/>
      <c r="V172" s="1"/>
      <c r="W172" s="1">
        <v>0.108</v>
      </c>
      <c r="X172" s="1">
        <v>0</v>
      </c>
      <c r="Y172" s="1">
        <v>4.3199999999998804E-3</v>
      </c>
      <c r="Z172" s="1">
        <v>0</v>
      </c>
      <c r="AA172" s="1">
        <v>20210222</v>
      </c>
      <c r="AB172" s="1">
        <v>40</v>
      </c>
      <c r="AC172" s="1">
        <v>40</v>
      </c>
      <c r="AD172" s="1">
        <v>0</v>
      </c>
      <c r="AE172" s="1">
        <v>0</v>
      </c>
      <c r="AF172" s="1">
        <v>46.15</v>
      </c>
      <c r="AG172" s="1">
        <v>46.15</v>
      </c>
      <c r="AH172" s="1">
        <v>0</v>
      </c>
      <c r="AI172" s="1"/>
      <c r="AJ172" s="1">
        <v>6.1538461538461497</v>
      </c>
      <c r="AK172" s="1">
        <v>10</v>
      </c>
      <c r="AL172" s="1">
        <v>0</v>
      </c>
      <c r="AM172" s="1">
        <v>0</v>
      </c>
      <c r="AN172" s="1">
        <v>1318.442</v>
      </c>
      <c r="AO172" s="1">
        <v>0</v>
      </c>
      <c r="AP172" s="1">
        <v>0</v>
      </c>
      <c r="AQ172" s="1">
        <v>0</v>
      </c>
      <c r="AR172" s="1"/>
      <c r="AS172" s="1"/>
      <c r="AT172" s="1">
        <v>5.5</v>
      </c>
      <c r="AU172" s="1"/>
      <c r="AV172" s="1" t="s">
        <v>739</v>
      </c>
      <c r="AW172" s="1" t="s">
        <v>96</v>
      </c>
      <c r="AX172" s="1" t="s">
        <v>182</v>
      </c>
      <c r="AY172" s="1" t="s">
        <v>100</v>
      </c>
      <c r="AZ172" s="1" t="s">
        <v>174</v>
      </c>
      <c r="BA172" s="1" t="s">
        <v>96</v>
      </c>
      <c r="BB172" s="1" t="s">
        <v>101</v>
      </c>
      <c r="BC172" s="1" t="s">
        <v>98</v>
      </c>
      <c r="BD172" s="1" t="s">
        <v>136</v>
      </c>
      <c r="BE172" s="1" t="s">
        <v>100</v>
      </c>
      <c r="BF172" s="1" t="s">
        <v>137</v>
      </c>
      <c r="BG172" s="1" t="s">
        <v>100</v>
      </c>
      <c r="BH172" s="1" t="s">
        <v>103</v>
      </c>
      <c r="BI172" t="s">
        <v>98</v>
      </c>
      <c r="BJ172" t="s">
        <v>381</v>
      </c>
      <c r="BK172" t="s">
        <v>98</v>
      </c>
      <c r="BL172" t="s">
        <v>105</v>
      </c>
      <c r="BN172" t="s">
        <v>163</v>
      </c>
      <c r="BO172" t="s">
        <v>96</v>
      </c>
      <c r="BP172" t="s">
        <v>124</v>
      </c>
      <c r="BQ172" t="s">
        <v>96</v>
      </c>
      <c r="BR172" t="s">
        <v>105</v>
      </c>
      <c r="BT172" t="s">
        <v>105</v>
      </c>
      <c r="BV172" t="s">
        <v>125</v>
      </c>
      <c r="BW172" t="s">
        <v>96</v>
      </c>
      <c r="BX172" t="s">
        <v>110</v>
      </c>
      <c r="BY172" t="s">
        <v>96</v>
      </c>
      <c r="BZ172" t="s">
        <v>141</v>
      </c>
      <c r="CA172" t="s">
        <v>96</v>
      </c>
      <c r="CB172" t="s">
        <v>105</v>
      </c>
      <c r="CD172">
        <v>0</v>
      </c>
      <c r="CE172" t="s">
        <v>96</v>
      </c>
      <c r="CF172">
        <v>3.6</v>
      </c>
      <c r="CG172" t="s">
        <v>100</v>
      </c>
      <c r="CH172">
        <v>1.5</v>
      </c>
      <c r="CI172" t="s">
        <v>96</v>
      </c>
      <c r="CJ172" t="s">
        <v>112</v>
      </c>
      <c r="CK172" t="s">
        <v>96</v>
      </c>
      <c r="CL172" t="s">
        <v>130</v>
      </c>
      <c r="CM172" t="s">
        <v>96</v>
      </c>
      <c r="CN172">
        <v>8.75</v>
      </c>
      <c r="CO172">
        <v>0</v>
      </c>
    </row>
    <row r="173" spans="1:93" x14ac:dyDescent="0.2">
      <c r="A173" s="3">
        <v>215</v>
      </c>
      <c r="B173" s="3" t="s">
        <v>984</v>
      </c>
      <c r="C173" s="3" t="s">
        <v>985</v>
      </c>
      <c r="D173" s="1"/>
      <c r="E173" s="1">
        <f t="shared" si="15"/>
        <v>7.9813995302539791</v>
      </c>
      <c r="F173" s="1">
        <f t="shared" si="16"/>
        <v>8.98</v>
      </c>
      <c r="G173" s="1">
        <f t="shared" si="17"/>
        <v>7.0938461538461501</v>
      </c>
      <c r="H173" s="1"/>
      <c r="I173" s="1">
        <v>25.1</v>
      </c>
      <c r="J173" s="1">
        <v>8.98</v>
      </c>
      <c r="K173" s="1"/>
      <c r="L173" s="1"/>
      <c r="M173" s="1"/>
      <c r="N173" s="1"/>
      <c r="O173" s="1"/>
      <c r="P173" s="1"/>
      <c r="Q173" s="1"/>
      <c r="R173" s="1"/>
      <c r="S173" s="1"/>
      <c r="T173" s="1"/>
      <c r="U173" s="1"/>
      <c r="V173" s="1"/>
      <c r="W173" s="1"/>
      <c r="X173" s="1"/>
      <c r="Y173" s="1"/>
      <c r="Z173" s="1"/>
      <c r="AA173" s="1">
        <v>20210222</v>
      </c>
      <c r="AB173" s="1"/>
      <c r="AC173" s="1">
        <v>33.89</v>
      </c>
      <c r="AD173" s="1"/>
      <c r="AE173" s="1">
        <v>0</v>
      </c>
      <c r="AF173" s="1"/>
      <c r="AG173" s="1">
        <v>39.1</v>
      </c>
      <c r="AH173" s="1"/>
      <c r="AI173" s="1"/>
      <c r="AJ173" s="1">
        <v>7.0938461538461501</v>
      </c>
      <c r="AK173" s="1">
        <v>10</v>
      </c>
      <c r="AL173" s="1"/>
      <c r="AM173" s="1"/>
      <c r="AN173" s="1"/>
      <c r="AO173" s="1"/>
      <c r="AP173" s="1"/>
      <c r="AQ173" s="1"/>
      <c r="AR173" s="1"/>
      <c r="AS173" s="1"/>
      <c r="AT173" s="1">
        <v>4</v>
      </c>
      <c r="AU173" s="1"/>
      <c r="AV173" s="1" t="s">
        <v>105</v>
      </c>
      <c r="AW173" s="1"/>
      <c r="AX173" s="1" t="s">
        <v>304</v>
      </c>
      <c r="AY173" s="1" t="s">
        <v>100</v>
      </c>
      <c r="AZ173" s="1" t="s">
        <v>174</v>
      </c>
      <c r="BA173" s="1" t="s">
        <v>96</v>
      </c>
      <c r="BB173" s="1" t="s">
        <v>101</v>
      </c>
      <c r="BC173" s="1" t="s">
        <v>98</v>
      </c>
      <c r="BD173" s="1" t="s">
        <v>136</v>
      </c>
      <c r="BE173" s="1" t="s">
        <v>100</v>
      </c>
      <c r="BF173" s="1" t="s">
        <v>102</v>
      </c>
      <c r="BG173" s="1" t="s">
        <v>98</v>
      </c>
      <c r="BH173" s="1" t="s">
        <v>103</v>
      </c>
      <c r="BI173" t="s">
        <v>98</v>
      </c>
      <c r="BJ173" t="s">
        <v>922</v>
      </c>
      <c r="BK173" t="s">
        <v>98</v>
      </c>
      <c r="BL173" t="s">
        <v>105</v>
      </c>
      <c r="BN173" t="s">
        <v>411</v>
      </c>
      <c r="BO173" t="s">
        <v>96</v>
      </c>
      <c r="BP173" t="s">
        <v>124</v>
      </c>
      <c r="BQ173" t="s">
        <v>96</v>
      </c>
      <c r="BR173" t="s">
        <v>105</v>
      </c>
      <c r="BT173" t="s">
        <v>105</v>
      </c>
      <c r="BV173" t="s">
        <v>125</v>
      </c>
      <c r="BW173" t="s">
        <v>96</v>
      </c>
      <c r="BX173" t="s">
        <v>200</v>
      </c>
      <c r="BY173" t="s">
        <v>100</v>
      </c>
      <c r="BZ173" t="s">
        <v>127</v>
      </c>
      <c r="CA173" t="s">
        <v>100</v>
      </c>
      <c r="CB173" t="s">
        <v>105</v>
      </c>
      <c r="CD173">
        <v>0.1</v>
      </c>
      <c r="CE173" t="s">
        <v>96</v>
      </c>
      <c r="CF173">
        <v>6.2</v>
      </c>
      <c r="CG173" t="s">
        <v>100</v>
      </c>
      <c r="CH173">
        <v>0.5</v>
      </c>
      <c r="CI173" t="s">
        <v>96</v>
      </c>
      <c r="CJ173" t="s">
        <v>105</v>
      </c>
      <c r="CL173" t="s">
        <v>130</v>
      </c>
      <c r="CM173" t="s">
        <v>96</v>
      </c>
      <c r="CN173">
        <v>5</v>
      </c>
      <c r="CO173">
        <v>0</v>
      </c>
    </row>
    <row r="174" spans="1:93" x14ac:dyDescent="0.2">
      <c r="A174" s="3">
        <v>216</v>
      </c>
      <c r="B174" s="3" t="s">
        <v>986</v>
      </c>
      <c r="C174" s="3" t="s">
        <v>987</v>
      </c>
      <c r="D174" s="1"/>
      <c r="E174" s="1">
        <f t="shared" si="15"/>
        <v>8.1731266966810203</v>
      </c>
      <c r="F174" s="1">
        <f t="shared" si="16"/>
        <v>6.68</v>
      </c>
      <c r="G174" s="1">
        <f t="shared" si="17"/>
        <v>10</v>
      </c>
      <c r="H174" s="1"/>
      <c r="I174" s="1">
        <v>36.6</v>
      </c>
      <c r="J174" s="1">
        <v>6.68</v>
      </c>
      <c r="K174" s="1">
        <v>0.9</v>
      </c>
      <c r="L174" s="1">
        <v>0.7</v>
      </c>
      <c r="M174" s="1"/>
      <c r="N174" s="1"/>
      <c r="O174" s="1">
        <v>1</v>
      </c>
      <c r="P174" s="1">
        <v>0.7</v>
      </c>
      <c r="Q174" s="1">
        <v>0.8</v>
      </c>
      <c r="R174" s="1">
        <v>10</v>
      </c>
      <c r="S174" s="1">
        <v>330.769230769231</v>
      </c>
      <c r="T174" s="1">
        <v>-45.297398531804099</v>
      </c>
      <c r="U174" s="1">
        <v>10</v>
      </c>
      <c r="V174" s="1">
        <v>0</v>
      </c>
      <c r="W174" s="1">
        <v>3.879</v>
      </c>
      <c r="X174" s="1">
        <v>0.10199999999999999</v>
      </c>
      <c r="Y174" s="1">
        <v>0.15515999999999999</v>
      </c>
      <c r="Z174" s="1">
        <v>0.20400000000000101</v>
      </c>
      <c r="AA174" s="1">
        <v>20210222</v>
      </c>
      <c r="AB174" s="1"/>
      <c r="AC174" s="1">
        <v>56.11</v>
      </c>
      <c r="AD174" s="1"/>
      <c r="AE174" s="1">
        <v>12.5</v>
      </c>
      <c r="AF174" s="1"/>
      <c r="AG174" s="1">
        <v>62.82</v>
      </c>
      <c r="AH174" s="1"/>
      <c r="AI174" s="1"/>
      <c r="AJ174" s="1">
        <v>3.6753846153846199</v>
      </c>
      <c r="AK174" s="1">
        <v>8.75</v>
      </c>
      <c r="AL174" s="1">
        <v>145</v>
      </c>
      <c r="AM174" s="1">
        <v>145</v>
      </c>
      <c r="AN174" s="1">
        <v>1399.491</v>
      </c>
      <c r="AO174" s="1">
        <v>139</v>
      </c>
      <c r="AP174" s="1">
        <v>0</v>
      </c>
      <c r="AQ174" s="1">
        <v>0</v>
      </c>
      <c r="AR174" s="1">
        <v>4.3165467625899199</v>
      </c>
      <c r="AS174" s="1">
        <v>0.43165467625899201</v>
      </c>
      <c r="AT174" s="1">
        <v>3.8</v>
      </c>
      <c r="AU174" s="1"/>
      <c r="AV174" s="1" t="s">
        <v>988</v>
      </c>
      <c r="AW174" s="1" t="s">
        <v>96</v>
      </c>
      <c r="AX174" s="1" t="s">
        <v>368</v>
      </c>
      <c r="AY174" s="1" t="s">
        <v>100</v>
      </c>
      <c r="AZ174" s="1" t="s">
        <v>174</v>
      </c>
      <c r="BA174" s="1" t="s">
        <v>96</v>
      </c>
      <c r="BB174" s="1" t="s">
        <v>101</v>
      </c>
      <c r="BC174" s="1" t="s">
        <v>98</v>
      </c>
      <c r="BD174" s="1" t="s">
        <v>101</v>
      </c>
      <c r="BE174" s="1" t="s">
        <v>98</v>
      </c>
      <c r="BF174" s="1" t="s">
        <v>183</v>
      </c>
      <c r="BG174" s="1" t="s">
        <v>96</v>
      </c>
      <c r="BH174" s="1" t="s">
        <v>121</v>
      </c>
      <c r="BI174" t="s">
        <v>100</v>
      </c>
      <c r="BJ174" t="s">
        <v>989</v>
      </c>
      <c r="BK174" t="s">
        <v>98</v>
      </c>
      <c r="BL174" t="s">
        <v>758</v>
      </c>
      <c r="BM174" t="s">
        <v>100</v>
      </c>
      <c r="BN174" t="s">
        <v>156</v>
      </c>
      <c r="BO174" t="s">
        <v>100</v>
      </c>
      <c r="BP174" t="s">
        <v>124</v>
      </c>
      <c r="BQ174" t="s">
        <v>96</v>
      </c>
      <c r="BR174" t="s">
        <v>105</v>
      </c>
      <c r="BT174" t="s">
        <v>105</v>
      </c>
      <c r="BV174" t="s">
        <v>125</v>
      </c>
      <c r="BW174" t="s">
        <v>96</v>
      </c>
      <c r="BX174" t="s">
        <v>200</v>
      </c>
      <c r="BY174" t="s">
        <v>100</v>
      </c>
      <c r="BZ174" t="s">
        <v>141</v>
      </c>
      <c r="CA174" t="s">
        <v>96</v>
      </c>
      <c r="CB174" t="s">
        <v>990</v>
      </c>
      <c r="CC174" t="s">
        <v>98</v>
      </c>
      <c r="CD174">
        <v>0</v>
      </c>
      <c r="CE174" t="s">
        <v>96</v>
      </c>
      <c r="CF174">
        <v>0</v>
      </c>
      <c r="CG174" t="s">
        <v>96</v>
      </c>
      <c r="CH174">
        <v>0.3</v>
      </c>
      <c r="CI174" t="s">
        <v>96</v>
      </c>
      <c r="CJ174" t="s">
        <v>105</v>
      </c>
      <c r="CL174" t="s">
        <v>98</v>
      </c>
      <c r="CM174" t="s">
        <v>98</v>
      </c>
      <c r="CN174">
        <v>4.5</v>
      </c>
      <c r="CO174">
        <v>0</v>
      </c>
    </row>
    <row r="175" spans="1:93" x14ac:dyDescent="0.2">
      <c r="A175" s="3">
        <v>217</v>
      </c>
      <c r="B175" s="3" t="s">
        <v>991</v>
      </c>
      <c r="C175" s="3" t="s">
        <v>992</v>
      </c>
      <c r="D175" s="1"/>
      <c r="E175" s="1">
        <f t="shared" si="15"/>
        <v>8.3152184062029786</v>
      </c>
      <c r="F175" s="1">
        <f t="shared" si="16"/>
        <v>7.26</v>
      </c>
      <c r="G175" s="1">
        <f t="shared" si="17"/>
        <v>9.5238095238094793</v>
      </c>
      <c r="H175" s="1"/>
      <c r="I175" s="1">
        <v>33.700000000000003</v>
      </c>
      <c r="J175" s="1">
        <v>7.26</v>
      </c>
      <c r="K175" s="1">
        <v>0.7</v>
      </c>
      <c r="L175" s="1">
        <v>0.7</v>
      </c>
      <c r="M175" s="1"/>
      <c r="N175" s="1"/>
      <c r="O175" s="1">
        <v>0.8</v>
      </c>
      <c r="P175" s="1"/>
      <c r="Q175" s="1">
        <v>0.7</v>
      </c>
      <c r="R175" s="1">
        <v>9.5238095238094793</v>
      </c>
      <c r="S175" s="1">
        <v>-40.492701328522202</v>
      </c>
      <c r="T175" s="1">
        <v>-40.2359796377349</v>
      </c>
      <c r="U175" s="1">
        <v>0</v>
      </c>
      <c r="V175" s="1">
        <v>0</v>
      </c>
      <c r="W175" s="1">
        <v>61.863999999999997</v>
      </c>
      <c r="X175" s="1">
        <v>3.01</v>
      </c>
      <c r="Y175" s="1">
        <v>2.4745599999999999</v>
      </c>
      <c r="Z175" s="1">
        <v>6.02</v>
      </c>
      <c r="AA175" s="1">
        <v>20210222</v>
      </c>
      <c r="AB175" s="1"/>
      <c r="AC175" s="1">
        <v>61.22</v>
      </c>
      <c r="AD175" s="1"/>
      <c r="AE175" s="1">
        <v>50</v>
      </c>
      <c r="AF175" s="1"/>
      <c r="AG175" s="1">
        <v>62.95</v>
      </c>
      <c r="AH175" s="1"/>
      <c r="AI175" s="1"/>
      <c r="AJ175" s="1">
        <v>2.8892307692307702</v>
      </c>
      <c r="AK175" s="1">
        <v>5</v>
      </c>
      <c r="AL175" s="1">
        <v>8896</v>
      </c>
      <c r="AM175" s="1">
        <v>8801</v>
      </c>
      <c r="AN175" s="1">
        <v>11818.618</v>
      </c>
      <c r="AO175" s="1">
        <v>7755</v>
      </c>
      <c r="AP175" s="1">
        <v>95</v>
      </c>
      <c r="AQ175" s="1">
        <v>8.0381648683458593</v>
      </c>
      <c r="AR175" s="1">
        <v>14.713088330109599</v>
      </c>
      <c r="AS175" s="1">
        <v>1.47130883301096</v>
      </c>
      <c r="AT175" s="1">
        <v>3.7</v>
      </c>
      <c r="AU175" s="1"/>
      <c r="AV175" s="1" t="s">
        <v>993</v>
      </c>
      <c r="AW175" s="1" t="s">
        <v>98</v>
      </c>
      <c r="AX175" s="1" t="s">
        <v>656</v>
      </c>
      <c r="AY175" s="1" t="s">
        <v>100</v>
      </c>
      <c r="AZ175" s="1" t="s">
        <v>135</v>
      </c>
      <c r="BA175" s="1" t="s">
        <v>100</v>
      </c>
      <c r="BB175" s="1" t="s">
        <v>119</v>
      </c>
      <c r="BC175" s="1" t="s">
        <v>96</v>
      </c>
      <c r="BD175" s="1" t="s">
        <v>175</v>
      </c>
      <c r="BE175" s="1" t="s">
        <v>96</v>
      </c>
      <c r="BF175" s="1" t="s">
        <v>137</v>
      </c>
      <c r="BG175" s="1" t="s">
        <v>100</v>
      </c>
      <c r="BH175" s="1" t="s">
        <v>121</v>
      </c>
      <c r="BI175" t="s">
        <v>100</v>
      </c>
      <c r="BJ175" t="s">
        <v>364</v>
      </c>
      <c r="BK175" t="s">
        <v>98</v>
      </c>
      <c r="BL175" t="s">
        <v>105</v>
      </c>
      <c r="BN175" t="s">
        <v>185</v>
      </c>
      <c r="BO175" t="s">
        <v>98</v>
      </c>
      <c r="BP175" t="s">
        <v>169</v>
      </c>
      <c r="BQ175" t="s">
        <v>100</v>
      </c>
      <c r="BR175" t="s">
        <v>105</v>
      </c>
      <c r="BT175" t="s">
        <v>994</v>
      </c>
      <c r="BU175" t="s">
        <v>96</v>
      </c>
      <c r="BV175" t="s">
        <v>125</v>
      </c>
      <c r="BW175" t="s">
        <v>96</v>
      </c>
      <c r="BX175" t="s">
        <v>200</v>
      </c>
      <c r="BY175" t="s">
        <v>100</v>
      </c>
      <c r="BZ175" t="s">
        <v>127</v>
      </c>
      <c r="CA175" t="s">
        <v>100</v>
      </c>
      <c r="CB175" t="s">
        <v>400</v>
      </c>
      <c r="CC175" t="s">
        <v>98</v>
      </c>
      <c r="CD175">
        <v>0</v>
      </c>
      <c r="CE175" t="s">
        <v>96</v>
      </c>
      <c r="CF175">
        <v>0</v>
      </c>
      <c r="CG175" t="s">
        <v>96</v>
      </c>
      <c r="CH175">
        <v>4.5999999999999996</v>
      </c>
      <c r="CI175" t="s">
        <v>100</v>
      </c>
      <c r="CJ175" t="s">
        <v>112</v>
      </c>
      <c r="CK175" t="s">
        <v>96</v>
      </c>
      <c r="CL175" t="s">
        <v>130</v>
      </c>
      <c r="CM175" t="s">
        <v>96</v>
      </c>
      <c r="CN175">
        <v>4.25</v>
      </c>
      <c r="CO175">
        <v>0</v>
      </c>
    </row>
    <row r="176" spans="1:93" x14ac:dyDescent="0.2">
      <c r="A176" s="3">
        <v>218</v>
      </c>
      <c r="B176" s="3" t="s">
        <v>995</v>
      </c>
      <c r="C176" s="3" t="s">
        <v>996</v>
      </c>
      <c r="D176" s="1"/>
      <c r="E176" s="1">
        <f t="shared" si="15"/>
        <v>4.1002621867387941</v>
      </c>
      <c r="F176" s="1">
        <f t="shared" si="16"/>
        <v>4.75</v>
      </c>
      <c r="G176" s="1">
        <f t="shared" si="17"/>
        <v>3.5394000000000001</v>
      </c>
      <c r="H176" s="1"/>
      <c r="I176" s="1">
        <v>52.4</v>
      </c>
      <c r="J176" s="1">
        <v>3.52</v>
      </c>
      <c r="K176" s="1">
        <v>0</v>
      </c>
      <c r="L176" s="1">
        <v>0.7</v>
      </c>
      <c r="M176" s="1"/>
      <c r="N176" s="1"/>
      <c r="O176" s="1">
        <v>0.2</v>
      </c>
      <c r="P176" s="1">
        <v>0.4</v>
      </c>
      <c r="Q176" s="1">
        <v>0.3</v>
      </c>
      <c r="R176" s="1">
        <v>0</v>
      </c>
      <c r="S176" s="1">
        <v>-26.078761799107099</v>
      </c>
      <c r="T176" s="1">
        <v>2.06666355280095</v>
      </c>
      <c r="U176" s="1">
        <v>0</v>
      </c>
      <c r="V176" s="1">
        <v>0.13777757018673001</v>
      </c>
      <c r="W176" s="1">
        <v>88.484999999999999</v>
      </c>
      <c r="X176" s="1">
        <v>0.998</v>
      </c>
      <c r="Y176" s="1">
        <v>3.5394000000000001</v>
      </c>
      <c r="Z176" s="1">
        <v>1.996</v>
      </c>
      <c r="AA176" s="1">
        <v>20210222</v>
      </c>
      <c r="AB176" s="1"/>
      <c r="AC176" s="1">
        <v>63.78</v>
      </c>
      <c r="AD176" s="1"/>
      <c r="AE176" s="1">
        <v>0</v>
      </c>
      <c r="AF176" s="1"/>
      <c r="AG176" s="1">
        <v>73.59</v>
      </c>
      <c r="AH176" s="1"/>
      <c r="AI176" s="1"/>
      <c r="AJ176" s="1">
        <v>2.49538461538461</v>
      </c>
      <c r="AK176" s="1">
        <v>10</v>
      </c>
      <c r="AL176" s="1">
        <v>33061</v>
      </c>
      <c r="AM176" s="1">
        <v>32549</v>
      </c>
      <c r="AN176" s="1">
        <v>84339.066999999995</v>
      </c>
      <c r="AO176" s="1">
        <v>27983</v>
      </c>
      <c r="AP176" s="1">
        <v>512</v>
      </c>
      <c r="AQ176" s="1">
        <v>6.0707335071657802</v>
      </c>
      <c r="AR176" s="1">
        <v>18.146731944394801</v>
      </c>
      <c r="AS176" s="1">
        <v>1.8146731944394801</v>
      </c>
      <c r="AT176" s="1">
        <v>3.9</v>
      </c>
      <c r="AU176" s="1"/>
      <c r="AV176" s="1" t="s">
        <v>997</v>
      </c>
      <c r="AW176" s="1" t="s">
        <v>98</v>
      </c>
      <c r="AX176" s="1" t="s">
        <v>190</v>
      </c>
      <c r="AY176" s="1" t="s">
        <v>96</v>
      </c>
      <c r="AZ176" s="1" t="s">
        <v>135</v>
      </c>
      <c r="BA176" s="1" t="s">
        <v>100</v>
      </c>
      <c r="BB176" s="1" t="s">
        <v>119</v>
      </c>
      <c r="BC176" s="1" t="s">
        <v>96</v>
      </c>
      <c r="BD176" s="1" t="s">
        <v>120</v>
      </c>
      <c r="BE176" s="1" t="s">
        <v>100</v>
      </c>
      <c r="BF176" s="1" t="s">
        <v>183</v>
      </c>
      <c r="BG176" s="1" t="s">
        <v>96</v>
      </c>
      <c r="BH176" s="1" t="s">
        <v>147</v>
      </c>
      <c r="BI176" t="s">
        <v>96</v>
      </c>
      <c r="BJ176" t="s">
        <v>104</v>
      </c>
      <c r="BK176" t="s">
        <v>98</v>
      </c>
      <c r="BL176" t="s">
        <v>998</v>
      </c>
      <c r="BM176" t="s">
        <v>100</v>
      </c>
      <c r="BN176" t="s">
        <v>670</v>
      </c>
      <c r="BO176" t="s">
        <v>98</v>
      </c>
      <c r="BP176" t="s">
        <v>227</v>
      </c>
      <c r="BQ176" t="s">
        <v>98</v>
      </c>
      <c r="BR176" t="s">
        <v>105</v>
      </c>
      <c r="BT176" t="s">
        <v>999</v>
      </c>
      <c r="BU176" t="s">
        <v>96</v>
      </c>
      <c r="BV176" t="s">
        <v>125</v>
      </c>
      <c r="BW176" t="s">
        <v>96</v>
      </c>
      <c r="BX176" t="s">
        <v>126</v>
      </c>
      <c r="BY176" t="s">
        <v>100</v>
      </c>
      <c r="BZ176" t="s">
        <v>141</v>
      </c>
      <c r="CA176" t="s">
        <v>96</v>
      </c>
      <c r="CB176" t="s">
        <v>1000</v>
      </c>
      <c r="CC176" t="s">
        <v>98</v>
      </c>
      <c r="CD176">
        <v>1.1000000000000001</v>
      </c>
      <c r="CE176" t="s">
        <v>96</v>
      </c>
      <c r="CF176">
        <v>0</v>
      </c>
      <c r="CG176" t="s">
        <v>96</v>
      </c>
      <c r="CH176">
        <v>1.2</v>
      </c>
      <c r="CI176" t="s">
        <v>96</v>
      </c>
      <c r="CJ176" t="s">
        <v>105</v>
      </c>
      <c r="CL176" t="s">
        <v>130</v>
      </c>
      <c r="CM176" t="s">
        <v>96</v>
      </c>
      <c r="CN176">
        <v>4.75</v>
      </c>
      <c r="CO176">
        <v>0</v>
      </c>
    </row>
    <row r="177" spans="1:93" x14ac:dyDescent="0.2">
      <c r="A177" s="3">
        <v>219</v>
      </c>
      <c r="B177" s="3" t="s">
        <v>1001</v>
      </c>
      <c r="C177" s="3" t="s">
        <v>1002</v>
      </c>
      <c r="D177" s="1"/>
      <c r="E177" s="1">
        <f t="shared" si="15"/>
        <v>9.68</v>
      </c>
      <c r="F177" s="1">
        <f t="shared" si="16"/>
        <v>9.68</v>
      </c>
      <c r="G177" s="1">
        <f t="shared" si="17"/>
        <v>0</v>
      </c>
      <c r="H177" s="1"/>
      <c r="I177" s="1">
        <v>21.6</v>
      </c>
      <c r="J177" s="1">
        <v>9.68</v>
      </c>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v>5.0999999999999996</v>
      </c>
      <c r="AU177" s="1"/>
      <c r="AV177" s="1" t="s">
        <v>105</v>
      </c>
      <c r="AW177" s="1"/>
      <c r="AX177" s="1" t="s">
        <v>105</v>
      </c>
      <c r="AY177" s="1"/>
      <c r="AZ177" s="1" t="s">
        <v>105</v>
      </c>
      <c r="BA177" s="1"/>
      <c r="BB177" s="1" t="s">
        <v>105</v>
      </c>
      <c r="BC177" s="1"/>
      <c r="BD177" s="1" t="s">
        <v>105</v>
      </c>
      <c r="BE177" s="1"/>
      <c r="BF177" s="1" t="s">
        <v>105</v>
      </c>
      <c r="BG177" s="1"/>
      <c r="BH177" s="1" t="s">
        <v>105</v>
      </c>
      <c r="BJ177" t="s">
        <v>604</v>
      </c>
      <c r="BK177" t="s">
        <v>100</v>
      </c>
      <c r="BL177" t="s">
        <v>105</v>
      </c>
      <c r="BN177" t="s">
        <v>643</v>
      </c>
      <c r="BO177" t="s">
        <v>96</v>
      </c>
      <c r="BP177" t="s">
        <v>124</v>
      </c>
      <c r="BQ177" t="s">
        <v>96</v>
      </c>
      <c r="BR177" t="s">
        <v>105</v>
      </c>
      <c r="BT177" t="s">
        <v>105</v>
      </c>
      <c r="BV177" t="s">
        <v>105</v>
      </c>
      <c r="BX177" t="s">
        <v>105</v>
      </c>
      <c r="BZ177" t="s">
        <v>105</v>
      </c>
      <c r="CB177" t="s">
        <v>105</v>
      </c>
      <c r="CD177">
        <v>0.1</v>
      </c>
      <c r="CE177" t="s">
        <v>96</v>
      </c>
      <c r="CF177">
        <v>0</v>
      </c>
      <c r="CG177" t="s">
        <v>96</v>
      </c>
      <c r="CH177">
        <v>0.5</v>
      </c>
      <c r="CI177" t="s">
        <v>96</v>
      </c>
      <c r="CJ177" t="s">
        <v>105</v>
      </c>
      <c r="CL177" t="s">
        <v>130</v>
      </c>
      <c r="CM177" t="s">
        <v>96</v>
      </c>
      <c r="CN177">
        <v>7.75</v>
      </c>
      <c r="CO177">
        <v>0</v>
      </c>
    </row>
    <row r="178" spans="1:93" x14ac:dyDescent="0.2">
      <c r="A178" s="3">
        <v>220</v>
      </c>
      <c r="B178" s="3" t="s">
        <v>1003</v>
      </c>
      <c r="C178" s="3" t="s">
        <v>1004</v>
      </c>
      <c r="D178" s="1"/>
      <c r="E178" s="1">
        <f t="shared" si="15"/>
        <v>9.4868329805051381</v>
      </c>
      <c r="F178" s="1">
        <f t="shared" si="16"/>
        <v>9</v>
      </c>
      <c r="G178" s="1">
        <f t="shared" si="17"/>
        <v>10</v>
      </c>
      <c r="H178" s="1"/>
      <c r="I178" s="1">
        <v>36.4</v>
      </c>
      <c r="J178" s="1">
        <v>6.72</v>
      </c>
      <c r="K178" s="1">
        <v>1</v>
      </c>
      <c r="L178" s="1">
        <v>0.1</v>
      </c>
      <c r="M178" s="1"/>
      <c r="N178" s="1"/>
      <c r="O178" s="1">
        <v>0.2</v>
      </c>
      <c r="P178" s="1">
        <v>0</v>
      </c>
      <c r="Q178" s="1">
        <v>0.3</v>
      </c>
      <c r="R178" s="1">
        <v>0</v>
      </c>
      <c r="S178" s="1">
        <v>0.01</v>
      </c>
      <c r="T178" s="1">
        <v>0.01</v>
      </c>
      <c r="U178" s="1">
        <v>6.6666666666748099E-4</v>
      </c>
      <c r="V178" s="1">
        <v>6.6666666666748099E-4</v>
      </c>
      <c r="W178" s="1">
        <v>0</v>
      </c>
      <c r="X178" s="1">
        <v>0</v>
      </c>
      <c r="Y178" s="1">
        <v>0</v>
      </c>
      <c r="Z178" s="1">
        <v>0</v>
      </c>
      <c r="AA178" s="1">
        <v>20210222</v>
      </c>
      <c r="AB178" s="1">
        <v>8.89</v>
      </c>
      <c r="AC178" s="1">
        <v>8.89</v>
      </c>
      <c r="AD178" s="1">
        <v>0</v>
      </c>
      <c r="AE178" s="1">
        <v>0</v>
      </c>
      <c r="AF178" s="1">
        <v>10.26</v>
      </c>
      <c r="AG178" s="1">
        <v>10.26</v>
      </c>
      <c r="AH178" s="1">
        <v>0</v>
      </c>
      <c r="AI178" s="1"/>
      <c r="AJ178" s="1">
        <v>10</v>
      </c>
      <c r="AK178" s="1">
        <v>10</v>
      </c>
      <c r="AL178" s="1">
        <v>21</v>
      </c>
      <c r="AM178" s="1">
        <v>21</v>
      </c>
      <c r="AN178" s="1">
        <v>59734.213000000003</v>
      </c>
      <c r="AO178" s="1">
        <v>21</v>
      </c>
      <c r="AP178" s="1">
        <v>0</v>
      </c>
      <c r="AQ178" s="1">
        <v>0</v>
      </c>
      <c r="AR178" s="1">
        <v>0</v>
      </c>
      <c r="AS178" s="1">
        <v>0</v>
      </c>
      <c r="AT178" s="1">
        <v>5.6</v>
      </c>
      <c r="AU178" s="1"/>
      <c r="AV178" s="1" t="s">
        <v>533</v>
      </c>
      <c r="AW178" s="1" t="s">
        <v>96</v>
      </c>
      <c r="AX178" s="1" t="s">
        <v>1005</v>
      </c>
      <c r="AY178" s="1" t="s">
        <v>98</v>
      </c>
      <c r="AZ178" s="1" t="s">
        <v>99</v>
      </c>
      <c r="BA178" s="1" t="s">
        <v>100</v>
      </c>
      <c r="BB178" s="1" t="s">
        <v>101</v>
      </c>
      <c r="BC178" s="1" t="s">
        <v>98</v>
      </c>
      <c r="BD178" s="1" t="s">
        <v>101</v>
      </c>
      <c r="BE178" s="1" t="s">
        <v>98</v>
      </c>
      <c r="BF178" s="1" t="s">
        <v>102</v>
      </c>
      <c r="BG178" s="1" t="s">
        <v>98</v>
      </c>
      <c r="BH178" s="1" t="s">
        <v>103</v>
      </c>
      <c r="BI178" t="s">
        <v>98</v>
      </c>
      <c r="BJ178" t="s">
        <v>335</v>
      </c>
      <c r="BK178" t="s">
        <v>96</v>
      </c>
      <c r="BL178" t="s">
        <v>105</v>
      </c>
      <c r="BN178" t="s">
        <v>300</v>
      </c>
      <c r="BO178" t="s">
        <v>100</v>
      </c>
      <c r="BP178" t="s">
        <v>124</v>
      </c>
      <c r="BQ178" t="s">
        <v>96</v>
      </c>
      <c r="BR178" t="s">
        <v>1006</v>
      </c>
      <c r="BS178" t="s">
        <v>100</v>
      </c>
      <c r="BT178" t="s">
        <v>105</v>
      </c>
      <c r="BV178" t="s">
        <v>350</v>
      </c>
      <c r="BW178" t="s">
        <v>98</v>
      </c>
      <c r="BX178" t="s">
        <v>200</v>
      </c>
      <c r="BY178" t="s">
        <v>100</v>
      </c>
      <c r="BZ178" t="s">
        <v>253</v>
      </c>
      <c r="CA178" t="s">
        <v>98</v>
      </c>
      <c r="CB178" t="s">
        <v>105</v>
      </c>
      <c r="CD178">
        <v>1.7</v>
      </c>
      <c r="CE178" t="s">
        <v>96</v>
      </c>
      <c r="CF178">
        <v>0.8</v>
      </c>
      <c r="CG178" t="s">
        <v>96</v>
      </c>
      <c r="CH178">
        <v>4.4000000000000004</v>
      </c>
      <c r="CI178" t="s">
        <v>100</v>
      </c>
      <c r="CJ178" t="s">
        <v>112</v>
      </c>
      <c r="CK178" t="s">
        <v>96</v>
      </c>
      <c r="CL178" t="s">
        <v>98</v>
      </c>
      <c r="CM178" t="s">
        <v>98</v>
      </c>
      <c r="CN178">
        <v>9</v>
      </c>
      <c r="CO178">
        <v>0</v>
      </c>
    </row>
    <row r="179" spans="1:93" x14ac:dyDescent="0.2">
      <c r="A179" s="3">
        <v>221</v>
      </c>
      <c r="B179" s="3" t="s">
        <v>1007</v>
      </c>
      <c r="C179" s="3" t="s">
        <v>1008</v>
      </c>
      <c r="D179" s="1"/>
      <c r="E179" s="1">
        <f t="shared" si="15"/>
        <v>10</v>
      </c>
      <c r="F179" s="1">
        <f t="shared" si="16"/>
        <v>10</v>
      </c>
      <c r="G179" s="1">
        <f t="shared" si="17"/>
        <v>10</v>
      </c>
      <c r="H179" s="1"/>
      <c r="I179" s="1">
        <v>44.3</v>
      </c>
      <c r="J179" s="1">
        <v>5.14</v>
      </c>
      <c r="K179" s="1">
        <v>0.8</v>
      </c>
      <c r="L179" s="1">
        <v>0.7</v>
      </c>
      <c r="M179" s="1"/>
      <c r="N179" s="1"/>
      <c r="O179" s="1">
        <v>0.5</v>
      </c>
      <c r="P179" s="1">
        <v>0.7</v>
      </c>
      <c r="Q179" s="1">
        <v>0.7</v>
      </c>
      <c r="R179" s="1">
        <v>9.5238095238094793</v>
      </c>
      <c r="S179" s="1">
        <v>-27.840687231550199</v>
      </c>
      <c r="T179" s="1">
        <v>-43.427087478271801</v>
      </c>
      <c r="U179" s="1">
        <v>0</v>
      </c>
      <c r="V179" s="1">
        <v>0</v>
      </c>
      <c r="W179" s="1">
        <v>0.60599999999999998</v>
      </c>
      <c r="X179" s="1">
        <v>1.6E-2</v>
      </c>
      <c r="Y179" s="1">
        <v>2.4239999999998901E-2</v>
      </c>
      <c r="Z179" s="1">
        <v>3.2000000000000001E-2</v>
      </c>
      <c r="AA179" s="1">
        <v>20210222</v>
      </c>
      <c r="AB179" s="1"/>
      <c r="AC179" s="1">
        <v>40.56</v>
      </c>
      <c r="AD179" s="1"/>
      <c r="AE179" s="1">
        <v>0</v>
      </c>
      <c r="AF179" s="1"/>
      <c r="AG179" s="1">
        <v>46.79</v>
      </c>
      <c r="AH179" s="1"/>
      <c r="AI179" s="1"/>
      <c r="AJ179" s="1">
        <v>6.0676923076923099</v>
      </c>
      <c r="AK179" s="1">
        <v>10</v>
      </c>
      <c r="AL179" s="1">
        <v>339</v>
      </c>
      <c r="AM179" s="1">
        <v>338</v>
      </c>
      <c r="AN179" s="1">
        <v>45741</v>
      </c>
      <c r="AO179" s="1">
        <v>333</v>
      </c>
      <c r="AP179" s="1">
        <v>1</v>
      </c>
      <c r="AQ179" s="1">
        <v>2.18622242626965E-2</v>
      </c>
      <c r="AR179" s="1">
        <v>1.8018018018018001</v>
      </c>
      <c r="AS179" s="1">
        <v>0.18018018018018001</v>
      </c>
      <c r="AT179" s="1">
        <v>6.1</v>
      </c>
      <c r="AU179" s="1"/>
      <c r="AV179" s="1" t="s">
        <v>803</v>
      </c>
      <c r="AW179" s="1" t="s">
        <v>96</v>
      </c>
      <c r="AX179" s="1" t="s">
        <v>478</v>
      </c>
      <c r="AY179" s="1" t="s">
        <v>100</v>
      </c>
      <c r="AZ179" s="1" t="s">
        <v>118</v>
      </c>
      <c r="BA179" s="1" t="s">
        <v>100</v>
      </c>
      <c r="BB179" s="1" t="s">
        <v>119</v>
      </c>
      <c r="BC179" s="1" t="s">
        <v>96</v>
      </c>
      <c r="BD179" s="1" t="s">
        <v>136</v>
      </c>
      <c r="BE179" s="1" t="s">
        <v>100</v>
      </c>
      <c r="BF179" s="1" t="s">
        <v>102</v>
      </c>
      <c r="BG179" s="1" t="s">
        <v>98</v>
      </c>
      <c r="BH179" s="1" t="s">
        <v>121</v>
      </c>
      <c r="BI179" t="s">
        <v>100</v>
      </c>
      <c r="BJ179" t="s">
        <v>618</v>
      </c>
      <c r="BK179" t="s">
        <v>100</v>
      </c>
      <c r="BL179" t="s">
        <v>105</v>
      </c>
      <c r="BN179" t="s">
        <v>745</v>
      </c>
      <c r="BO179" t="s">
        <v>100</v>
      </c>
      <c r="BP179" t="s">
        <v>169</v>
      </c>
      <c r="BQ179" t="s">
        <v>100</v>
      </c>
      <c r="BR179" t="s">
        <v>1009</v>
      </c>
      <c r="BS179" t="s">
        <v>98</v>
      </c>
      <c r="BT179" t="s">
        <v>105</v>
      </c>
      <c r="BV179" t="s">
        <v>125</v>
      </c>
      <c r="BW179" t="s">
        <v>96</v>
      </c>
      <c r="BX179" t="s">
        <v>200</v>
      </c>
      <c r="BY179" t="s">
        <v>100</v>
      </c>
      <c r="BZ179" t="s">
        <v>127</v>
      </c>
      <c r="CA179" t="s">
        <v>100</v>
      </c>
      <c r="CB179" t="s">
        <v>1010</v>
      </c>
      <c r="CC179" t="s">
        <v>98</v>
      </c>
      <c r="CD179">
        <v>0</v>
      </c>
      <c r="CE179" t="s">
        <v>96</v>
      </c>
      <c r="CF179">
        <v>0</v>
      </c>
      <c r="CG179" t="s">
        <v>96</v>
      </c>
      <c r="CH179">
        <v>3.7</v>
      </c>
      <c r="CI179" t="s">
        <v>100</v>
      </c>
      <c r="CJ179" t="s">
        <v>112</v>
      </c>
      <c r="CK179" t="s">
        <v>96</v>
      </c>
      <c r="CL179" t="s">
        <v>100</v>
      </c>
      <c r="CM179" t="s">
        <v>98</v>
      </c>
      <c r="CN179">
        <v>10</v>
      </c>
      <c r="CO179">
        <v>10</v>
      </c>
    </row>
    <row r="180" spans="1:93" x14ac:dyDescent="0.2">
      <c r="A180" s="3">
        <v>222</v>
      </c>
      <c r="B180" s="3" t="s">
        <v>1011</v>
      </c>
      <c r="C180" s="3" t="s">
        <v>1012</v>
      </c>
      <c r="D180" s="1"/>
      <c r="E180" s="1">
        <f t="shared" si="15"/>
        <v>5.9232423553320865</v>
      </c>
      <c r="F180" s="1">
        <f t="shared" si="16"/>
        <v>6.4</v>
      </c>
      <c r="G180" s="1">
        <f t="shared" si="17"/>
        <v>5.4820000000000002</v>
      </c>
      <c r="H180" s="1"/>
      <c r="I180" s="1">
        <v>38</v>
      </c>
      <c r="J180" s="1">
        <v>6.4</v>
      </c>
      <c r="K180" s="1">
        <v>0</v>
      </c>
      <c r="L180" s="1">
        <v>0.6</v>
      </c>
      <c r="M180" s="1"/>
      <c r="N180" s="1"/>
      <c r="O180" s="1">
        <v>0.2</v>
      </c>
      <c r="P180" s="1">
        <v>0.3</v>
      </c>
      <c r="Q180" s="1">
        <v>0.3</v>
      </c>
      <c r="R180" s="1">
        <v>0</v>
      </c>
      <c r="S180" s="1">
        <v>-9.2888344961274907</v>
      </c>
      <c r="T180" s="1">
        <v>15.1815220992526</v>
      </c>
      <c r="U180" s="1">
        <v>0</v>
      </c>
      <c r="V180" s="1">
        <v>1.0121014732835001</v>
      </c>
      <c r="W180" s="1">
        <v>113.25</v>
      </c>
      <c r="X180" s="1">
        <v>2.7410000000000001</v>
      </c>
      <c r="Y180" s="1">
        <v>4.53</v>
      </c>
      <c r="Z180" s="1">
        <v>5.4820000000000002</v>
      </c>
      <c r="AA180" s="1">
        <v>20210222</v>
      </c>
      <c r="AB180" s="1"/>
      <c r="AC180" s="1">
        <v>54.44</v>
      </c>
      <c r="AD180" s="1"/>
      <c r="AE180" s="1">
        <v>37.5</v>
      </c>
      <c r="AF180" s="1"/>
      <c r="AG180" s="1">
        <v>57.05</v>
      </c>
      <c r="AH180" s="1"/>
      <c r="AI180" s="1"/>
      <c r="AJ180" s="1">
        <v>3.9323076923076901</v>
      </c>
      <c r="AK180" s="1">
        <v>6.25</v>
      </c>
      <c r="AL180" s="1">
        <v>34544</v>
      </c>
      <c r="AM180" s="1">
        <v>33280</v>
      </c>
      <c r="AN180" s="1">
        <v>43733.758999999998</v>
      </c>
      <c r="AO180" s="1">
        <v>26404</v>
      </c>
      <c r="AP180" s="1">
        <v>1264</v>
      </c>
      <c r="AQ180" s="1">
        <v>28.902157712992398</v>
      </c>
      <c r="AR180" s="1">
        <v>30.828662323890299</v>
      </c>
      <c r="AS180" s="1">
        <v>3.0828662323890299</v>
      </c>
      <c r="AT180" s="1">
        <v>4</v>
      </c>
      <c r="AU180" s="1"/>
      <c r="AV180" s="1" t="s">
        <v>1013</v>
      </c>
      <c r="AW180" s="1" t="s">
        <v>98</v>
      </c>
      <c r="AX180" s="1" t="s">
        <v>573</v>
      </c>
      <c r="AY180" s="1" t="s">
        <v>100</v>
      </c>
      <c r="AZ180" s="1" t="s">
        <v>118</v>
      </c>
      <c r="BA180" s="1" t="s">
        <v>100</v>
      </c>
      <c r="BB180" s="1" t="s">
        <v>119</v>
      </c>
      <c r="BC180" s="1" t="s">
        <v>96</v>
      </c>
      <c r="BD180" s="1" t="s">
        <v>120</v>
      </c>
      <c r="BE180" s="1" t="s">
        <v>100</v>
      </c>
      <c r="BF180" s="1" t="s">
        <v>137</v>
      </c>
      <c r="BG180" s="1" t="s">
        <v>100</v>
      </c>
      <c r="BH180" s="1" t="s">
        <v>121</v>
      </c>
      <c r="BI180" t="s">
        <v>100</v>
      </c>
      <c r="BJ180" t="s">
        <v>596</v>
      </c>
      <c r="BK180" t="s">
        <v>98</v>
      </c>
      <c r="BL180" t="s">
        <v>155</v>
      </c>
      <c r="BM180" t="s">
        <v>100</v>
      </c>
      <c r="BN180" t="s">
        <v>324</v>
      </c>
      <c r="BO180" t="s">
        <v>100</v>
      </c>
      <c r="BP180" t="s">
        <v>124</v>
      </c>
      <c r="BQ180" t="s">
        <v>96</v>
      </c>
      <c r="BR180" t="s">
        <v>105</v>
      </c>
      <c r="BT180" t="s">
        <v>586</v>
      </c>
      <c r="BU180" t="s">
        <v>98</v>
      </c>
      <c r="BV180" t="s">
        <v>125</v>
      </c>
      <c r="BW180" t="s">
        <v>96</v>
      </c>
      <c r="BX180" t="s">
        <v>110</v>
      </c>
      <c r="BY180" t="s">
        <v>96</v>
      </c>
      <c r="BZ180" t="s">
        <v>141</v>
      </c>
      <c r="CA180" t="s">
        <v>96</v>
      </c>
      <c r="CB180" t="s">
        <v>1014</v>
      </c>
      <c r="CC180" t="s">
        <v>98</v>
      </c>
      <c r="CD180">
        <v>2.4</v>
      </c>
      <c r="CE180" t="s">
        <v>100</v>
      </c>
      <c r="CF180">
        <v>0</v>
      </c>
      <c r="CG180" t="s">
        <v>96</v>
      </c>
      <c r="CH180">
        <v>0.6</v>
      </c>
      <c r="CI180" t="s">
        <v>96</v>
      </c>
      <c r="CJ180" t="s">
        <v>105</v>
      </c>
      <c r="CL180" t="s">
        <v>98</v>
      </c>
      <c r="CM180" t="s">
        <v>98</v>
      </c>
      <c r="CN180">
        <v>5</v>
      </c>
      <c r="CO180">
        <v>0</v>
      </c>
    </row>
    <row r="181" spans="1:93" x14ac:dyDescent="0.2">
      <c r="A181" s="3">
        <v>223</v>
      </c>
      <c r="B181" s="3" t="s">
        <v>1015</v>
      </c>
      <c r="C181" s="3" t="s">
        <v>1016</v>
      </c>
      <c r="D181" s="1"/>
      <c r="E181" s="1">
        <f t="shared" si="15"/>
        <v>6.4031242374328343</v>
      </c>
      <c r="F181" s="1">
        <f t="shared" si="16"/>
        <v>5.74</v>
      </c>
      <c r="G181" s="1">
        <f t="shared" si="17"/>
        <v>7.1428571428571104</v>
      </c>
      <c r="H181" s="1"/>
      <c r="I181" s="1">
        <v>41.3</v>
      </c>
      <c r="J181" s="1">
        <v>5.74</v>
      </c>
      <c r="K181" s="1">
        <v>0.7</v>
      </c>
      <c r="L181" s="1">
        <v>0.6</v>
      </c>
      <c r="M181" s="1"/>
      <c r="N181" s="1"/>
      <c r="O181" s="1">
        <v>0.5</v>
      </c>
      <c r="P181" s="1">
        <v>0.7</v>
      </c>
      <c r="Q181" s="1">
        <v>0.6</v>
      </c>
      <c r="R181" s="1">
        <v>7.1428571428571104</v>
      </c>
      <c r="S181" s="1">
        <v>-22.510063628100198</v>
      </c>
      <c r="T181" s="1">
        <v>1.40818658050781</v>
      </c>
      <c r="U181" s="1">
        <v>0</v>
      </c>
      <c r="V181" s="1">
        <v>9.3879105367186397E-2</v>
      </c>
      <c r="W181" s="1">
        <v>160.63399999999999</v>
      </c>
      <c r="X181" s="1">
        <v>1.6040000000000001</v>
      </c>
      <c r="Y181" s="1">
        <v>6.4253600000000004</v>
      </c>
      <c r="Z181" s="1">
        <v>3.2080000000000002</v>
      </c>
      <c r="AA181" s="1">
        <v>20210222</v>
      </c>
      <c r="AB181" s="1"/>
      <c r="AC181" s="1">
        <v>63.89</v>
      </c>
      <c r="AD181" s="1"/>
      <c r="AE181" s="1">
        <v>87.5</v>
      </c>
      <c r="AF181" s="1"/>
      <c r="AG181" s="1">
        <v>60.26</v>
      </c>
      <c r="AH181" s="1"/>
      <c r="AI181" s="1"/>
      <c r="AJ181" s="1">
        <v>2.47846153846154</v>
      </c>
      <c r="AK181" s="1">
        <v>1.25</v>
      </c>
      <c r="AL181" s="1">
        <v>851</v>
      </c>
      <c r="AM181" s="1">
        <v>814</v>
      </c>
      <c r="AN181" s="1">
        <v>3473.7269999999999</v>
      </c>
      <c r="AO181" s="1">
        <v>569</v>
      </c>
      <c r="AP181" s="1">
        <v>37</v>
      </c>
      <c r="AQ181" s="1">
        <v>10.6513839458311</v>
      </c>
      <c r="AR181" s="1">
        <v>49.560632688927903</v>
      </c>
      <c r="AS181" s="1">
        <v>4.9560632688927901</v>
      </c>
      <c r="AT181" s="1">
        <v>3.2</v>
      </c>
      <c r="AU181" s="1"/>
      <c r="AV181" s="1" t="s">
        <v>1017</v>
      </c>
      <c r="AW181" s="1" t="s">
        <v>98</v>
      </c>
      <c r="AX181" s="1" t="s">
        <v>334</v>
      </c>
      <c r="AY181" s="1" t="s">
        <v>100</v>
      </c>
      <c r="AZ181" s="1" t="s">
        <v>174</v>
      </c>
      <c r="BA181" s="1" t="s">
        <v>96</v>
      </c>
      <c r="BB181" s="1" t="s">
        <v>146</v>
      </c>
      <c r="BC181" s="1" t="s">
        <v>100</v>
      </c>
      <c r="BD181" s="1" t="s">
        <v>101</v>
      </c>
      <c r="BE181" s="1" t="s">
        <v>98</v>
      </c>
      <c r="BF181" s="1" t="s">
        <v>183</v>
      </c>
      <c r="BG181" s="1" t="s">
        <v>96</v>
      </c>
      <c r="BH181" s="1" t="s">
        <v>147</v>
      </c>
      <c r="BI181" t="s">
        <v>96</v>
      </c>
      <c r="BJ181" t="s">
        <v>161</v>
      </c>
      <c r="BK181" t="s">
        <v>98</v>
      </c>
      <c r="BL181" t="s">
        <v>319</v>
      </c>
      <c r="BM181" t="s">
        <v>100</v>
      </c>
      <c r="BN181" t="s">
        <v>1018</v>
      </c>
      <c r="BO181" t="s">
        <v>98</v>
      </c>
      <c r="BP181" t="s">
        <v>107</v>
      </c>
      <c r="BQ181" t="s">
        <v>96</v>
      </c>
      <c r="BR181" t="s">
        <v>105</v>
      </c>
      <c r="BT181" t="s">
        <v>105</v>
      </c>
      <c r="BV181" t="s">
        <v>125</v>
      </c>
      <c r="BW181" t="s">
        <v>96</v>
      </c>
      <c r="BX181" t="s">
        <v>110</v>
      </c>
      <c r="BY181" t="s">
        <v>96</v>
      </c>
      <c r="BZ181" t="s">
        <v>127</v>
      </c>
      <c r="CA181" t="s">
        <v>100</v>
      </c>
      <c r="CB181" t="s">
        <v>105</v>
      </c>
      <c r="CD181">
        <v>0</v>
      </c>
      <c r="CE181" t="s">
        <v>96</v>
      </c>
      <c r="CF181">
        <v>0</v>
      </c>
      <c r="CG181" t="s">
        <v>96</v>
      </c>
      <c r="CH181">
        <v>1.6</v>
      </c>
      <c r="CI181" t="s">
        <v>96</v>
      </c>
      <c r="CJ181" t="s">
        <v>105</v>
      </c>
      <c r="CL181" t="s">
        <v>130</v>
      </c>
      <c r="CM181" t="s">
        <v>96</v>
      </c>
      <c r="CN181">
        <v>3</v>
      </c>
      <c r="CO181">
        <v>0</v>
      </c>
    </row>
    <row r="182" spans="1:93" x14ac:dyDescent="0.2">
      <c r="A182" s="3">
        <v>224</v>
      </c>
      <c r="B182" s="3" t="s">
        <v>1019</v>
      </c>
      <c r="C182" s="3" t="s">
        <v>1020</v>
      </c>
      <c r="D182" s="1"/>
      <c r="E182" s="1">
        <f t="shared" si="15"/>
        <v>3.5355339059327378</v>
      </c>
      <c r="F182" s="1">
        <f t="shared" si="16"/>
        <v>1.25</v>
      </c>
      <c r="G182" s="1">
        <f t="shared" si="17"/>
        <v>10</v>
      </c>
      <c r="H182" s="1"/>
      <c r="I182" s="1">
        <v>83.5</v>
      </c>
      <c r="J182" s="1">
        <v>0</v>
      </c>
      <c r="K182" s="1"/>
      <c r="L182" s="1"/>
      <c r="M182" s="1"/>
      <c r="N182" s="1"/>
      <c r="O182" s="1"/>
      <c r="P182" s="1"/>
      <c r="Q182" s="1"/>
      <c r="R182" s="1"/>
      <c r="S182" s="1">
        <v>-26.3632409300026</v>
      </c>
      <c r="T182" s="1">
        <v>-37.9241841020226</v>
      </c>
      <c r="U182" s="1">
        <v>0</v>
      </c>
      <c r="V182" s="1">
        <v>0</v>
      </c>
      <c r="W182" s="1">
        <v>211.43600000000001</v>
      </c>
      <c r="X182" s="1">
        <v>5.6559999999999997</v>
      </c>
      <c r="Y182" s="1">
        <v>8.4574400000000001</v>
      </c>
      <c r="Z182" s="1">
        <v>10</v>
      </c>
      <c r="AA182" s="1">
        <v>20210222</v>
      </c>
      <c r="AB182" s="1"/>
      <c r="AC182" s="1">
        <v>66.33</v>
      </c>
      <c r="AD182" s="1"/>
      <c r="AE182" s="1">
        <v>62.5</v>
      </c>
      <c r="AF182" s="1"/>
      <c r="AG182" s="1">
        <v>66.92</v>
      </c>
      <c r="AH182" s="1"/>
      <c r="AI182" s="1"/>
      <c r="AJ182" s="1">
        <v>2.10307692307692</v>
      </c>
      <c r="AK182" s="1">
        <v>3.75</v>
      </c>
      <c r="AL182" s="1">
        <v>546606</v>
      </c>
      <c r="AM182" s="1">
        <v>543819</v>
      </c>
      <c r="AN182" s="1">
        <v>331002.647</v>
      </c>
      <c r="AO182" s="1">
        <v>497648</v>
      </c>
      <c r="AP182" s="1">
        <v>2787</v>
      </c>
      <c r="AQ182" s="1">
        <v>8.4198722434990092</v>
      </c>
      <c r="AR182" s="1">
        <v>9.8378773751728108</v>
      </c>
      <c r="AS182" s="1">
        <v>0.98378773751728099</v>
      </c>
      <c r="AT182" s="1">
        <v>2.5</v>
      </c>
      <c r="AU182" s="1"/>
      <c r="AV182" s="1" t="s">
        <v>1021</v>
      </c>
      <c r="AW182" s="1" t="s">
        <v>98</v>
      </c>
      <c r="AX182" s="1" t="s">
        <v>263</v>
      </c>
      <c r="AY182" s="1" t="s">
        <v>100</v>
      </c>
      <c r="AZ182" s="1" t="s">
        <v>135</v>
      </c>
      <c r="BA182" s="1" t="s">
        <v>100</v>
      </c>
      <c r="BB182" s="1" t="s">
        <v>119</v>
      </c>
      <c r="BC182" s="1" t="s">
        <v>96</v>
      </c>
      <c r="BD182" s="1" t="s">
        <v>136</v>
      </c>
      <c r="BE182" s="1" t="s">
        <v>100</v>
      </c>
      <c r="BF182" s="1" t="s">
        <v>183</v>
      </c>
      <c r="BG182" s="1" t="s">
        <v>96</v>
      </c>
      <c r="BH182" s="1" t="s">
        <v>121</v>
      </c>
      <c r="BI182" t="s">
        <v>100</v>
      </c>
      <c r="BJ182" t="s">
        <v>797</v>
      </c>
      <c r="BK182" t="s">
        <v>98</v>
      </c>
      <c r="BL182" t="s">
        <v>485</v>
      </c>
      <c r="BM182" t="s">
        <v>100</v>
      </c>
      <c r="BN182" t="s">
        <v>643</v>
      </c>
      <c r="BO182" t="s">
        <v>96</v>
      </c>
      <c r="BP182" t="s">
        <v>169</v>
      </c>
      <c r="BQ182" t="s">
        <v>100</v>
      </c>
      <c r="BR182" t="s">
        <v>105</v>
      </c>
      <c r="BT182" t="s">
        <v>105</v>
      </c>
      <c r="BV182" t="s">
        <v>125</v>
      </c>
      <c r="BW182" t="s">
        <v>96</v>
      </c>
      <c r="BX182" t="s">
        <v>110</v>
      </c>
      <c r="BY182" t="s">
        <v>96</v>
      </c>
      <c r="BZ182" t="s">
        <v>127</v>
      </c>
      <c r="CA182" t="s">
        <v>100</v>
      </c>
      <c r="CB182" t="s">
        <v>105</v>
      </c>
      <c r="CD182">
        <v>1.9</v>
      </c>
      <c r="CE182" t="s">
        <v>96</v>
      </c>
      <c r="CF182">
        <v>0.1</v>
      </c>
      <c r="CG182" t="s">
        <v>96</v>
      </c>
      <c r="CH182">
        <v>4.5</v>
      </c>
      <c r="CI182" t="s">
        <v>100</v>
      </c>
      <c r="CJ182" t="s">
        <v>105</v>
      </c>
      <c r="CL182" t="s">
        <v>130</v>
      </c>
      <c r="CM182" t="s">
        <v>96</v>
      </c>
      <c r="CN182">
        <v>1.25</v>
      </c>
      <c r="CO182">
        <v>0</v>
      </c>
    </row>
    <row r="183" spans="1:93" x14ac:dyDescent="0.2">
      <c r="A183" s="3">
        <v>276</v>
      </c>
      <c r="B183" s="3" t="s">
        <v>1022</v>
      </c>
      <c r="C183" s="3" t="s">
        <v>1023</v>
      </c>
      <c r="D183" s="1"/>
      <c r="E183" s="1">
        <f t="shared" si="15"/>
        <v>7.2020381730558611</v>
      </c>
      <c r="F183" s="1">
        <f t="shared" si="16"/>
        <v>7.14</v>
      </c>
      <c r="G183" s="1">
        <f t="shared" si="17"/>
        <v>7.2646153846153796</v>
      </c>
      <c r="H183" s="1"/>
      <c r="I183" s="1">
        <v>34.299999999999997</v>
      </c>
      <c r="J183" s="1">
        <v>7.14</v>
      </c>
      <c r="K183" s="1">
        <v>0</v>
      </c>
      <c r="L183" s="1">
        <v>0.3</v>
      </c>
      <c r="M183" s="1"/>
      <c r="N183" s="1"/>
      <c r="O183" s="1">
        <v>0.8</v>
      </c>
      <c r="P183" s="1"/>
      <c r="Q183" s="1">
        <v>0.4</v>
      </c>
      <c r="R183" s="1">
        <v>2.3809523809523698</v>
      </c>
      <c r="S183" s="1">
        <v>0.01</v>
      </c>
      <c r="T183" s="1">
        <v>0.01</v>
      </c>
      <c r="U183" s="1">
        <v>6.6666666666748099E-4</v>
      </c>
      <c r="V183" s="1">
        <v>6.6666666666748099E-4</v>
      </c>
      <c r="W183" s="1">
        <v>1.016</v>
      </c>
      <c r="X183" s="1">
        <v>0</v>
      </c>
      <c r="Y183" s="1">
        <v>4.0639999999999801E-2</v>
      </c>
      <c r="Z183" s="1">
        <v>0</v>
      </c>
      <c r="AA183" s="1">
        <v>20210222</v>
      </c>
      <c r="AB183" s="1"/>
      <c r="AC183" s="1">
        <v>32.78</v>
      </c>
      <c r="AD183" s="1"/>
      <c r="AE183" s="1">
        <v>25</v>
      </c>
      <c r="AF183" s="1"/>
      <c r="AG183" s="1">
        <v>33.97</v>
      </c>
      <c r="AH183" s="1"/>
      <c r="AI183" s="1"/>
      <c r="AJ183" s="1">
        <v>7.2646153846153796</v>
      </c>
      <c r="AK183" s="1">
        <v>7.5</v>
      </c>
      <c r="AL183" s="1">
        <v>622</v>
      </c>
      <c r="AM183" s="1">
        <v>622</v>
      </c>
      <c r="AN183" s="1">
        <v>33469.199000000001</v>
      </c>
      <c r="AO183" s="1">
        <v>622</v>
      </c>
      <c r="AP183" s="1">
        <v>0</v>
      </c>
      <c r="AQ183" s="1">
        <v>0</v>
      </c>
      <c r="AR183" s="1">
        <v>0</v>
      </c>
      <c r="AS183" s="1">
        <v>0</v>
      </c>
      <c r="AT183" s="1">
        <v>4.0999999999999996</v>
      </c>
      <c r="AU183" s="1"/>
      <c r="AV183" s="1" t="s">
        <v>116</v>
      </c>
      <c r="AW183" s="1" t="s">
        <v>96</v>
      </c>
      <c r="AX183" s="1" t="s">
        <v>1024</v>
      </c>
      <c r="AY183" s="1" t="s">
        <v>100</v>
      </c>
      <c r="AZ183" s="1" t="s">
        <v>135</v>
      </c>
      <c r="BA183" s="1" t="s">
        <v>100</v>
      </c>
      <c r="BB183" s="1" t="s">
        <v>101</v>
      </c>
      <c r="BC183" s="1" t="s">
        <v>98</v>
      </c>
      <c r="BD183" s="1" t="s">
        <v>120</v>
      </c>
      <c r="BE183" s="1" t="s">
        <v>100</v>
      </c>
      <c r="BF183" s="1" t="s">
        <v>137</v>
      </c>
      <c r="BG183" s="1" t="s">
        <v>100</v>
      </c>
      <c r="BH183" s="1" t="s">
        <v>103</v>
      </c>
      <c r="BI183" t="s">
        <v>98</v>
      </c>
      <c r="BJ183" t="s">
        <v>178</v>
      </c>
      <c r="BK183" t="s">
        <v>100</v>
      </c>
      <c r="BL183" t="s">
        <v>105</v>
      </c>
      <c r="BN183" t="s">
        <v>1025</v>
      </c>
      <c r="BO183" t="s">
        <v>98</v>
      </c>
      <c r="BP183" t="s">
        <v>124</v>
      </c>
      <c r="BQ183" t="s">
        <v>96</v>
      </c>
      <c r="BR183" t="s">
        <v>105</v>
      </c>
      <c r="BT183" t="s">
        <v>105</v>
      </c>
      <c r="BV183" t="s">
        <v>125</v>
      </c>
      <c r="BW183" t="s">
        <v>96</v>
      </c>
      <c r="BX183" t="s">
        <v>200</v>
      </c>
      <c r="BY183" t="s">
        <v>100</v>
      </c>
      <c r="BZ183" t="s">
        <v>127</v>
      </c>
      <c r="CA183" t="s">
        <v>100</v>
      </c>
      <c r="CB183" t="s">
        <v>105</v>
      </c>
      <c r="CD183">
        <v>6.3</v>
      </c>
      <c r="CE183" t="s">
        <v>100</v>
      </c>
      <c r="CF183">
        <v>0</v>
      </c>
      <c r="CG183" t="s">
        <v>96</v>
      </c>
      <c r="CH183">
        <v>3.5</v>
      </c>
      <c r="CI183" t="s">
        <v>100</v>
      </c>
      <c r="CJ183" t="s">
        <v>112</v>
      </c>
      <c r="CK183" t="s">
        <v>96</v>
      </c>
      <c r="CL183" t="s">
        <v>130</v>
      </c>
      <c r="CM183" t="s">
        <v>96</v>
      </c>
      <c r="CN183">
        <v>5.25</v>
      </c>
      <c r="CO183">
        <v>0</v>
      </c>
    </row>
    <row r="184" spans="1:93" x14ac:dyDescent="0.2">
      <c r="A184" s="3">
        <v>277</v>
      </c>
      <c r="B184" s="3" t="s">
        <v>1026</v>
      </c>
      <c r="C184" s="3" t="s">
        <v>1027</v>
      </c>
      <c r="D184" s="1"/>
      <c r="E184" s="1">
        <f t="shared" si="15"/>
        <v>5.6917758213056846</v>
      </c>
      <c r="F184" s="1">
        <f t="shared" si="16"/>
        <v>7.4</v>
      </c>
      <c r="G184" s="1">
        <f t="shared" si="17"/>
        <v>4.3778800000000002</v>
      </c>
      <c r="H184" s="1"/>
      <c r="I184" s="1">
        <v>33</v>
      </c>
      <c r="J184" s="1">
        <v>7.4</v>
      </c>
      <c r="K184" s="1"/>
      <c r="L184" s="1"/>
      <c r="M184" s="1"/>
      <c r="N184" s="1"/>
      <c r="O184" s="1"/>
      <c r="P184" s="1"/>
      <c r="Q184" s="1"/>
      <c r="R184" s="1"/>
      <c r="S184" s="1">
        <v>7.6982819687801296</v>
      </c>
      <c r="T184" s="1">
        <v>-55.880242529723802</v>
      </c>
      <c r="U184" s="1">
        <v>0.51321879791867497</v>
      </c>
      <c r="V184" s="1">
        <v>0</v>
      </c>
      <c r="W184" s="1">
        <v>109.447</v>
      </c>
      <c r="X184" s="1">
        <v>0</v>
      </c>
      <c r="Y184" s="1">
        <v>4.3778800000000002</v>
      </c>
      <c r="Z184" s="1">
        <v>0</v>
      </c>
      <c r="AA184" s="1"/>
      <c r="AB184" s="1"/>
      <c r="AC184" s="1"/>
      <c r="AD184" s="1"/>
      <c r="AE184" s="1"/>
      <c r="AF184" s="1"/>
      <c r="AG184" s="1"/>
      <c r="AH184" s="1"/>
      <c r="AI184" s="1"/>
      <c r="AJ184" s="1"/>
      <c r="AK184" s="1"/>
      <c r="AL184" s="1">
        <v>6</v>
      </c>
      <c r="AM184" s="1">
        <v>6</v>
      </c>
      <c r="AN184" s="1">
        <v>110.947</v>
      </c>
      <c r="AO184" s="1">
        <v>6</v>
      </c>
      <c r="AP184" s="1">
        <v>0</v>
      </c>
      <c r="AQ184" s="1">
        <v>0</v>
      </c>
      <c r="AR184" s="1">
        <v>0</v>
      </c>
      <c r="AS184" s="1">
        <v>0</v>
      </c>
      <c r="AT184" s="1">
        <v>4.0999999999999996</v>
      </c>
      <c r="AU184" s="1"/>
      <c r="AV184" s="1" t="s">
        <v>1028</v>
      </c>
      <c r="AW184" s="1" t="s">
        <v>98</v>
      </c>
      <c r="AX184" s="1" t="s">
        <v>105</v>
      </c>
      <c r="AY184" s="1"/>
      <c r="AZ184" s="1" t="s">
        <v>105</v>
      </c>
      <c r="BA184" s="1"/>
      <c r="BB184" s="1" t="s">
        <v>105</v>
      </c>
      <c r="BC184" s="1"/>
      <c r="BD184" s="1" t="s">
        <v>105</v>
      </c>
      <c r="BE184" s="1"/>
      <c r="BF184" s="1" t="s">
        <v>105</v>
      </c>
      <c r="BG184" s="1"/>
      <c r="BH184" s="1" t="s">
        <v>105</v>
      </c>
      <c r="BJ184" t="s">
        <v>364</v>
      </c>
      <c r="BK184" t="s">
        <v>98</v>
      </c>
      <c r="BL184" t="s">
        <v>105</v>
      </c>
      <c r="BN184" t="s">
        <v>163</v>
      </c>
      <c r="BO184" t="s">
        <v>96</v>
      </c>
      <c r="BP184" t="s">
        <v>124</v>
      </c>
      <c r="BQ184" t="s">
        <v>96</v>
      </c>
      <c r="BR184" t="s">
        <v>105</v>
      </c>
      <c r="BT184" t="s">
        <v>105</v>
      </c>
      <c r="BV184" t="s">
        <v>105</v>
      </c>
      <c r="BX184" t="s">
        <v>105</v>
      </c>
      <c r="BZ184" t="s">
        <v>105</v>
      </c>
      <c r="CB184" t="s">
        <v>105</v>
      </c>
      <c r="CD184">
        <v>0.1</v>
      </c>
      <c r="CE184" t="s">
        <v>96</v>
      </c>
      <c r="CF184">
        <v>0</v>
      </c>
      <c r="CG184" t="s">
        <v>96</v>
      </c>
      <c r="CH184">
        <v>0.5</v>
      </c>
      <c r="CI184" t="s">
        <v>96</v>
      </c>
      <c r="CJ184" t="s">
        <v>105</v>
      </c>
      <c r="CL184" t="s">
        <v>130</v>
      </c>
      <c r="CM184" t="s">
        <v>96</v>
      </c>
      <c r="CN184">
        <v>5.25</v>
      </c>
      <c r="CO184">
        <v>0</v>
      </c>
    </row>
    <row r="185" spans="1:93" x14ac:dyDescent="0.2">
      <c r="A185" s="3">
        <v>278</v>
      </c>
      <c r="B185" s="3" t="s">
        <v>1029</v>
      </c>
      <c r="C185" s="3" t="s">
        <v>1030</v>
      </c>
      <c r="D185" s="1"/>
      <c r="E185" s="1">
        <f t="shared" si="15"/>
        <v>6.6904338246413104</v>
      </c>
      <c r="F185" s="1">
        <f t="shared" si="16"/>
        <v>9.4</v>
      </c>
      <c r="G185" s="1">
        <f t="shared" si="17"/>
        <v>4.7619047619047397</v>
      </c>
      <c r="H185" s="1"/>
      <c r="I185" s="1">
        <v>23</v>
      </c>
      <c r="J185" s="1">
        <v>9.4</v>
      </c>
      <c r="K185" s="1">
        <v>0</v>
      </c>
      <c r="L185" s="1">
        <v>0.2</v>
      </c>
      <c r="M185" s="1"/>
      <c r="N185" s="1"/>
      <c r="O185" s="1">
        <v>1</v>
      </c>
      <c r="P185" s="1">
        <v>0.6</v>
      </c>
      <c r="Q185" s="1">
        <v>0.5</v>
      </c>
      <c r="R185" s="1">
        <v>4.7619047619047397</v>
      </c>
      <c r="S185" s="1">
        <v>-4.8076923076923102</v>
      </c>
      <c r="T185" s="1">
        <v>-9.1163880566704005</v>
      </c>
      <c r="U185" s="1">
        <v>0</v>
      </c>
      <c r="V185" s="1">
        <v>0</v>
      </c>
      <c r="W185" s="1">
        <v>14.318</v>
      </c>
      <c r="X185" s="1">
        <v>0.186</v>
      </c>
      <c r="Y185" s="1">
        <v>0.57272000000000001</v>
      </c>
      <c r="Z185" s="1">
        <v>0.372</v>
      </c>
      <c r="AA185" s="1">
        <v>20210222</v>
      </c>
      <c r="AB185" s="1"/>
      <c r="AC185" s="1">
        <v>74.11</v>
      </c>
      <c r="AD185" s="1"/>
      <c r="AE185" s="1">
        <v>50</v>
      </c>
      <c r="AF185" s="1"/>
      <c r="AG185" s="1">
        <v>77.819999999999993</v>
      </c>
      <c r="AH185" s="1"/>
      <c r="AI185" s="1"/>
      <c r="AJ185" s="1">
        <v>0.90615384615384698</v>
      </c>
      <c r="AK185" s="1">
        <v>5</v>
      </c>
      <c r="AL185" s="1">
        <v>1575</v>
      </c>
      <c r="AM185" s="1">
        <v>1546</v>
      </c>
      <c r="AN185" s="1">
        <v>28435.942999999999</v>
      </c>
      <c r="AO185" s="1">
        <v>1312</v>
      </c>
      <c r="AP185" s="1">
        <v>29</v>
      </c>
      <c r="AQ185" s="1">
        <v>1.0198360574854199</v>
      </c>
      <c r="AR185" s="1">
        <v>20.045731707317099</v>
      </c>
      <c r="AS185" s="1">
        <v>2.0045731707317098</v>
      </c>
      <c r="AT185" s="1">
        <v>4.4000000000000004</v>
      </c>
      <c r="AU185" s="1"/>
      <c r="AV185" s="1" t="s">
        <v>1031</v>
      </c>
      <c r="AW185" s="1" t="s">
        <v>100</v>
      </c>
      <c r="AX185" s="1" t="s">
        <v>498</v>
      </c>
      <c r="AY185" s="1" t="s">
        <v>96</v>
      </c>
      <c r="AZ185" s="1" t="s">
        <v>174</v>
      </c>
      <c r="BA185" s="1" t="s">
        <v>96</v>
      </c>
      <c r="BB185" s="1" t="s">
        <v>119</v>
      </c>
      <c r="BC185" s="1" t="s">
        <v>96</v>
      </c>
      <c r="BD185" s="1" t="s">
        <v>136</v>
      </c>
      <c r="BE185" s="1" t="s">
        <v>100</v>
      </c>
      <c r="BF185" s="1" t="s">
        <v>102</v>
      </c>
      <c r="BG185" s="1" t="s">
        <v>98</v>
      </c>
      <c r="BH185" s="1" t="s">
        <v>147</v>
      </c>
      <c r="BI185" t="s">
        <v>96</v>
      </c>
      <c r="BJ185" t="s">
        <v>664</v>
      </c>
      <c r="BK185" t="s">
        <v>98</v>
      </c>
      <c r="BL185" t="s">
        <v>105</v>
      </c>
      <c r="BN185" t="s">
        <v>1032</v>
      </c>
      <c r="BO185" t="s">
        <v>98</v>
      </c>
      <c r="BP185" t="s">
        <v>227</v>
      </c>
      <c r="BQ185" t="s">
        <v>98</v>
      </c>
      <c r="BR185" t="s">
        <v>105</v>
      </c>
      <c r="BT185" t="s">
        <v>400</v>
      </c>
      <c r="BU185" t="s">
        <v>98</v>
      </c>
      <c r="BV185" t="s">
        <v>125</v>
      </c>
      <c r="BW185" t="s">
        <v>96</v>
      </c>
      <c r="BX185" t="s">
        <v>110</v>
      </c>
      <c r="BY185" t="s">
        <v>96</v>
      </c>
      <c r="BZ185" t="s">
        <v>253</v>
      </c>
      <c r="CA185" t="s">
        <v>98</v>
      </c>
      <c r="CB185" t="s">
        <v>128</v>
      </c>
      <c r="CC185" t="s">
        <v>100</v>
      </c>
      <c r="CD185">
        <v>1.1000000000000001</v>
      </c>
      <c r="CE185" t="s">
        <v>96</v>
      </c>
      <c r="CF185">
        <v>0</v>
      </c>
      <c r="CG185" t="s">
        <v>96</v>
      </c>
      <c r="CH185">
        <v>0.5</v>
      </c>
      <c r="CI185" t="s">
        <v>96</v>
      </c>
      <c r="CJ185" t="s">
        <v>105</v>
      </c>
      <c r="CL185" t="s">
        <v>98</v>
      </c>
      <c r="CM185" t="s">
        <v>98</v>
      </c>
      <c r="CN185">
        <v>6</v>
      </c>
      <c r="CO185">
        <v>0</v>
      </c>
    </row>
    <row r="186" spans="1:93" x14ac:dyDescent="0.2">
      <c r="A186" s="3">
        <v>279</v>
      </c>
      <c r="B186" s="3" t="s">
        <v>1033</v>
      </c>
      <c r="C186" s="3" t="s">
        <v>1034</v>
      </c>
      <c r="D186" s="1"/>
      <c r="E186" s="1">
        <f t="shared" si="15"/>
        <v>2.9086079144497972</v>
      </c>
      <c r="F186" s="1">
        <f t="shared" si="16"/>
        <v>4.5</v>
      </c>
      <c r="G186" s="1">
        <f t="shared" si="17"/>
        <v>1.88</v>
      </c>
      <c r="H186" s="1"/>
      <c r="I186" s="1">
        <v>49.1</v>
      </c>
      <c r="J186" s="1">
        <v>4.18</v>
      </c>
      <c r="K186" s="1"/>
      <c r="L186" s="1"/>
      <c r="M186" s="1"/>
      <c r="N186" s="1"/>
      <c r="O186" s="1"/>
      <c r="P186" s="1"/>
      <c r="Q186" s="1"/>
      <c r="R186" s="1"/>
      <c r="S186" s="1">
        <v>0.01</v>
      </c>
      <c r="T186" s="1">
        <v>0.01</v>
      </c>
      <c r="U186" s="1">
        <v>6.6666666666748099E-4</v>
      </c>
      <c r="V186" s="1">
        <v>6.6666666666748099E-4</v>
      </c>
      <c r="W186" s="1">
        <v>0.22700000000000001</v>
      </c>
      <c r="X186" s="1">
        <v>0</v>
      </c>
      <c r="Y186" s="1">
        <v>9.0800000000008704E-3</v>
      </c>
      <c r="Z186" s="1">
        <v>0</v>
      </c>
      <c r="AA186" s="1">
        <v>20210222</v>
      </c>
      <c r="AB186" s="1"/>
      <c r="AC186" s="1">
        <v>67.78</v>
      </c>
      <c r="AD186" s="1"/>
      <c r="AE186" s="1">
        <v>50</v>
      </c>
      <c r="AF186" s="1"/>
      <c r="AG186" s="1">
        <v>70.510000000000005</v>
      </c>
      <c r="AH186" s="1"/>
      <c r="AI186" s="1"/>
      <c r="AJ186" s="1">
        <v>1.88</v>
      </c>
      <c r="AK186" s="1">
        <v>5</v>
      </c>
      <c r="AL186" s="1">
        <v>35</v>
      </c>
      <c r="AM186" s="1">
        <v>35</v>
      </c>
      <c r="AN186" s="1">
        <v>97338.582999999999</v>
      </c>
      <c r="AO186" s="1">
        <v>35</v>
      </c>
      <c r="AP186" s="1">
        <v>0</v>
      </c>
      <c r="AQ186" s="1">
        <v>0</v>
      </c>
      <c r="AR186" s="1">
        <v>0</v>
      </c>
      <c r="AS186" s="1">
        <v>0</v>
      </c>
      <c r="AT186" s="1">
        <v>3.8</v>
      </c>
      <c r="AU186" s="1"/>
      <c r="AV186" s="1" t="s">
        <v>854</v>
      </c>
      <c r="AW186" s="1" t="s">
        <v>96</v>
      </c>
      <c r="AX186" s="1" t="s">
        <v>504</v>
      </c>
      <c r="AY186" s="1" t="s">
        <v>100</v>
      </c>
      <c r="AZ186" s="1" t="s">
        <v>174</v>
      </c>
      <c r="BA186" s="1" t="s">
        <v>96</v>
      </c>
      <c r="BB186" s="1" t="s">
        <v>101</v>
      </c>
      <c r="BC186" s="1" t="s">
        <v>98</v>
      </c>
      <c r="BD186" s="1" t="s">
        <v>136</v>
      </c>
      <c r="BE186" s="1" t="s">
        <v>100</v>
      </c>
      <c r="BF186" s="1" t="s">
        <v>137</v>
      </c>
      <c r="BG186" s="1" t="s">
        <v>100</v>
      </c>
      <c r="BH186" s="1" t="s">
        <v>121</v>
      </c>
      <c r="BI186" t="s">
        <v>100</v>
      </c>
      <c r="BJ186" t="s">
        <v>306</v>
      </c>
      <c r="BK186" t="s">
        <v>96</v>
      </c>
      <c r="BL186" t="s">
        <v>405</v>
      </c>
      <c r="BM186" t="s">
        <v>96</v>
      </c>
      <c r="BN186" t="s">
        <v>225</v>
      </c>
      <c r="BO186" t="s">
        <v>100</v>
      </c>
      <c r="BP186" t="s">
        <v>107</v>
      </c>
      <c r="BQ186" t="s">
        <v>96</v>
      </c>
      <c r="BR186" t="s">
        <v>105</v>
      </c>
      <c r="BT186" t="s">
        <v>105</v>
      </c>
      <c r="BV186" t="s">
        <v>125</v>
      </c>
      <c r="BW186" t="s">
        <v>96</v>
      </c>
      <c r="BX186" t="s">
        <v>110</v>
      </c>
      <c r="BY186" t="s">
        <v>96</v>
      </c>
      <c r="BZ186" t="s">
        <v>141</v>
      </c>
      <c r="CA186" t="s">
        <v>96</v>
      </c>
      <c r="CB186" t="s">
        <v>105</v>
      </c>
      <c r="CD186">
        <v>0</v>
      </c>
      <c r="CE186" t="s">
        <v>96</v>
      </c>
      <c r="CF186">
        <v>0.2</v>
      </c>
      <c r="CG186" t="s">
        <v>96</v>
      </c>
      <c r="CH186">
        <v>3.4</v>
      </c>
      <c r="CI186" t="s">
        <v>100</v>
      </c>
      <c r="CJ186" t="s">
        <v>112</v>
      </c>
      <c r="CK186" t="s">
        <v>96</v>
      </c>
      <c r="CL186" t="s">
        <v>96</v>
      </c>
      <c r="CM186" t="s">
        <v>100</v>
      </c>
      <c r="CN186">
        <v>4.5</v>
      </c>
      <c r="CO186">
        <v>0</v>
      </c>
    </row>
    <row r="187" spans="1:93" x14ac:dyDescent="0.2">
      <c r="A187" s="3">
        <v>280</v>
      </c>
      <c r="B187" s="3" t="s">
        <v>1035</v>
      </c>
      <c r="C187" s="3" t="s">
        <v>1036</v>
      </c>
      <c r="D187" s="1"/>
      <c r="E187" s="1">
        <f t="shared" si="15"/>
        <v>9.1443451170134225</v>
      </c>
      <c r="F187" s="1">
        <f t="shared" si="16"/>
        <v>8.7799999999999994</v>
      </c>
      <c r="G187" s="1">
        <f t="shared" si="17"/>
        <v>9.5238095238094793</v>
      </c>
      <c r="H187" s="1"/>
      <c r="I187" s="1">
        <v>26.1</v>
      </c>
      <c r="J187" s="1">
        <v>8.7799999999999994</v>
      </c>
      <c r="K187" s="1"/>
      <c r="L187" s="1">
        <v>0.5</v>
      </c>
      <c r="M187" s="1"/>
      <c r="N187" s="1"/>
      <c r="O187" s="1">
        <v>1</v>
      </c>
      <c r="P187" s="1"/>
      <c r="Q187" s="1">
        <v>0.7</v>
      </c>
      <c r="R187" s="1">
        <v>9.5238095238094793</v>
      </c>
      <c r="S187" s="1"/>
      <c r="T187" s="1"/>
      <c r="U187" s="1"/>
      <c r="V187" s="1"/>
      <c r="W187" s="1">
        <v>0</v>
      </c>
      <c r="X187" s="1">
        <v>0</v>
      </c>
      <c r="Y187" s="1">
        <v>0</v>
      </c>
      <c r="Z187" s="1">
        <v>0</v>
      </c>
      <c r="AA187" s="1">
        <v>20210222</v>
      </c>
      <c r="AB187" s="1"/>
      <c r="AC187" s="1">
        <v>22.22</v>
      </c>
      <c r="AD187" s="1"/>
      <c r="AE187" s="1">
        <v>0</v>
      </c>
      <c r="AF187" s="1"/>
      <c r="AG187" s="1">
        <v>25.64</v>
      </c>
      <c r="AH187" s="1"/>
      <c r="AI187" s="1"/>
      <c r="AJ187" s="1">
        <v>8.8892307692307693</v>
      </c>
      <c r="AK187" s="1">
        <v>10</v>
      </c>
      <c r="AL187" s="1"/>
      <c r="AM187" s="1"/>
      <c r="AN187" s="1"/>
      <c r="AO187" s="1"/>
      <c r="AP187" s="1"/>
      <c r="AQ187" s="1"/>
      <c r="AR187" s="1"/>
      <c r="AS187" s="1"/>
      <c r="AT187" s="1">
        <v>5.3</v>
      </c>
      <c r="AU187" s="1"/>
      <c r="AV187" s="1" t="s">
        <v>533</v>
      </c>
      <c r="AW187" s="1" t="s">
        <v>96</v>
      </c>
      <c r="AX187" s="1" t="s">
        <v>824</v>
      </c>
      <c r="AY187" s="1" t="s">
        <v>100</v>
      </c>
      <c r="AZ187" s="1" t="s">
        <v>174</v>
      </c>
      <c r="BA187" s="1" t="s">
        <v>96</v>
      </c>
      <c r="BB187" s="1" t="s">
        <v>101</v>
      </c>
      <c r="BC187" s="1" t="s">
        <v>98</v>
      </c>
      <c r="BD187" s="1" t="s">
        <v>101</v>
      </c>
      <c r="BE187" s="1" t="s">
        <v>98</v>
      </c>
      <c r="BF187" s="1" t="s">
        <v>102</v>
      </c>
      <c r="BG187" s="1" t="s">
        <v>98</v>
      </c>
      <c r="BH187" s="1" t="s">
        <v>121</v>
      </c>
      <c r="BI187" t="s">
        <v>100</v>
      </c>
      <c r="BJ187" t="s">
        <v>205</v>
      </c>
      <c r="BK187" t="s">
        <v>98</v>
      </c>
      <c r="BL187" t="s">
        <v>105</v>
      </c>
      <c r="BN187" t="s">
        <v>288</v>
      </c>
      <c r="BO187" t="s">
        <v>96</v>
      </c>
      <c r="BP187" t="s">
        <v>124</v>
      </c>
      <c r="BQ187" t="s">
        <v>96</v>
      </c>
      <c r="BR187" t="s">
        <v>105</v>
      </c>
      <c r="BT187" t="s">
        <v>105</v>
      </c>
      <c r="BV187" t="s">
        <v>125</v>
      </c>
      <c r="BW187" t="s">
        <v>96</v>
      </c>
      <c r="BX187" t="s">
        <v>200</v>
      </c>
      <c r="BY187" t="s">
        <v>100</v>
      </c>
      <c r="BZ187" t="s">
        <v>141</v>
      </c>
      <c r="CA187" t="s">
        <v>96</v>
      </c>
      <c r="CB187" t="s">
        <v>105</v>
      </c>
      <c r="CD187">
        <v>0.1</v>
      </c>
      <c r="CE187" t="s">
        <v>96</v>
      </c>
      <c r="CF187">
        <v>4.4000000000000004</v>
      </c>
      <c r="CG187" t="s">
        <v>100</v>
      </c>
      <c r="CH187">
        <v>0</v>
      </c>
      <c r="CI187" t="s">
        <v>96</v>
      </c>
      <c r="CJ187" t="s">
        <v>105</v>
      </c>
      <c r="CL187" t="s">
        <v>96</v>
      </c>
      <c r="CM187" t="s">
        <v>100</v>
      </c>
      <c r="CN187">
        <v>8.25</v>
      </c>
      <c r="CO187">
        <v>0</v>
      </c>
    </row>
    <row r="188" spans="1:93" x14ac:dyDescent="0.2">
      <c r="A188" s="3">
        <v>281</v>
      </c>
      <c r="B188" s="3" t="s">
        <v>1037</v>
      </c>
      <c r="C188" s="3" t="s">
        <v>1038</v>
      </c>
      <c r="D188" s="1"/>
      <c r="E188" s="1">
        <f t="shared" si="15"/>
        <v>0.50113471242770991</v>
      </c>
      <c r="F188" s="1">
        <f t="shared" si="16"/>
        <v>8.7200000000000006</v>
      </c>
      <c r="G188" s="1">
        <f t="shared" si="17"/>
        <v>2.8800000000000402E-2</v>
      </c>
      <c r="H188" s="1"/>
      <c r="I188" s="1">
        <v>26.4</v>
      </c>
      <c r="J188" s="1">
        <v>8.7200000000000006</v>
      </c>
      <c r="K188" s="1"/>
      <c r="L188" s="1"/>
      <c r="M188" s="1"/>
      <c r="N188" s="1"/>
      <c r="O188" s="1"/>
      <c r="P188" s="1"/>
      <c r="Q188" s="1"/>
      <c r="R188" s="1"/>
      <c r="S188" s="1"/>
      <c r="T188" s="1"/>
      <c r="U188" s="1"/>
      <c r="V188" s="1"/>
      <c r="W188" s="1">
        <v>0.72</v>
      </c>
      <c r="X188" s="1">
        <v>0</v>
      </c>
      <c r="Y188" s="1">
        <v>2.8800000000000402E-2</v>
      </c>
      <c r="Z188" s="1">
        <v>0</v>
      </c>
      <c r="AA188" s="1"/>
      <c r="AB188" s="1"/>
      <c r="AC188" s="1"/>
      <c r="AD188" s="1"/>
      <c r="AE188" s="1"/>
      <c r="AF188" s="1"/>
      <c r="AG188" s="1"/>
      <c r="AH188" s="1"/>
      <c r="AI188" s="1"/>
      <c r="AJ188" s="1"/>
      <c r="AK188" s="1"/>
      <c r="AL188" s="1"/>
      <c r="AM188" s="1"/>
      <c r="AN188" s="1"/>
      <c r="AO188" s="1"/>
      <c r="AP188" s="1"/>
      <c r="AQ188" s="1"/>
      <c r="AR188" s="1"/>
      <c r="AS188" s="1"/>
      <c r="AT188" s="1">
        <v>3.3</v>
      </c>
      <c r="AU188" s="1"/>
      <c r="AV188" s="1" t="s">
        <v>105</v>
      </c>
      <c r="AW188" s="1"/>
      <c r="AX188" s="1" t="s">
        <v>105</v>
      </c>
      <c r="AY188" s="1"/>
      <c r="AZ188" s="1" t="s">
        <v>105</v>
      </c>
      <c r="BA188" s="1"/>
      <c r="BB188" s="1" t="s">
        <v>105</v>
      </c>
      <c r="BC188" s="1"/>
      <c r="BD188" s="1" t="s">
        <v>105</v>
      </c>
      <c r="BE188" s="1"/>
      <c r="BF188" s="1" t="s">
        <v>105</v>
      </c>
      <c r="BG188" s="1"/>
      <c r="BH188" s="1" t="s">
        <v>105</v>
      </c>
      <c r="BJ188" t="s">
        <v>104</v>
      </c>
      <c r="BK188" t="s">
        <v>98</v>
      </c>
      <c r="BL188" t="s">
        <v>105</v>
      </c>
      <c r="BN188" t="s">
        <v>348</v>
      </c>
      <c r="BO188" t="s">
        <v>96</v>
      </c>
      <c r="BP188" t="s">
        <v>124</v>
      </c>
      <c r="BQ188" t="s">
        <v>96</v>
      </c>
      <c r="BR188" t="s">
        <v>105</v>
      </c>
      <c r="BT188" t="s">
        <v>105</v>
      </c>
      <c r="BV188" t="s">
        <v>105</v>
      </c>
      <c r="BX188" t="s">
        <v>105</v>
      </c>
      <c r="BZ188" t="s">
        <v>105</v>
      </c>
      <c r="CB188" t="s">
        <v>105</v>
      </c>
      <c r="CD188">
        <v>0.1</v>
      </c>
      <c r="CE188" t="s">
        <v>96</v>
      </c>
      <c r="CF188">
        <v>4.4000000000000004</v>
      </c>
      <c r="CG188" t="s">
        <v>100</v>
      </c>
      <c r="CH188">
        <v>0.5</v>
      </c>
      <c r="CI188" t="s">
        <v>96</v>
      </c>
      <c r="CJ188" t="s">
        <v>105</v>
      </c>
      <c r="CL188" t="s">
        <v>130</v>
      </c>
      <c r="CM188" t="s">
        <v>96</v>
      </c>
      <c r="CN188">
        <v>3.25</v>
      </c>
      <c r="CO188">
        <v>0</v>
      </c>
    </row>
    <row r="189" spans="1:93" x14ac:dyDescent="0.2">
      <c r="A189" s="3">
        <v>282</v>
      </c>
      <c r="B189" s="3" t="s">
        <v>1039</v>
      </c>
      <c r="C189" s="3" t="s">
        <v>1040</v>
      </c>
      <c r="D189" s="1"/>
      <c r="E189" s="1">
        <f t="shared" si="15"/>
        <v>9.2910213067819889</v>
      </c>
      <c r="F189" s="1">
        <f t="shared" si="16"/>
        <v>10</v>
      </c>
      <c r="G189" s="1">
        <f t="shared" si="17"/>
        <v>8.6323076923076894</v>
      </c>
      <c r="H189" s="1"/>
      <c r="I189" s="1">
        <v>18.5</v>
      </c>
      <c r="J189" s="1">
        <v>10</v>
      </c>
      <c r="K189" s="1">
        <v>0.9</v>
      </c>
      <c r="L189" s="1">
        <v>0</v>
      </c>
      <c r="M189" s="1"/>
      <c r="N189" s="1"/>
      <c r="O189" s="1">
        <v>1</v>
      </c>
      <c r="P189" s="1">
        <v>0</v>
      </c>
      <c r="Q189" s="1">
        <v>0.5</v>
      </c>
      <c r="R189" s="1">
        <v>4.7619047619047397</v>
      </c>
      <c r="S189" s="1">
        <v>0.01</v>
      </c>
      <c r="T189" s="1">
        <v>0.01</v>
      </c>
      <c r="U189" s="1">
        <v>6.6666666666748099E-4</v>
      </c>
      <c r="V189" s="1">
        <v>6.6666666666748099E-4</v>
      </c>
      <c r="W189" s="1">
        <v>9.6000000000000002E-2</v>
      </c>
      <c r="X189" s="1">
        <v>0.01</v>
      </c>
      <c r="Y189" s="1">
        <v>3.8400000000002898E-3</v>
      </c>
      <c r="Z189" s="1">
        <v>1.9999999999999601E-2</v>
      </c>
      <c r="AA189" s="1">
        <v>20210222</v>
      </c>
      <c r="AB189" s="1"/>
      <c r="AC189" s="1">
        <v>23.89</v>
      </c>
      <c r="AD189" s="1"/>
      <c r="AE189" s="1">
        <v>0</v>
      </c>
      <c r="AF189" s="1"/>
      <c r="AG189" s="1">
        <v>27.56</v>
      </c>
      <c r="AH189" s="1"/>
      <c r="AI189" s="1"/>
      <c r="AJ189" s="1">
        <v>8.6323076923076894</v>
      </c>
      <c r="AK189" s="1">
        <v>10</v>
      </c>
      <c r="AL189" s="1">
        <v>743</v>
      </c>
      <c r="AM189" s="1">
        <v>699</v>
      </c>
      <c r="AN189" s="1">
        <v>29825.968000000001</v>
      </c>
      <c r="AO189" s="1">
        <v>618</v>
      </c>
      <c r="AP189" s="1">
        <v>44</v>
      </c>
      <c r="AQ189" s="1">
        <v>1.47522454258651</v>
      </c>
      <c r="AR189" s="1">
        <v>20.2265372168285</v>
      </c>
      <c r="AS189" s="1">
        <v>2.02265372168285</v>
      </c>
      <c r="AT189" s="1">
        <v>6.4</v>
      </c>
      <c r="AU189" s="1"/>
      <c r="AV189" s="1" t="s">
        <v>533</v>
      </c>
      <c r="AW189" s="1" t="s">
        <v>96</v>
      </c>
      <c r="AX189" s="1" t="s">
        <v>310</v>
      </c>
      <c r="AY189" s="1" t="s">
        <v>100</v>
      </c>
      <c r="AZ189" s="1" t="s">
        <v>174</v>
      </c>
      <c r="BA189" s="1" t="s">
        <v>96</v>
      </c>
      <c r="BB189" s="1" t="s">
        <v>105</v>
      </c>
      <c r="BC189" s="1"/>
      <c r="BD189" s="1" t="s">
        <v>105</v>
      </c>
      <c r="BE189" s="1"/>
      <c r="BF189" s="1" t="s">
        <v>105</v>
      </c>
      <c r="BG189" s="1"/>
      <c r="BH189" s="1" t="s">
        <v>105</v>
      </c>
      <c r="BJ189" t="s">
        <v>104</v>
      </c>
      <c r="BK189" t="s">
        <v>98</v>
      </c>
      <c r="BL189" t="s">
        <v>105</v>
      </c>
      <c r="BN189" t="s">
        <v>1041</v>
      </c>
      <c r="BO189" t="s">
        <v>98</v>
      </c>
      <c r="BP189" t="s">
        <v>124</v>
      </c>
      <c r="BQ189" t="s">
        <v>96</v>
      </c>
      <c r="BR189" t="s">
        <v>1042</v>
      </c>
      <c r="BS189" t="s">
        <v>98</v>
      </c>
      <c r="BT189" t="s">
        <v>105</v>
      </c>
      <c r="BV189" t="s">
        <v>105</v>
      </c>
      <c r="BX189" t="s">
        <v>105</v>
      </c>
      <c r="BZ189" t="s">
        <v>105</v>
      </c>
      <c r="CB189" t="s">
        <v>400</v>
      </c>
      <c r="CC189" t="s">
        <v>98</v>
      </c>
      <c r="CD189">
        <v>1</v>
      </c>
      <c r="CE189" t="s">
        <v>96</v>
      </c>
      <c r="CF189">
        <v>0</v>
      </c>
      <c r="CG189" t="s">
        <v>96</v>
      </c>
      <c r="CH189">
        <v>0.8</v>
      </c>
      <c r="CI189" t="s">
        <v>96</v>
      </c>
      <c r="CJ189" t="s">
        <v>129</v>
      </c>
      <c r="CK189" t="s">
        <v>98</v>
      </c>
      <c r="CL189" t="s">
        <v>113</v>
      </c>
      <c r="CM189" t="s">
        <v>98</v>
      </c>
      <c r="CN189">
        <v>10</v>
      </c>
      <c r="CO189">
        <v>0</v>
      </c>
    </row>
    <row r="190" spans="1:93" x14ac:dyDescent="0.2">
      <c r="A190" s="3">
        <v>283</v>
      </c>
      <c r="B190" s="3" t="s">
        <v>1043</v>
      </c>
      <c r="C190" s="3" t="s">
        <v>1044</v>
      </c>
      <c r="D190" s="1"/>
      <c r="E190" s="1">
        <f t="shared" si="15"/>
        <v>6.9436507482941208</v>
      </c>
      <c r="F190" s="1">
        <f t="shared" si="16"/>
        <v>6.75</v>
      </c>
      <c r="G190" s="1">
        <f t="shared" si="17"/>
        <v>7.1428571428571104</v>
      </c>
      <c r="H190" s="1"/>
      <c r="I190" s="1">
        <v>54.8</v>
      </c>
      <c r="J190" s="1">
        <v>3.04</v>
      </c>
      <c r="K190" s="1">
        <v>0</v>
      </c>
      <c r="L190" s="1">
        <v>0.7</v>
      </c>
      <c r="M190" s="1"/>
      <c r="N190" s="1"/>
      <c r="O190" s="1">
        <v>1</v>
      </c>
      <c r="P190" s="1">
        <v>0.6</v>
      </c>
      <c r="Q190" s="1">
        <v>0.6</v>
      </c>
      <c r="R190" s="1">
        <v>7.1428571428571104</v>
      </c>
      <c r="S190" s="1">
        <v>-48.123856477490698</v>
      </c>
      <c r="T190" s="1">
        <v>-52.801474108134698</v>
      </c>
      <c r="U190" s="1">
        <v>0</v>
      </c>
      <c r="V190" s="1">
        <v>0</v>
      </c>
      <c r="W190" s="1">
        <v>28.878</v>
      </c>
      <c r="X190" s="1">
        <v>2.78</v>
      </c>
      <c r="Y190" s="1">
        <v>1.1551199999999999</v>
      </c>
      <c r="Z190" s="1">
        <v>5.56</v>
      </c>
      <c r="AA190" s="1">
        <v>20210222</v>
      </c>
      <c r="AB190" s="1">
        <v>58.56</v>
      </c>
      <c r="AC190" s="1">
        <v>58.56</v>
      </c>
      <c r="AD190" s="1">
        <v>75</v>
      </c>
      <c r="AE190" s="1">
        <v>75</v>
      </c>
      <c r="AF190" s="1">
        <v>56.03</v>
      </c>
      <c r="AG190" s="1">
        <v>56.03</v>
      </c>
      <c r="AH190" s="1">
        <v>1</v>
      </c>
      <c r="AI190" s="1">
        <v>1</v>
      </c>
      <c r="AJ190" s="1">
        <v>3.2984615384615399</v>
      </c>
      <c r="AK190" s="1">
        <v>2.5</v>
      </c>
      <c r="AL190" s="1">
        <v>51334</v>
      </c>
      <c r="AM190" s="1">
        <v>51210</v>
      </c>
      <c r="AN190" s="1">
        <v>59308.69</v>
      </c>
      <c r="AO190" s="1">
        <v>48940</v>
      </c>
      <c r="AP190" s="1">
        <v>124</v>
      </c>
      <c r="AQ190" s="1">
        <v>2.0907560089423698</v>
      </c>
      <c r="AR190" s="1">
        <v>4.8917041275030604</v>
      </c>
      <c r="AS190" s="1">
        <v>0.48917041275030598</v>
      </c>
      <c r="AT190" s="1">
        <v>4.7</v>
      </c>
      <c r="AU190" s="1"/>
      <c r="AV190" s="1" t="s">
        <v>1045</v>
      </c>
      <c r="AW190" s="1" t="s">
        <v>100</v>
      </c>
      <c r="AX190" s="1" t="s">
        <v>478</v>
      </c>
      <c r="AY190" s="1" t="s">
        <v>100</v>
      </c>
      <c r="AZ190" s="1" t="s">
        <v>99</v>
      </c>
      <c r="BA190" s="1" t="s">
        <v>100</v>
      </c>
      <c r="BB190" s="1" t="s">
        <v>101</v>
      </c>
      <c r="BC190" s="1" t="s">
        <v>98</v>
      </c>
      <c r="BD190" s="1" t="s">
        <v>136</v>
      </c>
      <c r="BE190" s="1" t="s">
        <v>100</v>
      </c>
      <c r="BF190" s="1" t="s">
        <v>137</v>
      </c>
      <c r="BG190" s="1" t="s">
        <v>100</v>
      </c>
      <c r="BH190" s="1" t="s">
        <v>147</v>
      </c>
      <c r="BI190" t="s">
        <v>96</v>
      </c>
      <c r="BJ190" t="s">
        <v>1046</v>
      </c>
      <c r="BK190" t="s">
        <v>98</v>
      </c>
      <c r="BL190" t="s">
        <v>1047</v>
      </c>
      <c r="BM190" t="s">
        <v>98</v>
      </c>
      <c r="BN190" t="s">
        <v>405</v>
      </c>
      <c r="BO190" t="s">
        <v>100</v>
      </c>
      <c r="BP190" t="s">
        <v>124</v>
      </c>
      <c r="BQ190" t="s">
        <v>96</v>
      </c>
      <c r="BR190" t="s">
        <v>105</v>
      </c>
      <c r="BT190" t="s">
        <v>976</v>
      </c>
      <c r="BU190" t="s">
        <v>98</v>
      </c>
      <c r="BV190" t="s">
        <v>125</v>
      </c>
      <c r="BW190" t="s">
        <v>96</v>
      </c>
      <c r="BX190" t="s">
        <v>110</v>
      </c>
      <c r="BY190" t="s">
        <v>96</v>
      </c>
      <c r="BZ190" t="s">
        <v>141</v>
      </c>
      <c r="CA190" t="s">
        <v>96</v>
      </c>
      <c r="CB190" t="s">
        <v>1048</v>
      </c>
      <c r="CC190" t="s">
        <v>98</v>
      </c>
      <c r="CD190">
        <v>1.7</v>
      </c>
      <c r="CE190" t="s">
        <v>96</v>
      </c>
      <c r="CF190">
        <v>0.4</v>
      </c>
      <c r="CG190" t="s">
        <v>96</v>
      </c>
      <c r="CH190">
        <v>7.8</v>
      </c>
      <c r="CI190" t="s">
        <v>98</v>
      </c>
      <c r="CJ190" t="s">
        <v>112</v>
      </c>
      <c r="CK190" t="s">
        <v>96</v>
      </c>
      <c r="CL190" t="s">
        <v>130</v>
      </c>
      <c r="CM190" t="s">
        <v>96</v>
      </c>
      <c r="CN190">
        <v>6.75</v>
      </c>
      <c r="CO190">
        <v>0</v>
      </c>
    </row>
    <row r="191" spans="1:93" x14ac:dyDescent="0.2">
      <c r="A191" s="3">
        <v>284</v>
      </c>
      <c r="B191" s="3" t="s">
        <v>1049</v>
      </c>
      <c r="C191" s="3" t="s">
        <v>1050</v>
      </c>
      <c r="D191" s="1"/>
      <c r="E191" s="1">
        <f t="shared" si="15"/>
        <v>8.5736627124988001</v>
      </c>
      <c r="F191" s="1">
        <f t="shared" si="16"/>
        <v>10</v>
      </c>
      <c r="G191" s="1">
        <f t="shared" si="17"/>
        <v>7.3507692307692301</v>
      </c>
      <c r="H191" s="1"/>
      <c r="I191" s="1">
        <v>28.7</v>
      </c>
      <c r="J191" s="1">
        <v>8.26</v>
      </c>
      <c r="K191" s="1">
        <v>0</v>
      </c>
      <c r="L191" s="1">
        <v>0.6</v>
      </c>
      <c r="M191" s="1"/>
      <c r="N191" s="1"/>
      <c r="O191" s="1">
        <v>0.5</v>
      </c>
      <c r="P191" s="1">
        <v>0.3</v>
      </c>
      <c r="Q191" s="1">
        <v>0.3</v>
      </c>
      <c r="R191" s="1">
        <v>0</v>
      </c>
      <c r="S191" s="1">
        <v>-22.183806166566299</v>
      </c>
      <c r="T191" s="1">
        <v>-32.456490137623902</v>
      </c>
      <c r="U191" s="1">
        <v>0</v>
      </c>
      <c r="V191" s="1">
        <v>0</v>
      </c>
      <c r="W191" s="1">
        <v>39.366999999999997</v>
      </c>
      <c r="X191" s="1">
        <v>0.53600000000000003</v>
      </c>
      <c r="Y191" s="1">
        <v>1.5746800000000001</v>
      </c>
      <c r="Z191" s="1">
        <v>1.0720000000000001</v>
      </c>
      <c r="AA191" s="1">
        <v>20210222</v>
      </c>
      <c r="AB191" s="1"/>
      <c r="AC191" s="1">
        <v>32.22</v>
      </c>
      <c r="AD191" s="1"/>
      <c r="AE191" s="1">
        <v>0</v>
      </c>
      <c r="AF191" s="1"/>
      <c r="AG191" s="1">
        <v>37.18</v>
      </c>
      <c r="AH191" s="1"/>
      <c r="AI191" s="1"/>
      <c r="AJ191" s="1">
        <v>7.3507692307692301</v>
      </c>
      <c r="AK191" s="1">
        <v>10</v>
      </c>
      <c r="AL191" s="1">
        <v>1316</v>
      </c>
      <c r="AM191" s="1">
        <v>1298</v>
      </c>
      <c r="AN191" s="1">
        <v>18383.955999999998</v>
      </c>
      <c r="AO191" s="1">
        <v>1016</v>
      </c>
      <c r="AP191" s="1">
        <v>18</v>
      </c>
      <c r="AQ191" s="1">
        <v>0.97911461493924401</v>
      </c>
      <c r="AR191" s="1">
        <v>29.5275590551181</v>
      </c>
      <c r="AS191" s="1">
        <v>2.9527559055118102</v>
      </c>
      <c r="AT191" s="1">
        <v>6.1</v>
      </c>
      <c r="AU191" s="1"/>
      <c r="AV191" s="1" t="s">
        <v>1051</v>
      </c>
      <c r="AW191" s="1" t="s">
        <v>100</v>
      </c>
      <c r="AX191" s="1" t="s">
        <v>634</v>
      </c>
      <c r="AY191" s="1" t="s">
        <v>100</v>
      </c>
      <c r="AZ191" s="1" t="s">
        <v>99</v>
      </c>
      <c r="BA191" s="1" t="s">
        <v>100</v>
      </c>
      <c r="BB191" s="1" t="s">
        <v>101</v>
      </c>
      <c r="BC191" s="1" t="s">
        <v>98</v>
      </c>
      <c r="BD191" s="1" t="s">
        <v>120</v>
      </c>
      <c r="BE191" s="1" t="s">
        <v>100</v>
      </c>
      <c r="BF191" s="1" t="s">
        <v>102</v>
      </c>
      <c r="BG191" s="1" t="s">
        <v>98</v>
      </c>
      <c r="BH191" s="1" t="s">
        <v>121</v>
      </c>
      <c r="BI191" t="s">
        <v>100</v>
      </c>
      <c r="BJ191" t="s">
        <v>691</v>
      </c>
      <c r="BK191" t="s">
        <v>98</v>
      </c>
      <c r="BL191" t="s">
        <v>105</v>
      </c>
      <c r="BN191" t="s">
        <v>1052</v>
      </c>
      <c r="BO191" t="s">
        <v>98</v>
      </c>
      <c r="BP191" t="s">
        <v>124</v>
      </c>
      <c r="BQ191" t="s">
        <v>96</v>
      </c>
      <c r="BR191" t="s">
        <v>105</v>
      </c>
      <c r="BT191" t="s">
        <v>105</v>
      </c>
      <c r="BV191" t="s">
        <v>125</v>
      </c>
      <c r="BW191" t="s">
        <v>96</v>
      </c>
      <c r="BX191" t="s">
        <v>110</v>
      </c>
      <c r="BY191" t="s">
        <v>96</v>
      </c>
      <c r="BZ191" t="s">
        <v>141</v>
      </c>
      <c r="CA191" t="s">
        <v>96</v>
      </c>
      <c r="CB191" t="s">
        <v>105</v>
      </c>
      <c r="CD191">
        <v>4.5999999999999996</v>
      </c>
      <c r="CE191" t="s">
        <v>100</v>
      </c>
      <c r="CF191">
        <v>0</v>
      </c>
      <c r="CG191" t="s">
        <v>96</v>
      </c>
      <c r="CH191">
        <v>3</v>
      </c>
      <c r="CI191" t="s">
        <v>100</v>
      </c>
      <c r="CJ191" t="s">
        <v>112</v>
      </c>
      <c r="CK191" t="s">
        <v>96</v>
      </c>
      <c r="CL191" t="s">
        <v>98</v>
      </c>
      <c r="CM191" t="s">
        <v>98</v>
      </c>
      <c r="CN191">
        <v>10</v>
      </c>
      <c r="CO191">
        <v>0</v>
      </c>
    </row>
    <row r="192" spans="1:93" x14ac:dyDescent="0.2">
      <c r="A192" s="3">
        <v>285</v>
      </c>
      <c r="B192" s="3" t="s">
        <v>1053</v>
      </c>
      <c r="C192" s="3" t="s">
        <v>1054</v>
      </c>
      <c r="D192" s="1"/>
      <c r="E192" s="1">
        <f t="shared" si="15"/>
        <v>6.2678317052800718</v>
      </c>
      <c r="F192" s="1">
        <f t="shared" si="16"/>
        <v>8.25</v>
      </c>
      <c r="G192" s="1">
        <f t="shared" si="17"/>
        <v>4.7619047619047397</v>
      </c>
      <c r="H192" s="1"/>
      <c r="I192" s="1">
        <v>38.200000000000003</v>
      </c>
      <c r="J192" s="1">
        <v>6.36</v>
      </c>
      <c r="K192" s="1">
        <v>0</v>
      </c>
      <c r="L192" s="1">
        <v>0.5</v>
      </c>
      <c r="M192" s="1"/>
      <c r="N192" s="1"/>
      <c r="O192" s="1">
        <v>1</v>
      </c>
      <c r="P192" s="1">
        <v>0.5</v>
      </c>
      <c r="Q192" s="1">
        <v>0.5</v>
      </c>
      <c r="R192" s="1">
        <v>4.7619047619047397</v>
      </c>
      <c r="S192" s="1">
        <v>-60.428548538665098</v>
      </c>
      <c r="T192" s="1">
        <v>-59.3112793941809</v>
      </c>
      <c r="U192" s="1">
        <v>0</v>
      </c>
      <c r="V192" s="1">
        <v>0</v>
      </c>
      <c r="W192" s="1">
        <v>5.9980000000000002</v>
      </c>
      <c r="X192" s="1">
        <v>0.34599999999999997</v>
      </c>
      <c r="Y192" s="1">
        <v>0.23991999999999999</v>
      </c>
      <c r="Z192" s="1">
        <v>0.69199999999999995</v>
      </c>
      <c r="AA192" s="1">
        <v>20210222</v>
      </c>
      <c r="AB192" s="1">
        <v>73</v>
      </c>
      <c r="AC192" s="1">
        <v>73</v>
      </c>
      <c r="AD192" s="1">
        <v>25</v>
      </c>
      <c r="AE192" s="1">
        <v>25</v>
      </c>
      <c r="AF192" s="1">
        <v>80.38</v>
      </c>
      <c r="AG192" s="1">
        <v>80.38</v>
      </c>
      <c r="AH192" s="1">
        <v>1</v>
      </c>
      <c r="AI192" s="1">
        <v>1</v>
      </c>
      <c r="AJ192" s="1">
        <v>1.07692307692308</v>
      </c>
      <c r="AK192" s="1">
        <v>7.5</v>
      </c>
      <c r="AL192" s="1">
        <v>1551</v>
      </c>
      <c r="AM192" s="1">
        <v>1540</v>
      </c>
      <c r="AN192" s="1">
        <v>14862.927</v>
      </c>
      <c r="AO192" s="1">
        <v>1432</v>
      </c>
      <c r="AP192" s="1">
        <v>11</v>
      </c>
      <c r="AQ192" s="1">
        <v>0.740096483014416</v>
      </c>
      <c r="AR192" s="1">
        <v>8.3100558659218002</v>
      </c>
      <c r="AS192" s="1">
        <v>0.83100558659218005</v>
      </c>
      <c r="AT192" s="1">
        <v>5.3</v>
      </c>
      <c r="AU192" s="1"/>
      <c r="AV192" s="1" t="s">
        <v>1055</v>
      </c>
      <c r="AW192" s="1" t="s">
        <v>100</v>
      </c>
      <c r="AX192" s="1" t="s">
        <v>546</v>
      </c>
      <c r="AY192" s="1" t="s">
        <v>96</v>
      </c>
      <c r="AZ192" s="1" t="s">
        <v>174</v>
      </c>
      <c r="BA192" s="1" t="s">
        <v>96</v>
      </c>
      <c r="BB192" s="1" t="s">
        <v>119</v>
      </c>
      <c r="BC192" s="1" t="s">
        <v>96</v>
      </c>
      <c r="BD192" s="1" t="s">
        <v>136</v>
      </c>
      <c r="BE192" s="1" t="s">
        <v>100</v>
      </c>
      <c r="BF192" s="1" t="s">
        <v>137</v>
      </c>
      <c r="BG192" s="1" t="s">
        <v>100</v>
      </c>
      <c r="BH192" s="1" t="s">
        <v>103</v>
      </c>
      <c r="BI192" t="s">
        <v>98</v>
      </c>
      <c r="BJ192" t="s">
        <v>1056</v>
      </c>
      <c r="BK192" t="s">
        <v>98</v>
      </c>
      <c r="BL192" t="s">
        <v>105</v>
      </c>
      <c r="BN192" t="s">
        <v>1057</v>
      </c>
      <c r="BO192" t="s">
        <v>98</v>
      </c>
      <c r="BP192" t="s">
        <v>227</v>
      </c>
      <c r="BQ192" t="s">
        <v>98</v>
      </c>
      <c r="BR192" t="s">
        <v>1058</v>
      </c>
      <c r="BS192" t="s">
        <v>98</v>
      </c>
      <c r="BT192" t="s">
        <v>128</v>
      </c>
      <c r="BU192" t="s">
        <v>100</v>
      </c>
      <c r="BV192" t="s">
        <v>125</v>
      </c>
      <c r="BW192" t="s">
        <v>96</v>
      </c>
      <c r="BX192" t="s">
        <v>200</v>
      </c>
      <c r="BY192" t="s">
        <v>100</v>
      </c>
      <c r="BZ192" t="s">
        <v>127</v>
      </c>
      <c r="CA192" t="s">
        <v>100</v>
      </c>
      <c r="CB192" t="s">
        <v>400</v>
      </c>
      <c r="CC192" t="s">
        <v>98</v>
      </c>
      <c r="CD192">
        <v>4.8</v>
      </c>
      <c r="CE192" t="s">
        <v>100</v>
      </c>
      <c r="CF192">
        <v>0.4</v>
      </c>
      <c r="CG192" t="s">
        <v>96</v>
      </c>
      <c r="CH192">
        <v>6.9</v>
      </c>
      <c r="CI192" t="s">
        <v>100</v>
      </c>
      <c r="CJ192" t="s">
        <v>112</v>
      </c>
      <c r="CK192" t="s">
        <v>96</v>
      </c>
      <c r="CL192" t="s">
        <v>98</v>
      </c>
      <c r="CM192" t="s">
        <v>98</v>
      </c>
      <c r="CN192">
        <v>8.25</v>
      </c>
      <c r="CO192">
        <v>0</v>
      </c>
    </row>
    <row r="193" spans="1:60" x14ac:dyDescent="0.2">
      <c r="A193" s="3"/>
      <c r="B193" s="3"/>
      <c r="C193" s="3"/>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row>
    <row r="194" spans="1:60" x14ac:dyDescent="0.2">
      <c r="A194" s="3"/>
      <c r="B194" s="3"/>
      <c r="C194" s="3"/>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row>
    <row r="195" spans="1:60" x14ac:dyDescent="0.2">
      <c r="A195" s="3"/>
      <c r="B195" s="3"/>
      <c r="C195" s="3"/>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row>
    <row r="196" spans="1:60" x14ac:dyDescent="0.2">
      <c r="A196" s="3"/>
      <c r="B196" s="3"/>
      <c r="C196" s="3"/>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row>
    <row r="197" spans="1:60" x14ac:dyDescent="0.2">
      <c r="A197" s="3"/>
      <c r="B197" s="3"/>
      <c r="C197" s="3"/>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row>
    <row r="198" spans="1:60" x14ac:dyDescent="0.2">
      <c r="A198" s="3"/>
      <c r="B198" s="3"/>
      <c r="C198" s="3"/>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row>
    <row r="199" spans="1:60" x14ac:dyDescent="0.2">
      <c r="A199" s="3"/>
      <c r="B199" s="3"/>
      <c r="C199" s="3"/>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row>
    <row r="200" spans="1:60" x14ac:dyDescent="0.2">
      <c r="A200" s="3"/>
      <c r="B200" s="3"/>
      <c r="C200" s="3"/>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row>
  </sheetData>
  <conditionalFormatting sqref="E1:E192">
    <cfRule type="expression" dxfId="99" priority="12">
      <formula>E1=10</formula>
    </cfRule>
    <cfRule type="cellIs" dxfId="98" priority="11" operator="between">
      <formula>7</formula>
      <formula>9.99</formula>
    </cfRule>
    <cfRule type="cellIs" dxfId="97" priority="10" operator="between">
      <formula>0</formula>
      <formula>6.999</formula>
    </cfRule>
    <cfRule type="expression" dxfId="96" priority="9">
      <formula>E1=""</formula>
    </cfRule>
  </conditionalFormatting>
  <conditionalFormatting sqref="F1:F192">
    <cfRule type="expression" dxfId="95" priority="8">
      <formula>F1=10</formula>
    </cfRule>
    <cfRule type="cellIs" dxfId="94" priority="7" operator="between">
      <formula>7</formula>
      <formula>9.99</formula>
    </cfRule>
    <cfRule type="cellIs" dxfId="93" priority="6" operator="between">
      <formula>0</formula>
      <formula>6.999</formula>
    </cfRule>
    <cfRule type="expression" dxfId="92" priority="5">
      <formula>F1=""</formula>
    </cfRule>
  </conditionalFormatting>
  <conditionalFormatting sqref="G1:G192">
    <cfRule type="expression" dxfId="91" priority="4">
      <formula>G1=10</formula>
    </cfRule>
    <cfRule type="cellIs" dxfId="90" priority="3" operator="between">
      <formula>7</formula>
      <formula>9.99</formula>
    </cfRule>
    <cfRule type="cellIs" dxfId="89" priority="2" operator="between">
      <formula>0</formula>
      <formula>6.999</formula>
    </cfRule>
    <cfRule type="expression" dxfId="88" priority="1">
      <formula>G1=""</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00"/>
  <sheetViews>
    <sheetView workbookViewId="0"/>
  </sheetViews>
  <sheetFormatPr baseColWidth="10" defaultColWidth="8.7109375" defaultRowHeight="16" x14ac:dyDescent="0.2"/>
  <cols>
    <col min="1" max="1" width="3.7109375" customWidth="1"/>
    <col min="2" max="2" width="22.7109375" customWidth="1"/>
    <col min="4" max="4" width="3.7109375" customWidth="1"/>
    <col min="8" max="8" width="3.7109375" customWidth="1"/>
  </cols>
  <sheetData>
    <row r="1" spans="1:60" x14ac:dyDescent="0.2">
      <c r="A1" s="3"/>
      <c r="B1" s="3"/>
      <c r="C1" s="3"/>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row>
    <row r="2" spans="1:60" ht="43" x14ac:dyDescent="0.2">
      <c r="A2" s="4" t="s">
        <v>0</v>
      </c>
      <c r="B2" s="4" t="s">
        <v>1</v>
      </c>
      <c r="C2" s="4" t="s">
        <v>2</v>
      </c>
      <c r="D2" s="2" t="s">
        <v>3</v>
      </c>
      <c r="E2" s="2" t="s">
        <v>4</v>
      </c>
      <c r="F2" s="2" t="s">
        <v>5</v>
      </c>
      <c r="G2" s="2" t="s">
        <v>6</v>
      </c>
      <c r="H2" s="2" t="s">
        <v>7</v>
      </c>
      <c r="I2" s="2" t="s">
        <v>1059</v>
      </c>
      <c r="J2" s="2" t="s">
        <v>1060</v>
      </c>
      <c r="K2" s="2" t="s">
        <v>2</v>
      </c>
      <c r="L2" s="2" t="s">
        <v>1061</v>
      </c>
      <c r="M2" s="2" t="s">
        <v>1062</v>
      </c>
      <c r="N2" s="2" t="s">
        <v>1063</v>
      </c>
      <c r="O2" s="2" t="s">
        <v>1064</v>
      </c>
      <c r="P2" s="2" t="s">
        <v>1065</v>
      </c>
      <c r="Q2" s="2" t="s">
        <v>1066</v>
      </c>
      <c r="R2" s="2" t="s">
        <v>1067</v>
      </c>
      <c r="S2" s="2" t="s">
        <v>1068</v>
      </c>
      <c r="T2" s="2" t="s">
        <v>1069</v>
      </c>
      <c r="U2" s="2" t="s">
        <v>1070</v>
      </c>
      <c r="V2" s="2" t="s">
        <v>1071</v>
      </c>
      <c r="W2" s="2" t="s">
        <v>1072</v>
      </c>
      <c r="X2" s="2" t="s">
        <v>1073</v>
      </c>
      <c r="Y2" s="2" t="s">
        <v>1074</v>
      </c>
      <c r="Z2" s="2" t="s">
        <v>1075</v>
      </c>
      <c r="AA2" s="2" t="s">
        <v>1076</v>
      </c>
      <c r="AB2" s="2" t="s">
        <v>1077</v>
      </c>
      <c r="AC2" s="2" t="s">
        <v>1078</v>
      </c>
      <c r="AD2" s="2" t="s">
        <v>1079</v>
      </c>
      <c r="AE2" s="2" t="s">
        <v>1080</v>
      </c>
      <c r="AF2" s="2" t="s">
        <v>1081</v>
      </c>
      <c r="AG2" s="2" t="s">
        <v>1082</v>
      </c>
      <c r="AH2" s="2" t="s">
        <v>1083</v>
      </c>
      <c r="AI2" s="2" t="s">
        <v>1084</v>
      </c>
      <c r="AJ2" s="2" t="s">
        <v>1085</v>
      </c>
      <c r="AK2" s="2" t="s">
        <v>1086</v>
      </c>
      <c r="AL2" s="2" t="s">
        <v>1087</v>
      </c>
      <c r="AM2" s="2" t="s">
        <v>1088</v>
      </c>
      <c r="AN2" s="2" t="s">
        <v>1089</v>
      </c>
      <c r="AO2" s="2"/>
      <c r="AP2" s="2"/>
      <c r="AQ2" s="2"/>
      <c r="AR2" s="2"/>
      <c r="AS2" s="2"/>
      <c r="AT2" s="2"/>
      <c r="AU2" s="2"/>
      <c r="AV2" s="2"/>
      <c r="AW2" s="2"/>
      <c r="AX2" s="2"/>
      <c r="AY2" s="2"/>
      <c r="AZ2" s="2"/>
      <c r="BA2" s="2"/>
      <c r="BB2" s="2"/>
      <c r="BC2" s="2"/>
      <c r="BD2" s="2"/>
      <c r="BE2" s="2"/>
      <c r="BF2" s="1"/>
      <c r="BG2" s="1"/>
      <c r="BH2" s="1"/>
    </row>
    <row r="3" spans="1:60" x14ac:dyDescent="0.2">
      <c r="A3" s="3">
        <v>1</v>
      </c>
      <c r="B3" s="3" t="s">
        <v>93</v>
      </c>
      <c r="C3" s="3" t="s">
        <v>94</v>
      </c>
      <c r="D3" s="1"/>
      <c r="E3" s="1">
        <f t="shared" ref="E3:E34" si="0">IFERROR(GEOMEAN(F3, G3), MAX(F3, G3))</f>
        <v>10</v>
      </c>
      <c r="F3" s="1">
        <f t="shared" ref="F3:F34" si="1">MAX(J3)</f>
        <v>10</v>
      </c>
      <c r="G3" s="1">
        <f t="shared" ref="G3:G34" si="2">MAX(AM3, AN3)</f>
        <v>10</v>
      </c>
      <c r="H3" s="1"/>
      <c r="I3" s="1">
        <v>0.66100000000000003</v>
      </c>
      <c r="J3" s="1">
        <v>10</v>
      </c>
      <c r="K3" s="1" t="s">
        <v>93</v>
      </c>
      <c r="L3" s="1">
        <v>202</v>
      </c>
      <c r="M3" s="1" t="s">
        <v>1090</v>
      </c>
      <c r="N3" s="1">
        <v>2020</v>
      </c>
      <c r="O3" s="1">
        <v>10</v>
      </c>
      <c r="P3" s="1" t="s">
        <v>1091</v>
      </c>
      <c r="Q3" s="1">
        <v>36374157.109499998</v>
      </c>
      <c r="R3" s="1">
        <v>6768118.3438999997</v>
      </c>
      <c r="S3" s="1">
        <v>18.6069420757308</v>
      </c>
      <c r="T3" s="1">
        <v>0</v>
      </c>
      <c r="U3" s="1">
        <v>0</v>
      </c>
      <c r="V3" s="1">
        <v>2044610.4062999999</v>
      </c>
      <c r="W3" s="1">
        <v>5.6210523315906604</v>
      </c>
      <c r="X3" s="1">
        <v>0</v>
      </c>
      <c r="Y3" s="1">
        <v>0</v>
      </c>
      <c r="Z3" s="1">
        <v>4.3822708770994003</v>
      </c>
      <c r="AA3" s="1"/>
      <c r="AB3" s="1">
        <v>-5.77218598819886</v>
      </c>
      <c r="AC3" s="1"/>
      <c r="AD3" s="1">
        <v>12.9858897441402</v>
      </c>
      <c r="AE3" s="1" t="s">
        <v>1092</v>
      </c>
      <c r="AF3" s="1">
        <v>3</v>
      </c>
      <c r="AG3" s="1">
        <v>7</v>
      </c>
      <c r="AH3" s="1">
        <v>0</v>
      </c>
      <c r="AI3" s="1">
        <v>0.17</v>
      </c>
      <c r="AJ3" s="1">
        <v>0.13</v>
      </c>
      <c r="AK3" s="1"/>
      <c r="AL3" s="1">
        <v>0.13</v>
      </c>
      <c r="AM3" s="1">
        <v>5</v>
      </c>
      <c r="AN3" s="1">
        <v>10</v>
      </c>
      <c r="AO3" s="1"/>
      <c r="AP3" s="1"/>
      <c r="AQ3" s="1"/>
      <c r="AR3" s="1"/>
      <c r="AS3" s="1"/>
      <c r="AT3" s="1"/>
      <c r="AU3" s="1"/>
      <c r="AV3" s="1"/>
      <c r="AW3" s="1"/>
      <c r="AX3" s="1"/>
      <c r="AY3" s="1"/>
      <c r="AZ3" s="1"/>
      <c r="BA3" s="1"/>
      <c r="BB3" s="1"/>
      <c r="BC3" s="1"/>
      <c r="BD3" s="1"/>
      <c r="BE3" s="1"/>
      <c r="BF3" s="1"/>
      <c r="BG3" s="1"/>
      <c r="BH3" s="1"/>
    </row>
    <row r="4" spans="1:60" x14ac:dyDescent="0.2">
      <c r="A4" s="3">
        <v>2</v>
      </c>
      <c r="B4" s="3" t="s">
        <v>114</v>
      </c>
      <c r="C4" s="3" t="s">
        <v>115</v>
      </c>
      <c r="D4" s="1"/>
      <c r="E4" s="1">
        <f t="shared" si="0"/>
        <v>9.8325358851674594</v>
      </c>
      <c r="F4" s="1">
        <f t="shared" si="1"/>
        <v>9.8325358851674594</v>
      </c>
      <c r="G4" s="1">
        <f t="shared" si="2"/>
        <v>0</v>
      </c>
      <c r="H4" s="1"/>
      <c r="I4" s="1">
        <v>0.56899999999999995</v>
      </c>
      <c r="J4" s="1">
        <v>9.8325358851674594</v>
      </c>
      <c r="K4" s="1"/>
      <c r="L4" s="1"/>
      <c r="M4" s="1"/>
      <c r="N4" s="1"/>
      <c r="O4" s="1"/>
      <c r="P4" s="1"/>
      <c r="Q4" s="1"/>
      <c r="R4" s="1"/>
      <c r="S4" s="1"/>
      <c r="T4" s="1"/>
      <c r="U4" s="1"/>
      <c r="V4" s="1"/>
      <c r="W4" s="1"/>
      <c r="X4" s="1"/>
      <c r="Y4" s="1"/>
      <c r="Z4" s="1"/>
      <c r="AA4" s="1"/>
      <c r="AB4" s="1"/>
      <c r="AC4" s="1"/>
      <c r="AD4" s="1"/>
      <c r="AE4" s="1"/>
      <c r="AF4" s="1"/>
      <c r="AG4" s="1"/>
      <c r="AH4" s="1">
        <v>0</v>
      </c>
      <c r="AI4" s="1"/>
      <c r="AJ4" s="1"/>
      <c r="AK4" s="1"/>
      <c r="AL4" s="1"/>
      <c r="AM4" s="1"/>
      <c r="AN4" s="1"/>
      <c r="AO4" s="1"/>
      <c r="AP4" s="1"/>
      <c r="AQ4" s="1"/>
      <c r="AR4" s="1"/>
      <c r="AS4" s="1"/>
      <c r="AT4" s="1"/>
      <c r="AU4" s="1"/>
      <c r="AV4" s="1"/>
      <c r="AW4" s="1"/>
      <c r="AX4" s="1"/>
      <c r="AY4" s="1"/>
      <c r="AZ4" s="1"/>
      <c r="BA4" s="1"/>
      <c r="BB4" s="1"/>
      <c r="BC4" s="1"/>
      <c r="BD4" s="1"/>
      <c r="BE4" s="1"/>
      <c r="BF4" s="1"/>
      <c r="BG4" s="1"/>
      <c r="BH4" s="1"/>
    </row>
    <row r="5" spans="1:60" x14ac:dyDescent="0.2">
      <c r="A5" s="3">
        <v>3</v>
      </c>
      <c r="B5" s="3" t="s">
        <v>131</v>
      </c>
      <c r="C5" s="3" t="s">
        <v>132</v>
      </c>
      <c r="D5" s="1"/>
      <c r="E5" s="1">
        <f t="shared" si="0"/>
        <v>3.1923952699828089</v>
      </c>
      <c r="F5" s="1">
        <f t="shared" si="1"/>
        <v>3.3971291866028701</v>
      </c>
      <c r="G5" s="1">
        <f t="shared" si="2"/>
        <v>3</v>
      </c>
      <c r="H5" s="1"/>
      <c r="I5" s="1">
        <v>0.3</v>
      </c>
      <c r="J5" s="1">
        <v>3.3971291866028701</v>
      </c>
      <c r="K5" s="1"/>
      <c r="L5" s="1"/>
      <c r="M5" s="1"/>
      <c r="N5" s="1"/>
      <c r="O5" s="1"/>
      <c r="P5" s="1"/>
      <c r="Q5" s="1"/>
      <c r="R5" s="1"/>
      <c r="S5" s="1"/>
      <c r="T5" s="1"/>
      <c r="U5" s="1"/>
      <c r="V5" s="1"/>
      <c r="W5" s="1"/>
      <c r="X5" s="1"/>
      <c r="Y5" s="1"/>
      <c r="Z5" s="1"/>
      <c r="AA5" s="1"/>
      <c r="AB5" s="1"/>
      <c r="AC5" s="1"/>
      <c r="AD5" s="1"/>
      <c r="AE5" s="1"/>
      <c r="AF5" s="1"/>
      <c r="AG5" s="1"/>
      <c r="AH5" s="1">
        <v>0</v>
      </c>
      <c r="AI5" s="1">
        <v>0.04</v>
      </c>
      <c r="AJ5" s="1">
        <v>0.05</v>
      </c>
      <c r="AK5" s="1">
        <v>0.04</v>
      </c>
      <c r="AL5" s="1">
        <v>0.04</v>
      </c>
      <c r="AM5" s="1">
        <v>3</v>
      </c>
      <c r="AN5" s="1"/>
      <c r="AO5" s="1"/>
      <c r="AP5" s="1"/>
      <c r="AQ5" s="1"/>
      <c r="AR5" s="1"/>
      <c r="AS5" s="1"/>
      <c r="AT5" s="1"/>
      <c r="AU5" s="1"/>
      <c r="AV5" s="1"/>
      <c r="AW5" s="1"/>
      <c r="AX5" s="1"/>
      <c r="AY5" s="1"/>
      <c r="AZ5" s="1"/>
      <c r="BA5" s="1"/>
      <c r="BB5" s="1"/>
      <c r="BC5" s="1"/>
      <c r="BD5" s="1"/>
      <c r="BE5" s="1"/>
      <c r="BF5" s="1"/>
      <c r="BG5" s="1"/>
      <c r="BH5" s="1"/>
    </row>
    <row r="6" spans="1:60" x14ac:dyDescent="0.2">
      <c r="A6" s="3">
        <v>4</v>
      </c>
      <c r="B6" s="3" t="s">
        <v>142</v>
      </c>
      <c r="C6" s="3" t="s">
        <v>143</v>
      </c>
      <c r="D6" s="1"/>
      <c r="E6" s="1">
        <f t="shared" si="0"/>
        <v>2.3200808433365419</v>
      </c>
      <c r="F6" s="1">
        <f t="shared" si="1"/>
        <v>1.07655502392344</v>
      </c>
      <c r="G6" s="1">
        <f t="shared" si="2"/>
        <v>5</v>
      </c>
      <c r="H6" s="1"/>
      <c r="I6" s="1">
        <v>0.20300000000000001</v>
      </c>
      <c r="J6" s="1">
        <v>1.07655502392344</v>
      </c>
      <c r="K6" s="1"/>
      <c r="L6" s="1"/>
      <c r="M6" s="1"/>
      <c r="N6" s="1"/>
      <c r="O6" s="1"/>
      <c r="P6" s="1"/>
      <c r="Q6" s="1"/>
      <c r="R6" s="1"/>
      <c r="S6" s="1"/>
      <c r="T6" s="1"/>
      <c r="U6" s="1"/>
      <c r="V6" s="1"/>
      <c r="W6" s="1"/>
      <c r="X6" s="1"/>
      <c r="Y6" s="1"/>
      <c r="Z6" s="1"/>
      <c r="AA6" s="1"/>
      <c r="AB6" s="1"/>
      <c r="AC6" s="1"/>
      <c r="AD6" s="1"/>
      <c r="AE6" s="1"/>
      <c r="AF6" s="1"/>
      <c r="AG6" s="1"/>
      <c r="AH6" s="1">
        <v>0</v>
      </c>
      <c r="AI6" s="1">
        <v>0.05</v>
      </c>
      <c r="AJ6" s="1">
        <v>0.06</v>
      </c>
      <c r="AK6" s="1"/>
      <c r="AL6" s="1">
        <v>0.06</v>
      </c>
      <c r="AM6" s="1">
        <v>5</v>
      </c>
      <c r="AN6" s="1"/>
      <c r="AO6" s="1"/>
      <c r="AP6" s="1"/>
      <c r="AQ6" s="1"/>
      <c r="AR6" s="1"/>
      <c r="AS6" s="1"/>
      <c r="AT6" s="1"/>
      <c r="AU6" s="1"/>
      <c r="AV6" s="1"/>
      <c r="AW6" s="1"/>
      <c r="AX6" s="1"/>
      <c r="AY6" s="1"/>
      <c r="AZ6" s="1"/>
      <c r="BA6" s="1"/>
      <c r="BB6" s="1"/>
      <c r="BC6" s="1"/>
      <c r="BD6" s="1"/>
      <c r="BE6" s="1"/>
      <c r="BF6" s="1"/>
      <c r="BG6" s="1"/>
      <c r="BH6" s="1"/>
    </row>
    <row r="7" spans="1:60" x14ac:dyDescent="0.2">
      <c r="A7" s="3">
        <v>5</v>
      </c>
      <c r="B7" s="3" t="s">
        <v>150</v>
      </c>
      <c r="C7" s="3" t="s">
        <v>151</v>
      </c>
      <c r="D7" s="1"/>
      <c r="E7" s="1">
        <f t="shared" si="0"/>
        <v>3.9886201760873257</v>
      </c>
      <c r="F7" s="1">
        <f t="shared" si="1"/>
        <v>2.2727272727272698</v>
      </c>
      <c r="G7" s="1">
        <f t="shared" si="2"/>
        <v>7</v>
      </c>
      <c r="H7" s="1"/>
      <c r="I7" s="1">
        <v>0.253</v>
      </c>
      <c r="J7" s="1">
        <v>2.2727272727272698</v>
      </c>
      <c r="K7" s="1"/>
      <c r="L7" s="1"/>
      <c r="M7" s="1"/>
      <c r="N7" s="1"/>
      <c r="O7" s="1"/>
      <c r="P7" s="1"/>
      <c r="Q7" s="1"/>
      <c r="R7" s="1"/>
      <c r="S7" s="1"/>
      <c r="T7" s="1"/>
      <c r="U7" s="1"/>
      <c r="V7" s="1"/>
      <c r="W7" s="1"/>
      <c r="X7" s="1"/>
      <c r="Y7" s="1"/>
      <c r="Z7" s="1"/>
      <c r="AA7" s="1"/>
      <c r="AB7" s="1"/>
      <c r="AC7" s="1"/>
      <c r="AD7" s="1"/>
      <c r="AE7" s="1"/>
      <c r="AF7" s="1"/>
      <c r="AG7" s="1"/>
      <c r="AH7" s="1">
        <v>10</v>
      </c>
      <c r="AI7" s="1">
        <v>0.51</v>
      </c>
      <c r="AJ7" s="1">
        <v>0.49</v>
      </c>
      <c r="AK7" s="1">
        <v>0.47</v>
      </c>
      <c r="AL7" s="1">
        <v>0.47</v>
      </c>
      <c r="AM7" s="1">
        <v>7</v>
      </c>
      <c r="AN7" s="1"/>
      <c r="AO7" s="1"/>
      <c r="AP7" s="1"/>
      <c r="AQ7" s="1"/>
      <c r="AR7" s="1"/>
      <c r="AS7" s="1"/>
      <c r="AT7" s="1"/>
      <c r="AU7" s="1"/>
      <c r="AV7" s="1"/>
      <c r="AW7" s="1"/>
      <c r="AX7" s="1"/>
      <c r="AY7" s="1"/>
      <c r="AZ7" s="1"/>
      <c r="BA7" s="1"/>
      <c r="BB7" s="1"/>
      <c r="BC7" s="1"/>
      <c r="BD7" s="1"/>
      <c r="BE7" s="1"/>
      <c r="BF7" s="1"/>
      <c r="BG7" s="1"/>
      <c r="BH7" s="1"/>
    </row>
    <row r="8" spans="1:60" x14ac:dyDescent="0.2">
      <c r="A8" s="3">
        <v>6</v>
      </c>
      <c r="B8" s="3" t="s">
        <v>158</v>
      </c>
      <c r="C8" s="3" t="s">
        <v>159</v>
      </c>
      <c r="D8" s="1"/>
      <c r="E8" s="1">
        <f t="shared" si="0"/>
        <v>1.6441865107999913</v>
      </c>
      <c r="F8" s="1">
        <f t="shared" si="1"/>
        <v>2.7033492822966498</v>
      </c>
      <c r="G8" s="1">
        <f t="shared" si="2"/>
        <v>1</v>
      </c>
      <c r="H8" s="1"/>
      <c r="I8" s="1">
        <v>0.27100000000000002</v>
      </c>
      <c r="J8" s="1">
        <v>2.7033492822966498</v>
      </c>
      <c r="K8" s="1"/>
      <c r="L8" s="1"/>
      <c r="M8" s="1"/>
      <c r="N8" s="1"/>
      <c r="O8" s="1"/>
      <c r="P8" s="1"/>
      <c r="Q8" s="1"/>
      <c r="R8" s="1"/>
      <c r="S8" s="1"/>
      <c r="T8" s="1"/>
      <c r="U8" s="1"/>
      <c r="V8" s="1"/>
      <c r="W8" s="1"/>
      <c r="X8" s="1"/>
      <c r="Y8" s="1"/>
      <c r="Z8" s="1"/>
      <c r="AA8" s="1"/>
      <c r="AB8" s="1"/>
      <c r="AC8" s="1"/>
      <c r="AD8" s="1"/>
      <c r="AE8" s="1"/>
      <c r="AF8" s="1"/>
      <c r="AG8" s="1"/>
      <c r="AH8" s="1">
        <v>0</v>
      </c>
      <c r="AI8" s="1">
        <v>0</v>
      </c>
      <c r="AJ8" s="1">
        <v>0.01</v>
      </c>
      <c r="AK8" s="1">
        <v>0.02</v>
      </c>
      <c r="AL8" s="1">
        <v>0.02</v>
      </c>
      <c r="AM8" s="1">
        <v>1</v>
      </c>
      <c r="AN8" s="1"/>
      <c r="AO8" s="1"/>
      <c r="AP8" s="1"/>
      <c r="AQ8" s="1"/>
      <c r="AR8" s="1"/>
      <c r="AS8" s="1"/>
      <c r="AT8" s="1"/>
      <c r="AU8" s="1"/>
      <c r="AV8" s="1"/>
      <c r="AW8" s="1"/>
      <c r="AX8" s="1"/>
      <c r="AY8" s="1"/>
      <c r="AZ8" s="1"/>
      <c r="BA8" s="1"/>
      <c r="BB8" s="1"/>
      <c r="BC8" s="1"/>
      <c r="BD8" s="1"/>
      <c r="BE8" s="1"/>
      <c r="BF8" s="1"/>
      <c r="BG8" s="1"/>
      <c r="BH8" s="1"/>
    </row>
    <row r="9" spans="1:60" x14ac:dyDescent="0.2">
      <c r="A9" s="3">
        <v>7</v>
      </c>
      <c r="B9" s="3" t="s">
        <v>164</v>
      </c>
      <c r="C9" s="3" t="s">
        <v>165</v>
      </c>
      <c r="D9" s="1"/>
      <c r="E9" s="1">
        <f t="shared" si="0"/>
        <v>0</v>
      </c>
      <c r="F9" s="1">
        <f t="shared" si="1"/>
        <v>0</v>
      </c>
      <c r="G9" s="1">
        <f t="shared" si="2"/>
        <v>0</v>
      </c>
      <c r="H9" s="1"/>
      <c r="I9" s="1"/>
      <c r="J9" s="1"/>
      <c r="K9" s="1"/>
      <c r="L9" s="1"/>
      <c r="M9" s="1"/>
      <c r="N9" s="1"/>
      <c r="O9" s="1"/>
      <c r="P9" s="1"/>
      <c r="Q9" s="1"/>
      <c r="R9" s="1"/>
      <c r="S9" s="1"/>
      <c r="T9" s="1"/>
      <c r="U9" s="1"/>
      <c r="V9" s="1"/>
      <c r="W9" s="1"/>
      <c r="X9" s="1"/>
      <c r="Y9" s="1"/>
      <c r="Z9" s="1"/>
      <c r="AA9" s="1"/>
      <c r="AB9" s="1"/>
      <c r="AC9" s="1"/>
      <c r="AD9" s="1"/>
      <c r="AE9" s="1"/>
      <c r="AF9" s="1"/>
      <c r="AG9" s="1"/>
      <c r="AH9" s="1">
        <v>0</v>
      </c>
      <c r="AI9" s="1"/>
      <c r="AJ9" s="1"/>
      <c r="AK9" s="1"/>
      <c r="AL9" s="1"/>
      <c r="AM9" s="1"/>
      <c r="AN9" s="1"/>
      <c r="AO9" s="1"/>
      <c r="AP9" s="1"/>
      <c r="AQ9" s="1"/>
      <c r="AR9" s="1"/>
      <c r="AS9" s="1"/>
      <c r="AT9" s="1"/>
      <c r="AU9" s="1"/>
      <c r="AV9" s="1"/>
      <c r="AW9" s="1"/>
      <c r="AX9" s="1"/>
      <c r="AY9" s="1"/>
      <c r="AZ9" s="1"/>
      <c r="BA9" s="1"/>
      <c r="BB9" s="1"/>
      <c r="BC9" s="1"/>
      <c r="BD9" s="1"/>
      <c r="BE9" s="1"/>
      <c r="BF9" s="1"/>
      <c r="BG9" s="1"/>
      <c r="BH9" s="1"/>
    </row>
    <row r="10" spans="1:60" x14ac:dyDescent="0.2">
      <c r="A10" s="3">
        <v>8</v>
      </c>
      <c r="B10" s="3" t="s">
        <v>170</v>
      </c>
      <c r="C10" s="3" t="s">
        <v>171</v>
      </c>
      <c r="D10" s="1"/>
      <c r="E10" s="1">
        <f t="shared" si="0"/>
        <v>0.88516746411483305</v>
      </c>
      <c r="F10" s="1">
        <f t="shared" si="1"/>
        <v>0.88516746411483305</v>
      </c>
      <c r="G10" s="1">
        <f t="shared" si="2"/>
        <v>0</v>
      </c>
      <c r="H10" s="1"/>
      <c r="I10" s="1">
        <v>0.19500000000000001</v>
      </c>
      <c r="J10" s="1">
        <v>0.88516746411483305</v>
      </c>
      <c r="K10" s="1"/>
      <c r="L10" s="1"/>
      <c r="M10" s="1"/>
      <c r="N10" s="1"/>
      <c r="O10" s="1"/>
      <c r="P10" s="1"/>
      <c r="Q10" s="1"/>
      <c r="R10" s="1"/>
      <c r="S10" s="1"/>
      <c r="T10" s="1"/>
      <c r="U10" s="1"/>
      <c r="V10" s="1"/>
      <c r="W10" s="1"/>
      <c r="X10" s="1"/>
      <c r="Y10" s="1"/>
      <c r="Z10" s="1"/>
      <c r="AA10" s="1"/>
      <c r="AB10" s="1"/>
      <c r="AC10" s="1"/>
      <c r="AD10" s="1"/>
      <c r="AE10" s="1"/>
      <c r="AF10" s="1"/>
      <c r="AG10" s="1"/>
      <c r="AH10" s="1">
        <v>0</v>
      </c>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row>
    <row r="11" spans="1:60" x14ac:dyDescent="0.2">
      <c r="A11" s="3">
        <v>9</v>
      </c>
      <c r="B11" s="3" t="s">
        <v>179</v>
      </c>
      <c r="C11" s="3" t="s">
        <v>180</v>
      </c>
      <c r="D11" s="1"/>
      <c r="E11" s="1">
        <f t="shared" si="0"/>
        <v>3</v>
      </c>
      <c r="F11" s="1">
        <f t="shared" si="1"/>
        <v>0</v>
      </c>
      <c r="G11" s="1">
        <f t="shared" si="2"/>
        <v>3</v>
      </c>
      <c r="H11" s="1"/>
      <c r="I11" s="1">
        <v>9.7000000000000003E-2</v>
      </c>
      <c r="J11" s="1">
        <v>0</v>
      </c>
      <c r="K11" s="1"/>
      <c r="L11" s="1"/>
      <c r="M11" s="1"/>
      <c r="N11" s="1"/>
      <c r="O11" s="1"/>
      <c r="P11" s="1"/>
      <c r="Q11" s="1"/>
      <c r="R11" s="1"/>
      <c r="S11" s="1"/>
      <c r="T11" s="1"/>
      <c r="U11" s="1"/>
      <c r="V11" s="1"/>
      <c r="W11" s="1"/>
      <c r="X11" s="1"/>
      <c r="Y11" s="1"/>
      <c r="Z11" s="1"/>
      <c r="AA11" s="1"/>
      <c r="AB11" s="1"/>
      <c r="AC11" s="1"/>
      <c r="AD11" s="1"/>
      <c r="AE11" s="1"/>
      <c r="AF11" s="1"/>
      <c r="AG11" s="1"/>
      <c r="AH11" s="1">
        <v>0</v>
      </c>
      <c r="AI11" s="1">
        <v>0.03</v>
      </c>
      <c r="AJ11" s="1">
        <v>0.01</v>
      </c>
      <c r="AK11" s="1">
        <v>0.03</v>
      </c>
      <c r="AL11" s="1">
        <v>0.03</v>
      </c>
      <c r="AM11" s="1">
        <v>3</v>
      </c>
      <c r="AN11" s="1"/>
      <c r="AO11" s="1"/>
      <c r="AP11" s="1"/>
      <c r="AQ11" s="1"/>
      <c r="AR11" s="1"/>
      <c r="AS11" s="1"/>
      <c r="AT11" s="1"/>
      <c r="AU11" s="1"/>
      <c r="AV11" s="1"/>
      <c r="AW11" s="1"/>
      <c r="AX11" s="1"/>
      <c r="AY11" s="1"/>
      <c r="AZ11" s="1"/>
      <c r="BA11" s="1"/>
      <c r="BB11" s="1"/>
      <c r="BC11" s="1"/>
      <c r="BD11" s="1"/>
      <c r="BE11" s="1"/>
      <c r="BF11" s="1"/>
      <c r="BG11" s="1"/>
      <c r="BH11" s="1"/>
    </row>
    <row r="12" spans="1:60" x14ac:dyDescent="0.2">
      <c r="A12" s="3">
        <v>10</v>
      </c>
      <c r="B12" s="3" t="s">
        <v>187</v>
      </c>
      <c r="C12" s="3" t="s">
        <v>188</v>
      </c>
      <c r="D12" s="1"/>
      <c r="E12" s="1">
        <f t="shared" si="0"/>
        <v>3.5641758209011867</v>
      </c>
      <c r="F12" s="1">
        <f t="shared" si="1"/>
        <v>4.2344497607655498</v>
      </c>
      <c r="G12" s="1">
        <f t="shared" si="2"/>
        <v>3</v>
      </c>
      <c r="H12" s="1"/>
      <c r="I12" s="1">
        <v>0.33500000000000002</v>
      </c>
      <c r="J12" s="1">
        <v>4.2344497607655498</v>
      </c>
      <c r="K12" s="1"/>
      <c r="L12" s="1"/>
      <c r="M12" s="1"/>
      <c r="N12" s="1"/>
      <c r="O12" s="1"/>
      <c r="P12" s="1"/>
      <c r="Q12" s="1"/>
      <c r="R12" s="1"/>
      <c r="S12" s="1"/>
      <c r="T12" s="1"/>
      <c r="U12" s="1"/>
      <c r="V12" s="1"/>
      <c r="W12" s="1"/>
      <c r="X12" s="1"/>
      <c r="Y12" s="1"/>
      <c r="Z12" s="1"/>
      <c r="AA12" s="1"/>
      <c r="AB12" s="1"/>
      <c r="AC12" s="1"/>
      <c r="AD12" s="1"/>
      <c r="AE12" s="1"/>
      <c r="AF12" s="1"/>
      <c r="AG12" s="1"/>
      <c r="AH12" s="1">
        <v>0</v>
      </c>
      <c r="AI12" s="1">
        <v>0.06</v>
      </c>
      <c r="AJ12" s="1">
        <v>0.05</v>
      </c>
      <c r="AK12" s="1"/>
      <c r="AL12" s="1">
        <v>0.05</v>
      </c>
      <c r="AM12" s="1">
        <v>3</v>
      </c>
      <c r="AN12" s="1"/>
      <c r="AO12" s="1"/>
      <c r="AP12" s="1"/>
      <c r="AQ12" s="1"/>
      <c r="AR12" s="1"/>
      <c r="AS12" s="1"/>
      <c r="AT12" s="1"/>
      <c r="AU12" s="1"/>
      <c r="AV12" s="1"/>
      <c r="AW12" s="1"/>
      <c r="AX12" s="1"/>
      <c r="AY12" s="1"/>
      <c r="AZ12" s="1"/>
      <c r="BA12" s="1"/>
      <c r="BB12" s="1"/>
      <c r="BC12" s="1"/>
      <c r="BD12" s="1"/>
      <c r="BE12" s="1"/>
      <c r="BF12" s="1"/>
      <c r="BG12" s="1"/>
      <c r="BH12" s="1"/>
    </row>
    <row r="13" spans="1:60" x14ac:dyDescent="0.2">
      <c r="A13" s="3">
        <v>11</v>
      </c>
      <c r="B13" s="3" t="s">
        <v>194</v>
      </c>
      <c r="C13" s="3" t="s">
        <v>195</v>
      </c>
      <c r="D13" s="1"/>
      <c r="E13" s="1">
        <f t="shared" si="0"/>
        <v>7.0456474738209014</v>
      </c>
      <c r="F13" s="1">
        <f t="shared" si="1"/>
        <v>9.9282296650717701</v>
      </c>
      <c r="G13" s="1">
        <f t="shared" si="2"/>
        <v>5</v>
      </c>
      <c r="H13" s="1"/>
      <c r="I13" s="1">
        <v>0.57299999999999995</v>
      </c>
      <c r="J13" s="1">
        <v>9.9282296650717701</v>
      </c>
      <c r="K13" s="1"/>
      <c r="L13" s="1"/>
      <c r="M13" s="1"/>
      <c r="N13" s="1"/>
      <c r="O13" s="1"/>
      <c r="P13" s="1"/>
      <c r="Q13" s="1"/>
      <c r="R13" s="1"/>
      <c r="S13" s="1"/>
      <c r="T13" s="1"/>
      <c r="U13" s="1"/>
      <c r="V13" s="1"/>
      <c r="W13" s="1"/>
      <c r="X13" s="1"/>
      <c r="Y13" s="1"/>
      <c r="Z13" s="1"/>
      <c r="AA13" s="1"/>
      <c r="AB13" s="1"/>
      <c r="AC13" s="1"/>
      <c r="AD13" s="1"/>
      <c r="AE13" s="1"/>
      <c r="AF13" s="1"/>
      <c r="AG13" s="1"/>
      <c r="AH13" s="1">
        <v>0</v>
      </c>
      <c r="AI13" s="1">
        <v>0.12</v>
      </c>
      <c r="AJ13" s="1">
        <v>0.15</v>
      </c>
      <c r="AK13" s="1"/>
      <c r="AL13" s="1">
        <v>0.15</v>
      </c>
      <c r="AM13" s="1">
        <v>5</v>
      </c>
      <c r="AN13" s="1"/>
      <c r="AO13" s="1"/>
      <c r="AP13" s="1"/>
      <c r="AQ13" s="1"/>
      <c r="AR13" s="1"/>
      <c r="AS13" s="1"/>
      <c r="AT13" s="1"/>
      <c r="AU13" s="1"/>
      <c r="AV13" s="1"/>
      <c r="AW13" s="1"/>
      <c r="AX13" s="1"/>
      <c r="AY13" s="1"/>
      <c r="AZ13" s="1"/>
      <c r="BA13" s="1"/>
      <c r="BB13" s="1"/>
      <c r="BC13" s="1"/>
      <c r="BD13" s="1"/>
      <c r="BE13" s="1"/>
      <c r="BF13" s="1"/>
      <c r="BG13" s="1"/>
      <c r="BH13" s="1"/>
    </row>
    <row r="14" spans="1:60" x14ac:dyDescent="0.2">
      <c r="A14" s="3">
        <v>12</v>
      </c>
      <c r="B14" s="3" t="s">
        <v>202</v>
      </c>
      <c r="C14" s="3" t="s">
        <v>203</v>
      </c>
      <c r="D14" s="1"/>
      <c r="E14" s="1">
        <f t="shared" si="0"/>
        <v>3</v>
      </c>
      <c r="F14" s="1">
        <f t="shared" si="1"/>
        <v>0</v>
      </c>
      <c r="G14" s="1">
        <f t="shared" si="2"/>
        <v>3</v>
      </c>
      <c r="H14" s="1"/>
      <c r="I14" s="1">
        <v>0.08</v>
      </c>
      <c r="J14" s="1">
        <v>0</v>
      </c>
      <c r="K14" s="1"/>
      <c r="L14" s="1"/>
      <c r="M14" s="1"/>
      <c r="N14" s="1"/>
      <c r="O14" s="1"/>
      <c r="P14" s="1"/>
      <c r="Q14" s="1"/>
      <c r="R14" s="1"/>
      <c r="S14" s="1"/>
      <c r="T14" s="1"/>
      <c r="U14" s="1"/>
      <c r="V14" s="1"/>
      <c r="W14" s="1"/>
      <c r="X14" s="1"/>
      <c r="Y14" s="1"/>
      <c r="Z14" s="1"/>
      <c r="AA14" s="1"/>
      <c r="AB14" s="1"/>
      <c r="AC14" s="1"/>
      <c r="AD14" s="1"/>
      <c r="AE14" s="1"/>
      <c r="AF14" s="1"/>
      <c r="AG14" s="1"/>
      <c r="AH14" s="1">
        <v>0</v>
      </c>
      <c r="AI14" s="1">
        <v>0.04</v>
      </c>
      <c r="AJ14" s="1">
        <v>0.04</v>
      </c>
      <c r="AK14" s="1">
        <v>0.03</v>
      </c>
      <c r="AL14" s="1">
        <v>0.03</v>
      </c>
      <c r="AM14" s="1">
        <v>3</v>
      </c>
      <c r="AN14" s="1"/>
      <c r="AO14" s="1"/>
      <c r="AP14" s="1"/>
      <c r="AQ14" s="1"/>
      <c r="AR14" s="1"/>
      <c r="AS14" s="1"/>
      <c r="AT14" s="1"/>
      <c r="AU14" s="1"/>
      <c r="AV14" s="1"/>
      <c r="AW14" s="1"/>
      <c r="AX14" s="1"/>
      <c r="AY14" s="1"/>
      <c r="AZ14" s="1"/>
      <c r="BA14" s="1"/>
      <c r="BB14" s="1"/>
      <c r="BC14" s="1"/>
      <c r="BD14" s="1"/>
      <c r="BE14" s="1"/>
      <c r="BF14" s="1"/>
      <c r="BG14" s="1"/>
      <c r="BH14" s="1"/>
    </row>
    <row r="15" spans="1:60" x14ac:dyDescent="0.2">
      <c r="A15" s="3">
        <v>13</v>
      </c>
      <c r="B15" s="3" t="s">
        <v>208</v>
      </c>
      <c r="C15" s="3" t="s">
        <v>209</v>
      </c>
      <c r="D15" s="1"/>
      <c r="E15" s="1">
        <f t="shared" si="0"/>
        <v>5.0830424525241451</v>
      </c>
      <c r="F15" s="1">
        <f t="shared" si="1"/>
        <v>8.6124401913875595</v>
      </c>
      <c r="G15" s="1">
        <f t="shared" si="2"/>
        <v>3</v>
      </c>
      <c r="H15" s="1"/>
      <c r="I15" s="1">
        <v>0.51800000000000002</v>
      </c>
      <c r="J15" s="1">
        <v>8.6124401913875595</v>
      </c>
      <c r="K15" s="1"/>
      <c r="L15" s="1"/>
      <c r="M15" s="1"/>
      <c r="N15" s="1"/>
      <c r="O15" s="1"/>
      <c r="P15" s="1"/>
      <c r="Q15" s="1"/>
      <c r="R15" s="1"/>
      <c r="S15" s="1"/>
      <c r="T15" s="1"/>
      <c r="U15" s="1"/>
      <c r="V15" s="1"/>
      <c r="W15" s="1"/>
      <c r="X15" s="1"/>
      <c r="Y15" s="1"/>
      <c r="Z15" s="1"/>
      <c r="AA15" s="1"/>
      <c r="AB15" s="1"/>
      <c r="AC15" s="1"/>
      <c r="AD15" s="1"/>
      <c r="AE15" s="1"/>
      <c r="AF15" s="1"/>
      <c r="AG15" s="1"/>
      <c r="AH15" s="1">
        <v>0</v>
      </c>
      <c r="AI15" s="1">
        <v>0.03</v>
      </c>
      <c r="AJ15" s="1">
        <v>-0.01</v>
      </c>
      <c r="AK15" s="1">
        <v>0.03</v>
      </c>
      <c r="AL15" s="1">
        <v>0.03</v>
      </c>
      <c r="AM15" s="1">
        <v>3</v>
      </c>
      <c r="AN15" s="1"/>
      <c r="AO15" s="1"/>
      <c r="AP15" s="1"/>
      <c r="AQ15" s="1"/>
      <c r="AR15" s="1"/>
      <c r="AS15" s="1"/>
      <c r="AT15" s="1"/>
      <c r="AU15" s="1"/>
      <c r="AV15" s="1"/>
      <c r="AW15" s="1"/>
      <c r="AX15" s="1"/>
      <c r="AY15" s="1"/>
      <c r="AZ15" s="1"/>
      <c r="BA15" s="1"/>
      <c r="BB15" s="1"/>
      <c r="BC15" s="1"/>
      <c r="BD15" s="1"/>
      <c r="BE15" s="1"/>
      <c r="BF15" s="1"/>
      <c r="BG15" s="1"/>
      <c r="BH15" s="1"/>
    </row>
    <row r="16" spans="1:60" x14ac:dyDescent="0.2">
      <c r="A16" s="3">
        <v>14</v>
      </c>
      <c r="B16" s="3" t="s">
        <v>215</v>
      </c>
      <c r="C16" s="3" t="s">
        <v>216</v>
      </c>
      <c r="D16" s="1"/>
      <c r="E16" s="1">
        <f t="shared" si="0"/>
        <v>9.3573398256363536</v>
      </c>
      <c r="F16" s="1">
        <f t="shared" si="1"/>
        <v>8.7559808612440193</v>
      </c>
      <c r="G16" s="1">
        <f t="shared" si="2"/>
        <v>10</v>
      </c>
      <c r="H16" s="1"/>
      <c r="I16" s="1">
        <v>0.52400000000000002</v>
      </c>
      <c r="J16" s="1">
        <v>8.7559808612440193</v>
      </c>
      <c r="K16" s="1" t="s">
        <v>215</v>
      </c>
      <c r="L16" s="1">
        <v>303</v>
      </c>
      <c r="M16" s="1" t="s">
        <v>1090</v>
      </c>
      <c r="N16" s="1">
        <v>2020</v>
      </c>
      <c r="O16" s="1">
        <v>10</v>
      </c>
      <c r="P16" s="1" t="s">
        <v>1091</v>
      </c>
      <c r="Q16" s="1">
        <v>20841206.008499999</v>
      </c>
      <c r="R16" s="1">
        <v>0</v>
      </c>
      <c r="S16" s="1">
        <v>0</v>
      </c>
      <c r="T16" s="1">
        <v>0</v>
      </c>
      <c r="U16" s="1">
        <v>0</v>
      </c>
      <c r="V16" s="1">
        <v>0</v>
      </c>
      <c r="W16" s="1">
        <v>0</v>
      </c>
      <c r="X16" s="1">
        <v>0</v>
      </c>
      <c r="Y16" s="1">
        <v>0</v>
      </c>
      <c r="Z16" s="1">
        <v>0</v>
      </c>
      <c r="AA16" s="1"/>
      <c r="AB16" s="1">
        <v>0</v>
      </c>
      <c r="AC16" s="1"/>
      <c r="AD16" s="1">
        <v>0</v>
      </c>
      <c r="AE16" s="1" t="s">
        <v>1092</v>
      </c>
      <c r="AF16" s="1" t="e">
        <v>#NUM!</v>
      </c>
      <c r="AG16" s="1"/>
      <c r="AH16" s="1">
        <v>0</v>
      </c>
      <c r="AI16" s="1">
        <v>-0.01</v>
      </c>
      <c r="AJ16" s="1">
        <v>0.05</v>
      </c>
      <c r="AK16" s="1">
        <v>0.04</v>
      </c>
      <c r="AL16" s="1">
        <v>0.04</v>
      </c>
      <c r="AM16" s="1">
        <v>3</v>
      </c>
      <c r="AN16" s="1">
        <v>10</v>
      </c>
      <c r="AO16" s="1"/>
      <c r="AP16" s="1"/>
      <c r="AQ16" s="1"/>
      <c r="AR16" s="1"/>
      <c r="AS16" s="1"/>
      <c r="AT16" s="1"/>
      <c r="AU16" s="1"/>
      <c r="AV16" s="1"/>
      <c r="AW16" s="1"/>
      <c r="AX16" s="1"/>
      <c r="AY16" s="1"/>
      <c r="AZ16" s="1"/>
      <c r="BA16" s="1"/>
      <c r="BB16" s="1"/>
      <c r="BC16" s="1"/>
      <c r="BD16" s="1"/>
      <c r="BE16" s="1"/>
      <c r="BF16" s="1"/>
      <c r="BG16" s="1"/>
      <c r="BH16" s="1"/>
    </row>
    <row r="17" spans="1:60" x14ac:dyDescent="0.2">
      <c r="A17" s="3">
        <v>15</v>
      </c>
      <c r="B17" s="3" t="s">
        <v>222</v>
      </c>
      <c r="C17" s="3" t="s">
        <v>223</v>
      </c>
      <c r="D17" s="1"/>
      <c r="E17" s="1">
        <f t="shared" si="0"/>
        <v>4.9106855464268087</v>
      </c>
      <c r="F17" s="1">
        <f t="shared" si="1"/>
        <v>8.03827751196172</v>
      </c>
      <c r="G17" s="1">
        <f t="shared" si="2"/>
        <v>3</v>
      </c>
      <c r="H17" s="1"/>
      <c r="I17" s="1">
        <v>0.49399999999999999</v>
      </c>
      <c r="J17" s="1">
        <v>8.03827751196172</v>
      </c>
      <c r="K17" s="1"/>
      <c r="L17" s="1"/>
      <c r="M17" s="1"/>
      <c r="N17" s="1"/>
      <c r="O17" s="1"/>
      <c r="P17" s="1"/>
      <c r="Q17" s="1"/>
      <c r="R17" s="1"/>
      <c r="S17" s="1"/>
      <c r="T17" s="1"/>
      <c r="U17" s="1"/>
      <c r="V17" s="1"/>
      <c r="W17" s="1"/>
      <c r="X17" s="1"/>
      <c r="Y17" s="1"/>
      <c r="Z17" s="1"/>
      <c r="AA17" s="1"/>
      <c r="AB17" s="1"/>
      <c r="AC17" s="1"/>
      <c r="AD17" s="1"/>
      <c r="AE17" s="1"/>
      <c r="AF17" s="1"/>
      <c r="AG17" s="1"/>
      <c r="AH17" s="1">
        <v>10</v>
      </c>
      <c r="AI17" s="1">
        <v>0.06</v>
      </c>
      <c r="AJ17" s="1">
        <v>0.05</v>
      </c>
      <c r="AK17" s="1"/>
      <c r="AL17" s="1">
        <v>0.05</v>
      </c>
      <c r="AM17" s="1">
        <v>3</v>
      </c>
      <c r="AN17" s="1"/>
      <c r="AO17" s="1"/>
      <c r="AP17" s="1"/>
      <c r="AQ17" s="1"/>
      <c r="AR17" s="1"/>
      <c r="AS17" s="1"/>
      <c r="AT17" s="1"/>
      <c r="AU17" s="1"/>
      <c r="AV17" s="1"/>
      <c r="AW17" s="1"/>
      <c r="AX17" s="1"/>
      <c r="AY17" s="1"/>
      <c r="AZ17" s="1"/>
      <c r="BA17" s="1"/>
      <c r="BB17" s="1"/>
      <c r="BC17" s="1"/>
      <c r="BD17" s="1"/>
      <c r="BE17" s="1"/>
      <c r="BF17" s="1"/>
      <c r="BG17" s="1"/>
      <c r="BH17" s="1"/>
    </row>
    <row r="18" spans="1:60" x14ac:dyDescent="0.2">
      <c r="A18" s="3">
        <v>16</v>
      </c>
      <c r="B18" s="3" t="s">
        <v>229</v>
      </c>
      <c r="C18" s="3" t="s">
        <v>230</v>
      </c>
      <c r="D18" s="1"/>
      <c r="E18" s="1">
        <f t="shared" si="0"/>
        <v>3.4758221635921838</v>
      </c>
      <c r="F18" s="1">
        <f t="shared" si="1"/>
        <v>2.4162679425837301</v>
      </c>
      <c r="G18" s="1">
        <f t="shared" si="2"/>
        <v>5</v>
      </c>
      <c r="H18" s="1"/>
      <c r="I18" s="1">
        <v>0.25900000000000001</v>
      </c>
      <c r="J18" s="1">
        <v>2.4162679425837301</v>
      </c>
      <c r="K18" s="1"/>
      <c r="L18" s="1"/>
      <c r="M18" s="1"/>
      <c r="N18" s="1"/>
      <c r="O18" s="1"/>
      <c r="P18" s="1"/>
      <c r="Q18" s="1"/>
      <c r="R18" s="1"/>
      <c r="S18" s="1"/>
      <c r="T18" s="1"/>
      <c r="U18" s="1"/>
      <c r="V18" s="1"/>
      <c r="W18" s="1"/>
      <c r="X18" s="1"/>
      <c r="Y18" s="1"/>
      <c r="Z18" s="1"/>
      <c r="AA18" s="1"/>
      <c r="AB18" s="1"/>
      <c r="AC18" s="1"/>
      <c r="AD18" s="1"/>
      <c r="AE18" s="1"/>
      <c r="AF18" s="1"/>
      <c r="AG18" s="1"/>
      <c r="AH18" s="1">
        <v>0</v>
      </c>
      <c r="AI18" s="1">
        <v>7.0000000000000007E-2</v>
      </c>
      <c r="AJ18" s="1">
        <v>0.06</v>
      </c>
      <c r="AK18" s="1"/>
      <c r="AL18" s="1">
        <v>0.06</v>
      </c>
      <c r="AM18" s="1">
        <v>5</v>
      </c>
      <c r="AN18" s="1"/>
      <c r="AO18" s="1"/>
      <c r="AP18" s="1"/>
      <c r="AQ18" s="1"/>
      <c r="AR18" s="1"/>
      <c r="AS18" s="1"/>
      <c r="AT18" s="1"/>
      <c r="AU18" s="1"/>
      <c r="AV18" s="1"/>
      <c r="AW18" s="1"/>
      <c r="AX18" s="1"/>
      <c r="AY18" s="1"/>
      <c r="AZ18" s="1"/>
      <c r="BA18" s="1"/>
      <c r="BB18" s="1"/>
      <c r="BC18" s="1"/>
      <c r="BD18" s="1"/>
      <c r="BE18" s="1"/>
      <c r="BF18" s="1"/>
      <c r="BG18" s="1"/>
      <c r="BH18" s="1"/>
    </row>
    <row r="19" spans="1:60" x14ac:dyDescent="0.2">
      <c r="A19" s="3">
        <v>17</v>
      </c>
      <c r="B19" s="3" t="s">
        <v>233</v>
      </c>
      <c r="C19" s="3" t="s">
        <v>234</v>
      </c>
      <c r="D19" s="1"/>
      <c r="E19" s="1">
        <f t="shared" si="0"/>
        <v>1.2565617248750851</v>
      </c>
      <c r="F19" s="1">
        <f t="shared" si="1"/>
        <v>0.52631578947368296</v>
      </c>
      <c r="G19" s="1">
        <f t="shared" si="2"/>
        <v>3</v>
      </c>
      <c r="H19" s="1"/>
      <c r="I19" s="1">
        <v>0.18</v>
      </c>
      <c r="J19" s="1">
        <v>0.52631578947368296</v>
      </c>
      <c r="K19" s="1"/>
      <c r="L19" s="1"/>
      <c r="M19" s="1"/>
      <c r="N19" s="1"/>
      <c r="O19" s="1"/>
      <c r="P19" s="1"/>
      <c r="Q19" s="1"/>
      <c r="R19" s="1"/>
      <c r="S19" s="1"/>
      <c r="T19" s="1"/>
      <c r="U19" s="1"/>
      <c r="V19" s="1"/>
      <c r="W19" s="1"/>
      <c r="X19" s="1"/>
      <c r="Y19" s="1"/>
      <c r="Z19" s="1"/>
      <c r="AA19" s="1"/>
      <c r="AB19" s="1"/>
      <c r="AC19" s="1"/>
      <c r="AD19" s="1"/>
      <c r="AE19" s="1"/>
      <c r="AF19" s="1"/>
      <c r="AG19" s="1"/>
      <c r="AH19" s="1">
        <v>0</v>
      </c>
      <c r="AI19" s="1">
        <v>0.04</v>
      </c>
      <c r="AJ19" s="1">
        <v>0.05</v>
      </c>
      <c r="AK19" s="1"/>
      <c r="AL19" s="1">
        <v>0.05</v>
      </c>
      <c r="AM19" s="1">
        <v>3</v>
      </c>
      <c r="AN19" s="1"/>
      <c r="AO19" s="1"/>
      <c r="AP19" s="1"/>
      <c r="AQ19" s="1"/>
      <c r="AR19" s="1"/>
      <c r="AS19" s="1"/>
      <c r="AT19" s="1"/>
      <c r="AU19" s="1"/>
      <c r="AV19" s="1"/>
      <c r="AW19" s="1"/>
      <c r="AX19" s="1"/>
      <c r="AY19" s="1"/>
      <c r="AZ19" s="1"/>
      <c r="BA19" s="1"/>
      <c r="BB19" s="1"/>
      <c r="BC19" s="1"/>
      <c r="BD19" s="1"/>
      <c r="BE19" s="1"/>
      <c r="BF19" s="1"/>
      <c r="BG19" s="1"/>
      <c r="BH19" s="1"/>
    </row>
    <row r="20" spans="1:60" x14ac:dyDescent="0.2">
      <c r="A20" s="3">
        <v>18</v>
      </c>
      <c r="B20" s="3" t="s">
        <v>239</v>
      </c>
      <c r="C20" s="3" t="s">
        <v>240</v>
      </c>
      <c r="D20" s="1"/>
      <c r="E20" s="1">
        <f t="shared" si="0"/>
        <v>3.58851674641148</v>
      </c>
      <c r="F20" s="1">
        <f t="shared" si="1"/>
        <v>3.58851674641148</v>
      </c>
      <c r="G20" s="1">
        <f t="shared" si="2"/>
        <v>0</v>
      </c>
      <c r="H20" s="1"/>
      <c r="I20" s="1">
        <v>0.308</v>
      </c>
      <c r="J20" s="1">
        <v>3.58851674641148</v>
      </c>
      <c r="K20" s="1"/>
      <c r="L20" s="1"/>
      <c r="M20" s="1"/>
      <c r="N20" s="1"/>
      <c r="O20" s="1"/>
      <c r="P20" s="1"/>
      <c r="Q20" s="1"/>
      <c r="R20" s="1"/>
      <c r="S20" s="1"/>
      <c r="T20" s="1"/>
      <c r="U20" s="1"/>
      <c r="V20" s="1"/>
      <c r="W20" s="1"/>
      <c r="X20" s="1"/>
      <c r="Y20" s="1"/>
      <c r="Z20" s="1"/>
      <c r="AA20" s="1"/>
      <c r="AB20" s="1"/>
      <c r="AC20" s="1"/>
      <c r="AD20" s="1"/>
      <c r="AE20" s="1"/>
      <c r="AF20" s="1"/>
      <c r="AG20" s="1"/>
      <c r="AH20" s="1">
        <v>0</v>
      </c>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row>
    <row r="21" spans="1:60" x14ac:dyDescent="0.2">
      <c r="A21" s="3">
        <v>19</v>
      </c>
      <c r="B21" s="3" t="s">
        <v>246</v>
      </c>
      <c r="C21" s="3" t="s">
        <v>247</v>
      </c>
      <c r="D21" s="1"/>
      <c r="E21" s="1">
        <f t="shared" si="0"/>
        <v>1.79712689361946</v>
      </c>
      <c r="F21" s="1">
        <f t="shared" si="1"/>
        <v>3.2296650717703299</v>
      </c>
      <c r="G21" s="1">
        <f t="shared" si="2"/>
        <v>1</v>
      </c>
      <c r="H21" s="1"/>
      <c r="I21" s="1">
        <v>0.29299999999999998</v>
      </c>
      <c r="J21" s="1">
        <v>3.2296650717703299</v>
      </c>
      <c r="K21" s="1"/>
      <c r="L21" s="1"/>
      <c r="M21" s="1"/>
      <c r="N21" s="1"/>
      <c r="O21" s="1"/>
      <c r="P21" s="1"/>
      <c r="Q21" s="1"/>
      <c r="R21" s="1"/>
      <c r="S21" s="1"/>
      <c r="T21" s="1"/>
      <c r="U21" s="1"/>
      <c r="V21" s="1"/>
      <c r="W21" s="1"/>
      <c r="X21" s="1"/>
      <c r="Y21" s="1"/>
      <c r="Z21" s="1"/>
      <c r="AA21" s="1"/>
      <c r="AB21" s="1"/>
      <c r="AC21" s="1"/>
      <c r="AD21" s="1"/>
      <c r="AE21" s="1"/>
      <c r="AF21" s="1"/>
      <c r="AG21" s="1"/>
      <c r="AH21" s="1">
        <v>0</v>
      </c>
      <c r="AI21" s="1">
        <v>0.01</v>
      </c>
      <c r="AJ21" s="1">
        <v>0</v>
      </c>
      <c r="AK21" s="1"/>
      <c r="AL21" s="1">
        <v>0</v>
      </c>
      <c r="AM21" s="1">
        <v>1</v>
      </c>
      <c r="AN21" s="1"/>
      <c r="AO21" s="1"/>
      <c r="AP21" s="1"/>
      <c r="AQ21" s="1"/>
      <c r="AR21" s="1"/>
      <c r="AS21" s="1"/>
      <c r="AT21" s="1"/>
      <c r="AU21" s="1"/>
      <c r="AV21" s="1"/>
      <c r="AW21" s="1"/>
      <c r="AX21" s="1"/>
      <c r="AY21" s="1"/>
      <c r="AZ21" s="1"/>
      <c r="BA21" s="1"/>
      <c r="BB21" s="1"/>
      <c r="BC21" s="1"/>
      <c r="BD21" s="1"/>
      <c r="BE21" s="1"/>
      <c r="BF21" s="1"/>
      <c r="BG21" s="1"/>
      <c r="BH21" s="1"/>
    </row>
    <row r="22" spans="1:60" x14ac:dyDescent="0.2">
      <c r="A22" s="3">
        <v>20</v>
      </c>
      <c r="B22" s="3" t="s">
        <v>254</v>
      </c>
      <c r="C22" s="3" t="s">
        <v>255</v>
      </c>
      <c r="D22" s="1"/>
      <c r="E22" s="1">
        <f t="shared" si="0"/>
        <v>1.756736861887366</v>
      </c>
      <c r="F22" s="1">
        <f t="shared" si="1"/>
        <v>1.02870813397129</v>
      </c>
      <c r="G22" s="1">
        <f t="shared" si="2"/>
        <v>3</v>
      </c>
      <c r="H22" s="1"/>
      <c r="I22" s="1">
        <v>0.20100000000000001</v>
      </c>
      <c r="J22" s="1">
        <v>1.02870813397129</v>
      </c>
      <c r="K22" s="1"/>
      <c r="L22" s="1"/>
      <c r="M22" s="1"/>
      <c r="N22" s="1"/>
      <c r="O22" s="1"/>
      <c r="P22" s="1"/>
      <c r="Q22" s="1"/>
      <c r="R22" s="1"/>
      <c r="S22" s="1"/>
      <c r="T22" s="1"/>
      <c r="U22" s="1"/>
      <c r="V22" s="1"/>
      <c r="W22" s="1"/>
      <c r="X22" s="1"/>
      <c r="Y22" s="1"/>
      <c r="Z22" s="1"/>
      <c r="AA22" s="1"/>
      <c r="AB22" s="1"/>
      <c r="AC22" s="1"/>
      <c r="AD22" s="1"/>
      <c r="AE22" s="1"/>
      <c r="AF22" s="1"/>
      <c r="AG22" s="1"/>
      <c r="AH22" s="1">
        <v>0</v>
      </c>
      <c r="AI22" s="1">
        <v>0.04</v>
      </c>
      <c r="AJ22" s="1">
        <v>0.05</v>
      </c>
      <c r="AK22" s="1">
        <v>0.05</v>
      </c>
      <c r="AL22" s="1">
        <v>0.05</v>
      </c>
      <c r="AM22" s="1">
        <v>3</v>
      </c>
      <c r="AN22" s="1"/>
      <c r="AO22" s="1"/>
      <c r="AP22" s="1"/>
      <c r="AQ22" s="1"/>
      <c r="AR22" s="1"/>
      <c r="AS22" s="1"/>
      <c r="AT22" s="1"/>
      <c r="AU22" s="1"/>
      <c r="AV22" s="1"/>
      <c r="AW22" s="1"/>
      <c r="AX22" s="1"/>
      <c r="AY22" s="1"/>
      <c r="AZ22" s="1"/>
      <c r="BA22" s="1"/>
      <c r="BB22" s="1"/>
      <c r="BC22" s="1"/>
      <c r="BD22" s="1"/>
      <c r="BE22" s="1"/>
      <c r="BF22" s="1"/>
      <c r="BG22" s="1"/>
      <c r="BH22" s="1"/>
    </row>
    <row r="23" spans="1:60" x14ac:dyDescent="0.2">
      <c r="A23" s="3">
        <v>21</v>
      </c>
      <c r="B23" s="3" t="s">
        <v>260</v>
      </c>
      <c r="C23" s="3" t="s">
        <v>261</v>
      </c>
      <c r="D23" s="1"/>
      <c r="E23" s="1">
        <f t="shared" si="0"/>
        <v>2.1598777211534292</v>
      </c>
      <c r="F23" s="1">
        <f t="shared" si="1"/>
        <v>4.6650717703349303</v>
      </c>
      <c r="G23" s="1">
        <f t="shared" si="2"/>
        <v>1</v>
      </c>
      <c r="H23" s="1"/>
      <c r="I23" s="1">
        <v>0.35299999999999998</v>
      </c>
      <c r="J23" s="1">
        <v>4.6650717703349303</v>
      </c>
      <c r="K23" s="1"/>
      <c r="L23" s="1"/>
      <c r="M23" s="1"/>
      <c r="N23" s="1"/>
      <c r="O23" s="1"/>
      <c r="P23" s="1"/>
      <c r="Q23" s="1"/>
      <c r="R23" s="1"/>
      <c r="S23" s="1"/>
      <c r="T23" s="1"/>
      <c r="U23" s="1"/>
      <c r="V23" s="1"/>
      <c r="W23" s="1"/>
      <c r="X23" s="1"/>
      <c r="Y23" s="1"/>
      <c r="Z23" s="1"/>
      <c r="AA23" s="1"/>
      <c r="AB23" s="1"/>
      <c r="AC23" s="1"/>
      <c r="AD23" s="1"/>
      <c r="AE23" s="1"/>
      <c r="AF23" s="1"/>
      <c r="AG23" s="1"/>
      <c r="AH23" s="1">
        <v>0</v>
      </c>
      <c r="AI23" s="1">
        <v>-0.01</v>
      </c>
      <c r="AJ23" s="1">
        <v>0.01</v>
      </c>
      <c r="AK23" s="1"/>
      <c r="AL23" s="1">
        <v>0.01</v>
      </c>
      <c r="AM23" s="1">
        <v>1</v>
      </c>
      <c r="AN23" s="1"/>
      <c r="AO23" s="1"/>
      <c r="AP23" s="1"/>
      <c r="AQ23" s="1"/>
      <c r="AR23" s="1"/>
      <c r="AS23" s="1"/>
      <c r="AT23" s="1"/>
      <c r="AU23" s="1"/>
      <c r="AV23" s="1"/>
      <c r="AW23" s="1"/>
      <c r="AX23" s="1"/>
      <c r="AY23" s="1"/>
      <c r="AZ23" s="1"/>
      <c r="BA23" s="1"/>
      <c r="BB23" s="1"/>
      <c r="BC23" s="1"/>
      <c r="BD23" s="1"/>
      <c r="BE23" s="1"/>
      <c r="BF23" s="1"/>
      <c r="BG23" s="1"/>
      <c r="BH23" s="1"/>
    </row>
    <row r="24" spans="1:60" x14ac:dyDescent="0.2">
      <c r="A24" s="3">
        <v>22</v>
      </c>
      <c r="B24" s="3" t="s">
        <v>267</v>
      </c>
      <c r="C24" s="3" t="s">
        <v>268</v>
      </c>
      <c r="D24" s="1"/>
      <c r="E24" s="1">
        <f t="shared" si="0"/>
        <v>2.8436111551887469</v>
      </c>
      <c r="F24" s="1">
        <f t="shared" si="1"/>
        <v>8.0861244019138798</v>
      </c>
      <c r="G24" s="1">
        <f t="shared" si="2"/>
        <v>1</v>
      </c>
      <c r="H24" s="1"/>
      <c r="I24" s="1">
        <v>0.496</v>
      </c>
      <c r="J24" s="1">
        <v>8.0861244019138798</v>
      </c>
      <c r="K24" s="1"/>
      <c r="L24" s="1"/>
      <c r="M24" s="1"/>
      <c r="N24" s="1"/>
      <c r="O24" s="1"/>
      <c r="P24" s="1"/>
      <c r="Q24" s="1"/>
      <c r="R24" s="1"/>
      <c r="S24" s="1"/>
      <c r="T24" s="1"/>
      <c r="U24" s="1"/>
      <c r="V24" s="1"/>
      <c r="W24" s="1"/>
      <c r="X24" s="1"/>
      <c r="Y24" s="1"/>
      <c r="Z24" s="1"/>
      <c r="AA24" s="1"/>
      <c r="AB24" s="1"/>
      <c r="AC24" s="1"/>
      <c r="AD24" s="1"/>
      <c r="AE24" s="1"/>
      <c r="AF24" s="1"/>
      <c r="AG24" s="1"/>
      <c r="AH24" s="1">
        <v>0</v>
      </c>
      <c r="AI24" s="1">
        <v>0.03</v>
      </c>
      <c r="AJ24" s="1">
        <v>0</v>
      </c>
      <c r="AK24" s="1">
        <v>0.01</v>
      </c>
      <c r="AL24" s="1">
        <v>0.01</v>
      </c>
      <c r="AM24" s="1">
        <v>1</v>
      </c>
      <c r="AN24" s="1"/>
      <c r="AO24" s="1"/>
      <c r="AP24" s="1"/>
      <c r="AQ24" s="1"/>
      <c r="AR24" s="1"/>
      <c r="AS24" s="1"/>
      <c r="AT24" s="1"/>
      <c r="AU24" s="1"/>
      <c r="AV24" s="1"/>
      <c r="AW24" s="1"/>
      <c r="AX24" s="1"/>
      <c r="AY24" s="1"/>
      <c r="AZ24" s="1"/>
      <c r="BA24" s="1"/>
      <c r="BB24" s="1"/>
      <c r="BC24" s="1"/>
      <c r="BD24" s="1"/>
      <c r="BE24" s="1"/>
      <c r="BF24" s="1"/>
      <c r="BG24" s="1"/>
      <c r="BH24" s="1"/>
    </row>
    <row r="25" spans="1:60" x14ac:dyDescent="0.2">
      <c r="A25" s="3">
        <v>23</v>
      </c>
      <c r="B25" s="3" t="s">
        <v>275</v>
      </c>
      <c r="C25" s="3" t="s">
        <v>276</v>
      </c>
      <c r="D25" s="1"/>
      <c r="E25" s="1">
        <f t="shared" si="0"/>
        <v>4.3197554423068558</v>
      </c>
      <c r="F25" s="1">
        <f t="shared" si="1"/>
        <v>3.7320574162679399</v>
      </c>
      <c r="G25" s="1">
        <f t="shared" si="2"/>
        <v>5</v>
      </c>
      <c r="H25" s="1"/>
      <c r="I25" s="1">
        <v>0.314</v>
      </c>
      <c r="J25" s="1">
        <v>3.7320574162679399</v>
      </c>
      <c r="K25" s="1"/>
      <c r="L25" s="1"/>
      <c r="M25" s="1"/>
      <c r="N25" s="1"/>
      <c r="O25" s="1"/>
      <c r="P25" s="1"/>
      <c r="Q25" s="1"/>
      <c r="R25" s="1"/>
      <c r="S25" s="1"/>
      <c r="T25" s="1"/>
      <c r="U25" s="1"/>
      <c r="V25" s="1"/>
      <c r="W25" s="1"/>
      <c r="X25" s="1"/>
      <c r="Y25" s="1"/>
      <c r="Z25" s="1"/>
      <c r="AA25" s="1"/>
      <c r="AB25" s="1"/>
      <c r="AC25" s="1"/>
      <c r="AD25" s="1"/>
      <c r="AE25" s="1"/>
      <c r="AF25" s="1"/>
      <c r="AG25" s="1"/>
      <c r="AH25" s="1">
        <v>10</v>
      </c>
      <c r="AI25" s="1">
        <v>0.06</v>
      </c>
      <c r="AJ25" s="1">
        <v>7.0000000000000007E-2</v>
      </c>
      <c r="AK25" s="1">
        <v>0.08</v>
      </c>
      <c r="AL25" s="1">
        <v>0.08</v>
      </c>
      <c r="AM25" s="1">
        <v>5</v>
      </c>
      <c r="AN25" s="1"/>
      <c r="AO25" s="1"/>
      <c r="AP25" s="1"/>
      <c r="AQ25" s="1"/>
      <c r="AR25" s="1"/>
      <c r="AS25" s="1"/>
      <c r="AT25" s="1"/>
      <c r="AU25" s="1"/>
      <c r="AV25" s="1"/>
      <c r="AW25" s="1"/>
      <c r="AX25" s="1"/>
      <c r="AY25" s="1"/>
      <c r="AZ25" s="1"/>
      <c r="BA25" s="1"/>
      <c r="BB25" s="1"/>
      <c r="BC25" s="1"/>
      <c r="BD25" s="1"/>
      <c r="BE25" s="1"/>
      <c r="BF25" s="1"/>
      <c r="BG25" s="1"/>
      <c r="BH25" s="1"/>
    </row>
    <row r="26" spans="1:60" x14ac:dyDescent="0.2">
      <c r="A26" s="3">
        <v>24</v>
      </c>
      <c r="B26" s="3" t="s">
        <v>283</v>
      </c>
      <c r="C26" s="3" t="s">
        <v>284</v>
      </c>
      <c r="D26" s="1"/>
      <c r="E26" s="1">
        <f t="shared" si="0"/>
        <v>1.8181818181818199</v>
      </c>
      <c r="F26" s="1">
        <f t="shared" si="1"/>
        <v>1.8181818181818199</v>
      </c>
      <c r="G26" s="1">
        <f t="shared" si="2"/>
        <v>0</v>
      </c>
      <c r="H26" s="1"/>
      <c r="I26" s="1">
        <v>0.23400000000000001</v>
      </c>
      <c r="J26" s="1">
        <v>1.8181818181818199</v>
      </c>
      <c r="K26" s="1"/>
      <c r="L26" s="1"/>
      <c r="M26" s="1"/>
      <c r="N26" s="1"/>
      <c r="O26" s="1"/>
      <c r="P26" s="1"/>
      <c r="Q26" s="1"/>
      <c r="R26" s="1"/>
      <c r="S26" s="1"/>
      <c r="T26" s="1"/>
      <c r="U26" s="1"/>
      <c r="V26" s="1"/>
      <c r="W26" s="1"/>
      <c r="X26" s="1"/>
      <c r="Y26" s="1"/>
      <c r="Z26" s="1"/>
      <c r="AA26" s="1"/>
      <c r="AB26" s="1"/>
      <c r="AC26" s="1"/>
      <c r="AD26" s="1"/>
      <c r="AE26" s="1"/>
      <c r="AF26" s="1"/>
      <c r="AG26" s="1"/>
      <c r="AH26" s="1">
        <v>0</v>
      </c>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row>
    <row r="27" spans="1:60" x14ac:dyDescent="0.2">
      <c r="A27" s="3">
        <v>25</v>
      </c>
      <c r="B27" s="3" t="s">
        <v>289</v>
      </c>
      <c r="C27" s="3" t="s">
        <v>290</v>
      </c>
      <c r="D27" s="1"/>
      <c r="E27" s="1">
        <f t="shared" si="0"/>
        <v>2.3354968324845702</v>
      </c>
      <c r="F27" s="1">
        <f t="shared" si="1"/>
        <v>1.8181818181818199</v>
      </c>
      <c r="G27" s="1">
        <f t="shared" si="2"/>
        <v>3</v>
      </c>
      <c r="H27" s="1"/>
      <c r="I27" s="1">
        <v>0.23400000000000001</v>
      </c>
      <c r="J27" s="1">
        <v>1.8181818181818199</v>
      </c>
      <c r="K27" s="1"/>
      <c r="L27" s="1"/>
      <c r="M27" s="1"/>
      <c r="N27" s="1"/>
      <c r="O27" s="1"/>
      <c r="P27" s="1"/>
      <c r="Q27" s="1"/>
      <c r="R27" s="1"/>
      <c r="S27" s="1"/>
      <c r="T27" s="1"/>
      <c r="U27" s="1"/>
      <c r="V27" s="1"/>
      <c r="W27" s="1"/>
      <c r="X27" s="1"/>
      <c r="Y27" s="1"/>
      <c r="Z27" s="1"/>
      <c r="AA27" s="1"/>
      <c r="AB27" s="1"/>
      <c r="AC27" s="1"/>
      <c r="AD27" s="1"/>
      <c r="AE27" s="1"/>
      <c r="AF27" s="1"/>
      <c r="AG27" s="1"/>
      <c r="AH27" s="1">
        <v>0</v>
      </c>
      <c r="AI27" s="1">
        <v>0.03</v>
      </c>
      <c r="AJ27" s="1">
        <v>0.04</v>
      </c>
      <c r="AK27" s="1"/>
      <c r="AL27" s="1">
        <v>0.04</v>
      </c>
      <c r="AM27" s="1">
        <v>3</v>
      </c>
      <c r="AN27" s="1"/>
      <c r="AO27" s="1"/>
      <c r="AP27" s="1"/>
      <c r="AQ27" s="1"/>
      <c r="AR27" s="1"/>
      <c r="AS27" s="1"/>
      <c r="AT27" s="1"/>
      <c r="AU27" s="1"/>
      <c r="AV27" s="1"/>
      <c r="AW27" s="1"/>
      <c r="AX27" s="1"/>
      <c r="AY27" s="1"/>
      <c r="AZ27" s="1"/>
      <c r="BA27" s="1"/>
      <c r="BB27" s="1"/>
      <c r="BC27" s="1"/>
      <c r="BD27" s="1"/>
      <c r="BE27" s="1"/>
      <c r="BF27" s="1"/>
      <c r="BG27" s="1"/>
      <c r="BH27" s="1"/>
    </row>
    <row r="28" spans="1:60" x14ac:dyDescent="0.2">
      <c r="A28" s="3">
        <v>26</v>
      </c>
      <c r="B28" s="3" t="s">
        <v>296</v>
      </c>
      <c r="C28" s="3" t="s">
        <v>297</v>
      </c>
      <c r="D28" s="1"/>
      <c r="E28" s="1">
        <f t="shared" si="0"/>
        <v>5.9100109699620518</v>
      </c>
      <c r="F28" s="1">
        <f t="shared" si="1"/>
        <v>6.9856459330143599</v>
      </c>
      <c r="G28" s="1">
        <f t="shared" si="2"/>
        <v>5</v>
      </c>
      <c r="H28" s="1"/>
      <c r="I28" s="1">
        <v>0.45</v>
      </c>
      <c r="J28" s="1">
        <v>6.9856459330143599</v>
      </c>
      <c r="K28" s="1"/>
      <c r="L28" s="1"/>
      <c r="M28" s="1"/>
      <c r="N28" s="1"/>
      <c r="O28" s="1"/>
      <c r="P28" s="1"/>
      <c r="Q28" s="1"/>
      <c r="R28" s="1"/>
      <c r="S28" s="1"/>
      <c r="T28" s="1"/>
      <c r="U28" s="1"/>
      <c r="V28" s="1"/>
      <c r="W28" s="1"/>
      <c r="X28" s="1"/>
      <c r="Y28" s="1"/>
      <c r="Z28" s="1"/>
      <c r="AA28" s="1"/>
      <c r="AB28" s="1"/>
      <c r="AC28" s="1"/>
      <c r="AD28" s="1"/>
      <c r="AE28" s="1"/>
      <c r="AF28" s="1"/>
      <c r="AG28" s="1"/>
      <c r="AH28" s="1">
        <v>0</v>
      </c>
      <c r="AI28" s="1">
        <v>0.09</v>
      </c>
      <c r="AJ28" s="1"/>
      <c r="AK28" s="1"/>
      <c r="AL28" s="1">
        <v>0.09</v>
      </c>
      <c r="AM28" s="1">
        <v>5</v>
      </c>
      <c r="AN28" s="1"/>
      <c r="AO28" s="1"/>
      <c r="AP28" s="1"/>
      <c r="AQ28" s="1"/>
      <c r="AR28" s="1"/>
      <c r="AS28" s="1"/>
      <c r="AT28" s="1"/>
      <c r="AU28" s="1"/>
      <c r="AV28" s="1"/>
      <c r="AW28" s="1"/>
      <c r="AX28" s="1"/>
      <c r="AY28" s="1"/>
      <c r="AZ28" s="1"/>
      <c r="BA28" s="1"/>
      <c r="BB28" s="1"/>
      <c r="BC28" s="1"/>
      <c r="BD28" s="1"/>
      <c r="BE28" s="1"/>
      <c r="BF28" s="1"/>
      <c r="BG28" s="1"/>
      <c r="BH28" s="1"/>
    </row>
    <row r="29" spans="1:60" x14ac:dyDescent="0.2">
      <c r="A29" s="3">
        <v>27</v>
      </c>
      <c r="B29" s="3" t="s">
        <v>301</v>
      </c>
      <c r="C29" s="3" t="s">
        <v>302</v>
      </c>
      <c r="D29" s="1"/>
      <c r="E29" s="1">
        <f t="shared" si="0"/>
        <v>4.562170221417281</v>
      </c>
      <c r="F29" s="1">
        <f t="shared" si="1"/>
        <v>6.9377990430622001</v>
      </c>
      <c r="G29" s="1">
        <f t="shared" si="2"/>
        <v>3</v>
      </c>
      <c r="H29" s="1"/>
      <c r="I29" s="1">
        <v>0.44800000000000001</v>
      </c>
      <c r="J29" s="1">
        <v>6.9377990430622001</v>
      </c>
      <c r="K29" s="1"/>
      <c r="L29" s="1"/>
      <c r="M29" s="1"/>
      <c r="N29" s="1"/>
      <c r="O29" s="1"/>
      <c r="P29" s="1"/>
      <c r="Q29" s="1"/>
      <c r="R29" s="1"/>
      <c r="S29" s="1"/>
      <c r="T29" s="1"/>
      <c r="U29" s="1"/>
      <c r="V29" s="1"/>
      <c r="W29" s="1"/>
      <c r="X29" s="1"/>
      <c r="Y29" s="1"/>
      <c r="Z29" s="1"/>
      <c r="AA29" s="1"/>
      <c r="AB29" s="1"/>
      <c r="AC29" s="1"/>
      <c r="AD29" s="1"/>
      <c r="AE29" s="1"/>
      <c r="AF29" s="1"/>
      <c r="AG29" s="1"/>
      <c r="AH29" s="1">
        <v>0</v>
      </c>
      <c r="AI29" s="1">
        <v>0.03</v>
      </c>
      <c r="AJ29" s="1">
        <v>0.03</v>
      </c>
      <c r="AK29" s="1">
        <v>0.04</v>
      </c>
      <c r="AL29" s="1">
        <v>0.04</v>
      </c>
      <c r="AM29" s="1">
        <v>3</v>
      </c>
      <c r="AN29" s="1"/>
      <c r="AO29" s="1"/>
      <c r="AP29" s="1"/>
      <c r="AQ29" s="1"/>
      <c r="AR29" s="1"/>
      <c r="AS29" s="1"/>
      <c r="AT29" s="1"/>
      <c r="AU29" s="1"/>
      <c r="AV29" s="1"/>
      <c r="AW29" s="1"/>
      <c r="AX29" s="1"/>
      <c r="AY29" s="1"/>
      <c r="AZ29" s="1"/>
      <c r="BA29" s="1"/>
      <c r="BB29" s="1"/>
      <c r="BC29" s="1"/>
      <c r="BD29" s="1"/>
      <c r="BE29" s="1"/>
      <c r="BF29" s="1"/>
      <c r="BG29" s="1"/>
      <c r="BH29" s="1"/>
    </row>
    <row r="30" spans="1:60" x14ac:dyDescent="0.2">
      <c r="A30" s="3">
        <v>28</v>
      </c>
      <c r="B30" s="3" t="s">
        <v>307</v>
      </c>
      <c r="C30" s="3" t="s">
        <v>308</v>
      </c>
      <c r="D30" s="1"/>
      <c r="E30" s="1">
        <f t="shared" si="0"/>
        <v>10</v>
      </c>
      <c r="F30" s="1">
        <f t="shared" si="1"/>
        <v>10</v>
      </c>
      <c r="G30" s="1">
        <f t="shared" si="2"/>
        <v>10</v>
      </c>
      <c r="H30" s="1"/>
      <c r="I30" s="1">
        <v>0.69499999999999995</v>
      </c>
      <c r="J30" s="1">
        <v>10</v>
      </c>
      <c r="K30" s="1"/>
      <c r="L30" s="1"/>
      <c r="M30" s="1"/>
      <c r="N30" s="1"/>
      <c r="O30" s="1"/>
      <c r="P30" s="1"/>
      <c r="Q30" s="1"/>
      <c r="R30" s="1"/>
      <c r="S30" s="1"/>
      <c r="T30" s="1"/>
      <c r="U30" s="1"/>
      <c r="V30" s="1"/>
      <c r="W30" s="1"/>
      <c r="X30" s="1"/>
      <c r="Y30" s="1"/>
      <c r="Z30" s="1"/>
      <c r="AA30" s="1"/>
      <c r="AB30" s="1"/>
      <c r="AC30" s="1"/>
      <c r="AD30" s="1"/>
      <c r="AE30" s="1"/>
      <c r="AF30" s="1"/>
      <c r="AG30" s="1"/>
      <c r="AH30" s="1">
        <v>0</v>
      </c>
      <c r="AI30" s="1"/>
      <c r="AJ30" s="1"/>
      <c r="AK30" s="1"/>
      <c r="AL30" s="1"/>
      <c r="AM30" s="1"/>
      <c r="AN30" s="1">
        <v>10</v>
      </c>
      <c r="AO30" s="1"/>
      <c r="AP30" s="1"/>
      <c r="AQ30" s="1"/>
      <c r="AR30" s="1"/>
      <c r="AS30" s="1"/>
      <c r="AT30" s="1"/>
      <c r="AU30" s="1"/>
      <c r="AV30" s="1"/>
      <c r="AW30" s="1"/>
      <c r="AX30" s="1"/>
      <c r="AY30" s="1"/>
      <c r="AZ30" s="1"/>
      <c r="BA30" s="1"/>
      <c r="BB30" s="1"/>
      <c r="BC30" s="1"/>
      <c r="BD30" s="1"/>
      <c r="BE30" s="1"/>
      <c r="BF30" s="1"/>
      <c r="BG30" s="1"/>
      <c r="BH30" s="1"/>
    </row>
    <row r="31" spans="1:60" x14ac:dyDescent="0.2">
      <c r="A31" s="3">
        <v>29</v>
      </c>
      <c r="B31" s="3" t="s">
        <v>314</v>
      </c>
      <c r="C31" s="3" t="s">
        <v>315</v>
      </c>
      <c r="D31" s="1"/>
      <c r="E31" s="1">
        <f t="shared" si="0"/>
        <v>1.5849169449810403</v>
      </c>
      <c r="F31" s="1">
        <f t="shared" si="1"/>
        <v>0.83732057416267802</v>
      </c>
      <c r="G31" s="1">
        <f t="shared" si="2"/>
        <v>3</v>
      </c>
      <c r="H31" s="1"/>
      <c r="I31" s="1">
        <v>0.193</v>
      </c>
      <c r="J31" s="1">
        <v>0.83732057416267802</v>
      </c>
      <c r="K31" s="1"/>
      <c r="L31" s="1"/>
      <c r="M31" s="1"/>
      <c r="N31" s="1"/>
      <c r="O31" s="1"/>
      <c r="P31" s="1"/>
      <c r="Q31" s="1"/>
      <c r="R31" s="1"/>
      <c r="S31" s="1"/>
      <c r="T31" s="1"/>
      <c r="U31" s="1"/>
      <c r="V31" s="1"/>
      <c r="W31" s="1"/>
      <c r="X31" s="1"/>
      <c r="Y31" s="1"/>
      <c r="Z31" s="1"/>
      <c r="AA31" s="1"/>
      <c r="AB31" s="1"/>
      <c r="AC31" s="1"/>
      <c r="AD31" s="1"/>
      <c r="AE31" s="1"/>
      <c r="AF31" s="1"/>
      <c r="AG31" s="1"/>
      <c r="AH31" s="1">
        <v>0</v>
      </c>
      <c r="AI31" s="1">
        <v>0.04</v>
      </c>
      <c r="AJ31" s="1">
        <v>0.03</v>
      </c>
      <c r="AK31" s="1"/>
      <c r="AL31" s="1">
        <v>0.03</v>
      </c>
      <c r="AM31" s="1">
        <v>3</v>
      </c>
      <c r="AN31" s="1"/>
      <c r="AO31" s="1"/>
      <c r="AP31" s="1"/>
      <c r="AQ31" s="1"/>
      <c r="AR31" s="1"/>
      <c r="AS31" s="1"/>
      <c r="AT31" s="1"/>
      <c r="AU31" s="1"/>
      <c r="AV31" s="1"/>
      <c r="AW31" s="1"/>
      <c r="AX31" s="1"/>
      <c r="AY31" s="1"/>
      <c r="AZ31" s="1"/>
      <c r="BA31" s="1"/>
      <c r="BB31" s="1"/>
      <c r="BC31" s="1"/>
      <c r="BD31" s="1"/>
      <c r="BE31" s="1"/>
      <c r="BF31" s="1"/>
      <c r="BG31" s="1"/>
      <c r="BH31" s="1"/>
    </row>
    <row r="32" spans="1:60" x14ac:dyDescent="0.2">
      <c r="A32" s="3">
        <v>30</v>
      </c>
      <c r="B32" s="3" t="s">
        <v>320</v>
      </c>
      <c r="C32" s="3" t="s">
        <v>321</v>
      </c>
      <c r="D32" s="1"/>
      <c r="E32" s="1">
        <f t="shared" si="0"/>
        <v>1</v>
      </c>
      <c r="F32" s="1">
        <f t="shared" si="1"/>
        <v>0</v>
      </c>
      <c r="G32" s="1">
        <f t="shared" si="2"/>
        <v>1</v>
      </c>
      <c r="H32" s="1"/>
      <c r="I32" s="1">
        <v>0.105</v>
      </c>
      <c r="J32" s="1">
        <v>0</v>
      </c>
      <c r="K32" s="1"/>
      <c r="L32" s="1"/>
      <c r="M32" s="1"/>
      <c r="N32" s="1"/>
      <c r="O32" s="1"/>
      <c r="P32" s="1"/>
      <c r="Q32" s="1"/>
      <c r="R32" s="1"/>
      <c r="S32" s="1"/>
      <c r="T32" s="1"/>
      <c r="U32" s="1"/>
      <c r="V32" s="1"/>
      <c r="W32" s="1"/>
      <c r="X32" s="1"/>
      <c r="Y32" s="1"/>
      <c r="Z32" s="1"/>
      <c r="AA32" s="1"/>
      <c r="AB32" s="1"/>
      <c r="AC32" s="1"/>
      <c r="AD32" s="1"/>
      <c r="AE32" s="1"/>
      <c r="AF32" s="1"/>
      <c r="AG32" s="1"/>
      <c r="AH32" s="1">
        <v>0</v>
      </c>
      <c r="AI32" s="1">
        <v>0</v>
      </c>
      <c r="AJ32" s="1">
        <v>0</v>
      </c>
      <c r="AK32" s="1">
        <v>0.01</v>
      </c>
      <c r="AL32" s="1">
        <v>0.01</v>
      </c>
      <c r="AM32" s="1">
        <v>1</v>
      </c>
      <c r="AN32" s="1"/>
      <c r="AO32" s="1"/>
      <c r="AP32" s="1"/>
      <c r="AQ32" s="1"/>
      <c r="AR32" s="1"/>
      <c r="AS32" s="1"/>
      <c r="AT32" s="1"/>
      <c r="AU32" s="1"/>
      <c r="AV32" s="1"/>
      <c r="AW32" s="1"/>
      <c r="AX32" s="1"/>
      <c r="AY32" s="1"/>
      <c r="AZ32" s="1"/>
      <c r="BA32" s="1"/>
      <c r="BB32" s="1"/>
      <c r="BC32" s="1"/>
      <c r="BD32" s="1"/>
      <c r="BE32" s="1"/>
      <c r="BF32" s="1"/>
      <c r="BG32" s="1"/>
      <c r="BH32" s="1"/>
    </row>
    <row r="33" spans="1:60" x14ac:dyDescent="0.2">
      <c r="A33" s="3">
        <v>31</v>
      </c>
      <c r="B33" s="3" t="s">
        <v>325</v>
      </c>
      <c r="C33" s="3" t="s">
        <v>326</v>
      </c>
      <c r="D33" s="1"/>
      <c r="E33" s="1">
        <f t="shared" si="0"/>
        <v>4.135850959342557</v>
      </c>
      <c r="F33" s="1">
        <f t="shared" si="1"/>
        <v>3.42105263157895</v>
      </c>
      <c r="G33" s="1">
        <f t="shared" si="2"/>
        <v>5</v>
      </c>
      <c r="H33" s="1"/>
      <c r="I33" s="1">
        <v>0.30099999999999999</v>
      </c>
      <c r="J33" s="1">
        <v>3.42105263157895</v>
      </c>
      <c r="K33" s="1"/>
      <c r="L33" s="1"/>
      <c r="M33" s="1"/>
      <c r="N33" s="1"/>
      <c r="O33" s="1"/>
      <c r="P33" s="1"/>
      <c r="Q33" s="1"/>
      <c r="R33" s="1"/>
      <c r="S33" s="1"/>
      <c r="T33" s="1"/>
      <c r="U33" s="1"/>
      <c r="V33" s="1"/>
      <c r="W33" s="1"/>
      <c r="X33" s="1"/>
      <c r="Y33" s="1"/>
      <c r="Z33" s="1"/>
      <c r="AA33" s="1"/>
      <c r="AB33" s="1"/>
      <c r="AC33" s="1"/>
      <c r="AD33" s="1"/>
      <c r="AE33" s="1"/>
      <c r="AF33" s="1"/>
      <c r="AG33" s="1"/>
      <c r="AH33" s="1">
        <v>0</v>
      </c>
      <c r="AI33" s="1">
        <v>7.0000000000000007E-2</v>
      </c>
      <c r="AJ33" s="1">
        <v>7.0000000000000007E-2</v>
      </c>
      <c r="AK33" s="1">
        <v>0.06</v>
      </c>
      <c r="AL33" s="1">
        <v>0.06</v>
      </c>
      <c r="AM33" s="1">
        <v>5</v>
      </c>
      <c r="AN33" s="1"/>
      <c r="AO33" s="1"/>
      <c r="AP33" s="1"/>
      <c r="AQ33" s="1"/>
      <c r="AR33" s="1"/>
      <c r="AS33" s="1"/>
      <c r="AT33" s="1"/>
      <c r="AU33" s="1"/>
      <c r="AV33" s="1"/>
      <c r="AW33" s="1"/>
      <c r="AX33" s="1"/>
      <c r="AY33" s="1"/>
      <c r="AZ33" s="1"/>
      <c r="BA33" s="1"/>
      <c r="BB33" s="1"/>
      <c r="BC33" s="1"/>
      <c r="BD33" s="1"/>
      <c r="BE33" s="1"/>
      <c r="BF33" s="1"/>
      <c r="BG33" s="1"/>
      <c r="BH33" s="1"/>
    </row>
    <row r="34" spans="1:60" x14ac:dyDescent="0.2">
      <c r="A34" s="3">
        <v>32</v>
      </c>
      <c r="B34" s="3" t="s">
        <v>331</v>
      </c>
      <c r="C34" s="3" t="s">
        <v>332</v>
      </c>
      <c r="D34" s="1"/>
      <c r="E34" s="1">
        <f t="shared" si="0"/>
        <v>3.8201179871054638</v>
      </c>
      <c r="F34" s="1">
        <f t="shared" si="1"/>
        <v>2.9186602870813401</v>
      </c>
      <c r="G34" s="1">
        <f t="shared" si="2"/>
        <v>5</v>
      </c>
      <c r="H34" s="1"/>
      <c r="I34" s="1">
        <v>0.28000000000000003</v>
      </c>
      <c r="J34" s="1">
        <v>2.9186602870813401</v>
      </c>
      <c r="K34" s="1"/>
      <c r="L34" s="1"/>
      <c r="M34" s="1"/>
      <c r="N34" s="1"/>
      <c r="O34" s="1"/>
      <c r="P34" s="1"/>
      <c r="Q34" s="1"/>
      <c r="R34" s="1"/>
      <c r="S34" s="1"/>
      <c r="T34" s="1"/>
      <c r="U34" s="1"/>
      <c r="V34" s="1"/>
      <c r="W34" s="1"/>
      <c r="X34" s="1"/>
      <c r="Y34" s="1"/>
      <c r="Z34" s="1"/>
      <c r="AA34" s="1"/>
      <c r="AB34" s="1"/>
      <c r="AC34" s="1"/>
      <c r="AD34" s="1"/>
      <c r="AE34" s="1"/>
      <c r="AF34" s="1"/>
      <c r="AG34" s="1"/>
      <c r="AH34" s="1">
        <v>0</v>
      </c>
      <c r="AI34" s="1">
        <v>0.15</v>
      </c>
      <c r="AJ34" s="1">
        <v>0.11</v>
      </c>
      <c r="AK34" s="1">
        <v>0.11</v>
      </c>
      <c r="AL34" s="1">
        <v>0.11</v>
      </c>
      <c r="AM34" s="1">
        <v>5</v>
      </c>
      <c r="AN34" s="1"/>
      <c r="AO34" s="1"/>
      <c r="AP34" s="1"/>
      <c r="AQ34" s="1"/>
      <c r="AR34" s="1"/>
      <c r="AS34" s="1"/>
      <c r="AT34" s="1"/>
      <c r="AU34" s="1"/>
      <c r="AV34" s="1"/>
      <c r="AW34" s="1"/>
      <c r="AX34" s="1"/>
      <c r="AY34" s="1"/>
      <c r="AZ34" s="1"/>
      <c r="BA34" s="1"/>
      <c r="BB34" s="1"/>
      <c r="BC34" s="1"/>
      <c r="BD34" s="1"/>
      <c r="BE34" s="1"/>
      <c r="BF34" s="1"/>
      <c r="BG34" s="1"/>
      <c r="BH34" s="1"/>
    </row>
    <row r="35" spans="1:60" x14ac:dyDescent="0.2">
      <c r="A35" s="3">
        <v>33</v>
      </c>
      <c r="B35" s="3" t="s">
        <v>337</v>
      </c>
      <c r="C35" s="3" t="s">
        <v>338</v>
      </c>
      <c r="D35" s="1"/>
      <c r="E35" s="1">
        <f t="shared" ref="E35:E66" si="3">IFERROR(GEOMEAN(F35, G35), MAX(F35, G35))</f>
        <v>4.6786699128181768</v>
      </c>
      <c r="F35" s="1">
        <f t="shared" ref="F35:F66" si="4">MAX(J35)</f>
        <v>7.2966507177033497</v>
      </c>
      <c r="G35" s="1">
        <f t="shared" ref="G35:G66" si="5">MAX(AM35, AN35)</f>
        <v>3</v>
      </c>
      <c r="H35" s="1"/>
      <c r="I35" s="1">
        <v>0.46300000000000002</v>
      </c>
      <c r="J35" s="1">
        <v>7.2966507177033497</v>
      </c>
      <c r="K35" s="1"/>
      <c r="L35" s="1"/>
      <c r="M35" s="1"/>
      <c r="N35" s="1"/>
      <c r="O35" s="1"/>
      <c r="P35" s="1"/>
      <c r="Q35" s="1"/>
      <c r="R35" s="1"/>
      <c r="S35" s="1"/>
      <c r="T35" s="1"/>
      <c r="U35" s="1"/>
      <c r="V35" s="1"/>
      <c r="W35" s="1"/>
      <c r="X35" s="1"/>
      <c r="Y35" s="1"/>
      <c r="Z35" s="1"/>
      <c r="AA35" s="1"/>
      <c r="AB35" s="1"/>
      <c r="AC35" s="1"/>
      <c r="AD35" s="1"/>
      <c r="AE35" s="1"/>
      <c r="AF35" s="1"/>
      <c r="AG35" s="1"/>
      <c r="AH35" s="1">
        <v>0</v>
      </c>
      <c r="AI35" s="1">
        <v>0.06</v>
      </c>
      <c r="AJ35" s="1">
        <v>0.04</v>
      </c>
      <c r="AK35" s="1"/>
      <c r="AL35" s="1">
        <v>0.04</v>
      </c>
      <c r="AM35" s="1">
        <v>3</v>
      </c>
      <c r="AN35" s="1"/>
      <c r="AO35" s="1"/>
      <c r="AP35" s="1"/>
      <c r="AQ35" s="1"/>
      <c r="AR35" s="1"/>
      <c r="AS35" s="1"/>
      <c r="AT35" s="1"/>
      <c r="AU35" s="1"/>
      <c r="AV35" s="1"/>
      <c r="AW35" s="1"/>
      <c r="AX35" s="1"/>
      <c r="AY35" s="1"/>
      <c r="AZ35" s="1"/>
      <c r="BA35" s="1"/>
      <c r="BB35" s="1"/>
      <c r="BC35" s="1"/>
      <c r="BD35" s="1"/>
      <c r="BE35" s="1"/>
      <c r="BF35" s="1"/>
      <c r="BG35" s="1"/>
      <c r="BH35" s="1"/>
    </row>
    <row r="36" spans="1:60" x14ac:dyDescent="0.2">
      <c r="A36" s="3">
        <v>34</v>
      </c>
      <c r="B36" s="3" t="s">
        <v>343</v>
      </c>
      <c r="C36" s="3" t="s">
        <v>344</v>
      </c>
      <c r="D36" s="1"/>
      <c r="E36" s="1">
        <f t="shared" si="3"/>
        <v>9.0188531930983498</v>
      </c>
      <c r="F36" s="1">
        <f t="shared" si="4"/>
        <v>8.1339712918660307</v>
      </c>
      <c r="G36" s="1">
        <f t="shared" si="5"/>
        <v>10</v>
      </c>
      <c r="H36" s="1"/>
      <c r="I36" s="1">
        <v>0.498</v>
      </c>
      <c r="J36" s="1">
        <v>8.1339712918660307</v>
      </c>
      <c r="K36" s="1"/>
      <c r="L36" s="1"/>
      <c r="M36" s="1"/>
      <c r="N36" s="1"/>
      <c r="O36" s="1"/>
      <c r="P36" s="1"/>
      <c r="Q36" s="1"/>
      <c r="R36" s="1"/>
      <c r="S36" s="1"/>
      <c r="T36" s="1"/>
      <c r="U36" s="1"/>
      <c r="V36" s="1"/>
      <c r="W36" s="1"/>
      <c r="X36" s="1"/>
      <c r="Y36" s="1"/>
      <c r="Z36" s="1"/>
      <c r="AA36" s="1"/>
      <c r="AB36" s="1"/>
      <c r="AC36" s="1"/>
      <c r="AD36" s="1"/>
      <c r="AE36" s="1"/>
      <c r="AF36" s="1"/>
      <c r="AG36" s="1"/>
      <c r="AH36" s="1">
        <v>0</v>
      </c>
      <c r="AI36" s="1"/>
      <c r="AJ36" s="1"/>
      <c r="AK36" s="1"/>
      <c r="AL36" s="1"/>
      <c r="AM36" s="1"/>
      <c r="AN36" s="1">
        <v>10</v>
      </c>
      <c r="AO36" s="1"/>
      <c r="AP36" s="1"/>
      <c r="AQ36" s="1"/>
      <c r="AR36" s="1"/>
      <c r="AS36" s="1"/>
      <c r="AT36" s="1"/>
      <c r="AU36" s="1"/>
      <c r="AV36" s="1"/>
      <c r="AW36" s="1"/>
      <c r="AX36" s="1"/>
      <c r="AY36" s="1"/>
      <c r="AZ36" s="1"/>
      <c r="BA36" s="1"/>
      <c r="BB36" s="1"/>
      <c r="BC36" s="1"/>
      <c r="BD36" s="1"/>
      <c r="BE36" s="1"/>
      <c r="BF36" s="1"/>
      <c r="BG36" s="1"/>
      <c r="BH36" s="1"/>
    </row>
    <row r="37" spans="1:60" x14ac:dyDescent="0.2">
      <c r="A37" s="3">
        <v>35</v>
      </c>
      <c r="B37" s="3" t="s">
        <v>352</v>
      </c>
      <c r="C37" s="3" t="s">
        <v>353</v>
      </c>
      <c r="D37" s="1"/>
      <c r="E37" s="1">
        <f t="shared" si="3"/>
        <v>10</v>
      </c>
      <c r="F37" s="1">
        <f t="shared" si="4"/>
        <v>10</v>
      </c>
      <c r="G37" s="1">
        <f t="shared" si="5"/>
        <v>10</v>
      </c>
      <c r="H37" s="1"/>
      <c r="I37" s="1">
        <v>0.629</v>
      </c>
      <c r="J37" s="1">
        <v>10</v>
      </c>
      <c r="K37" s="1" t="s">
        <v>1093</v>
      </c>
      <c r="L37" s="1">
        <v>882</v>
      </c>
      <c r="M37" s="1" t="s">
        <v>1090</v>
      </c>
      <c r="N37" s="1">
        <v>2020</v>
      </c>
      <c r="O37" s="1">
        <v>10</v>
      </c>
      <c r="P37" s="1" t="s">
        <v>1091</v>
      </c>
      <c r="Q37" s="1">
        <v>90301099.092571199</v>
      </c>
      <c r="R37" s="1">
        <v>7266060.3828100003</v>
      </c>
      <c r="S37" s="1">
        <v>8.0464805587374695</v>
      </c>
      <c r="T37" s="1">
        <v>0</v>
      </c>
      <c r="U37" s="1">
        <v>0</v>
      </c>
      <c r="V37" s="1">
        <v>25613098.88281</v>
      </c>
      <c r="W37" s="1">
        <v>28.364105354413201</v>
      </c>
      <c r="X37" s="1">
        <v>0</v>
      </c>
      <c r="Y37" s="1">
        <v>0</v>
      </c>
      <c r="Z37" s="1">
        <v>-10.3306488998952</v>
      </c>
      <c r="AA37" s="1"/>
      <c r="AB37" s="1">
        <v>20.317624795675801</v>
      </c>
      <c r="AC37" s="1"/>
      <c r="AD37" s="1">
        <v>-20.317624795675801</v>
      </c>
      <c r="AE37" s="1" t="s">
        <v>1094</v>
      </c>
      <c r="AF37" s="1">
        <v>3</v>
      </c>
      <c r="AG37" s="1">
        <v>10</v>
      </c>
      <c r="AH37" s="1">
        <v>0</v>
      </c>
      <c r="AI37" s="1"/>
      <c r="AJ37" s="1"/>
      <c r="AK37" s="1"/>
      <c r="AL37" s="1"/>
      <c r="AM37" s="1"/>
      <c r="AN37" s="1">
        <v>10</v>
      </c>
      <c r="AO37" s="1"/>
      <c r="AP37" s="1"/>
      <c r="AQ37" s="1"/>
      <c r="AR37" s="1"/>
      <c r="AS37" s="1"/>
      <c r="AT37" s="1"/>
      <c r="AU37" s="1"/>
      <c r="AV37" s="1"/>
      <c r="AW37" s="1"/>
      <c r="AX37" s="1"/>
      <c r="AY37" s="1"/>
      <c r="AZ37" s="1"/>
      <c r="BA37" s="1"/>
      <c r="BB37" s="1"/>
      <c r="BC37" s="1"/>
      <c r="BD37" s="1"/>
      <c r="BE37" s="1"/>
      <c r="BF37" s="1"/>
      <c r="BG37" s="1"/>
      <c r="BH37" s="1"/>
    </row>
    <row r="38" spans="1:60" x14ac:dyDescent="0.2">
      <c r="A38" s="3">
        <v>36</v>
      </c>
      <c r="B38" s="3" t="s">
        <v>360</v>
      </c>
      <c r="C38" s="3" t="s">
        <v>361</v>
      </c>
      <c r="D38" s="1"/>
      <c r="E38" s="1">
        <f t="shared" si="3"/>
        <v>10</v>
      </c>
      <c r="F38" s="1">
        <f t="shared" si="4"/>
        <v>10</v>
      </c>
      <c r="G38" s="1">
        <f t="shared" si="5"/>
        <v>0</v>
      </c>
      <c r="H38" s="1"/>
      <c r="I38" s="1">
        <v>0.57599999999999996</v>
      </c>
      <c r="J38" s="1">
        <v>10</v>
      </c>
      <c r="K38" s="1"/>
      <c r="L38" s="1"/>
      <c r="M38" s="1"/>
      <c r="N38" s="1"/>
      <c r="O38" s="1"/>
      <c r="P38" s="1"/>
      <c r="Q38" s="1"/>
      <c r="R38" s="1"/>
      <c r="S38" s="1"/>
      <c r="T38" s="1"/>
      <c r="U38" s="1"/>
      <c r="V38" s="1"/>
      <c r="W38" s="1"/>
      <c r="X38" s="1"/>
      <c r="Y38" s="1"/>
      <c r="Z38" s="1"/>
      <c r="AA38" s="1"/>
      <c r="AB38" s="1"/>
      <c r="AC38" s="1"/>
      <c r="AD38" s="1"/>
      <c r="AE38" s="1"/>
      <c r="AF38" s="1"/>
      <c r="AG38" s="1"/>
      <c r="AH38" s="1">
        <v>0</v>
      </c>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row>
    <row r="39" spans="1:60" x14ac:dyDescent="0.2">
      <c r="A39" s="3">
        <v>37</v>
      </c>
      <c r="B39" s="3" t="s">
        <v>365</v>
      </c>
      <c r="C39" s="3" t="s">
        <v>366</v>
      </c>
      <c r="D39" s="1"/>
      <c r="E39" s="1">
        <f t="shared" si="3"/>
        <v>5.0357573089497825</v>
      </c>
      <c r="F39" s="1">
        <f t="shared" si="4"/>
        <v>5.0717703349282299</v>
      </c>
      <c r="G39" s="1">
        <f t="shared" si="5"/>
        <v>5</v>
      </c>
      <c r="H39" s="1"/>
      <c r="I39" s="1">
        <v>0.37</v>
      </c>
      <c r="J39" s="1">
        <v>5.0717703349282299</v>
      </c>
      <c r="K39" s="1"/>
      <c r="L39" s="1"/>
      <c r="M39" s="1"/>
      <c r="N39" s="1"/>
      <c r="O39" s="1"/>
      <c r="P39" s="1"/>
      <c r="Q39" s="1"/>
      <c r="R39" s="1"/>
      <c r="S39" s="1"/>
      <c r="T39" s="1"/>
      <c r="U39" s="1"/>
      <c r="V39" s="1"/>
      <c r="W39" s="1"/>
      <c r="X39" s="1"/>
      <c r="Y39" s="1"/>
      <c r="Z39" s="1"/>
      <c r="AA39" s="1"/>
      <c r="AB39" s="1"/>
      <c r="AC39" s="1"/>
      <c r="AD39" s="1"/>
      <c r="AE39" s="1"/>
      <c r="AF39" s="1"/>
      <c r="AG39" s="1"/>
      <c r="AH39" s="1">
        <v>0</v>
      </c>
      <c r="AI39" s="1">
        <v>0.08</v>
      </c>
      <c r="AJ39" s="1">
        <v>0.08</v>
      </c>
      <c r="AK39" s="1">
        <v>7.0000000000000007E-2</v>
      </c>
      <c r="AL39" s="1">
        <v>7.0000000000000007E-2</v>
      </c>
      <c r="AM39" s="1">
        <v>5</v>
      </c>
      <c r="AN39" s="1"/>
      <c r="AO39" s="1"/>
      <c r="AP39" s="1"/>
      <c r="AQ39" s="1"/>
      <c r="AR39" s="1"/>
      <c r="AS39" s="1"/>
      <c r="AT39" s="1"/>
      <c r="AU39" s="1"/>
      <c r="AV39" s="1"/>
      <c r="AW39" s="1"/>
      <c r="AX39" s="1"/>
      <c r="AY39" s="1"/>
      <c r="AZ39" s="1"/>
      <c r="BA39" s="1"/>
      <c r="BB39" s="1"/>
      <c r="BC39" s="1"/>
      <c r="BD39" s="1"/>
      <c r="BE39" s="1"/>
      <c r="BF39" s="1"/>
      <c r="BG39" s="1"/>
      <c r="BH39" s="1"/>
    </row>
    <row r="40" spans="1:60" x14ac:dyDescent="0.2">
      <c r="A40" s="3">
        <v>38</v>
      </c>
      <c r="B40" s="3" t="s">
        <v>373</v>
      </c>
      <c r="C40" s="3" t="s">
        <v>374</v>
      </c>
      <c r="D40" s="1"/>
      <c r="E40" s="1">
        <f t="shared" si="3"/>
        <v>8.2296650717703397</v>
      </c>
      <c r="F40" s="1">
        <f t="shared" si="4"/>
        <v>8.2296650717703397</v>
      </c>
      <c r="G40" s="1">
        <f t="shared" si="5"/>
        <v>0</v>
      </c>
      <c r="H40" s="1"/>
      <c r="I40" s="1">
        <v>0.502</v>
      </c>
      <c r="J40" s="1">
        <v>8.2296650717703397</v>
      </c>
      <c r="K40" s="1"/>
      <c r="L40" s="1"/>
      <c r="M40" s="1"/>
      <c r="N40" s="1"/>
      <c r="O40" s="1"/>
      <c r="P40" s="1"/>
      <c r="Q40" s="1"/>
      <c r="R40" s="1"/>
      <c r="S40" s="1"/>
      <c r="T40" s="1"/>
      <c r="U40" s="1"/>
      <c r="V40" s="1"/>
      <c r="W40" s="1"/>
      <c r="X40" s="1"/>
      <c r="Y40" s="1"/>
      <c r="Z40" s="1"/>
      <c r="AA40" s="1"/>
      <c r="AB40" s="1"/>
      <c r="AC40" s="1"/>
      <c r="AD40" s="1"/>
      <c r="AE40" s="1"/>
      <c r="AF40" s="1"/>
      <c r="AG40" s="1"/>
      <c r="AH40" s="1">
        <v>0</v>
      </c>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row>
    <row r="41" spans="1:60" x14ac:dyDescent="0.2">
      <c r="A41" s="3">
        <v>39</v>
      </c>
      <c r="B41" s="3" t="s">
        <v>377</v>
      </c>
      <c r="C41" s="3" t="s">
        <v>378</v>
      </c>
      <c r="D41" s="1"/>
      <c r="E41" s="1">
        <f t="shared" si="3"/>
        <v>4.3693144875265135</v>
      </c>
      <c r="F41" s="1">
        <f t="shared" si="4"/>
        <v>6.3636363636363598</v>
      </c>
      <c r="G41" s="1">
        <f t="shared" si="5"/>
        <v>3</v>
      </c>
      <c r="H41" s="1"/>
      <c r="I41" s="1">
        <v>0.42399999999999999</v>
      </c>
      <c r="J41" s="1">
        <v>6.3636363636363598</v>
      </c>
      <c r="K41" s="1"/>
      <c r="L41" s="1"/>
      <c r="M41" s="1"/>
      <c r="N41" s="1"/>
      <c r="O41" s="1"/>
      <c r="P41" s="1"/>
      <c r="Q41" s="1"/>
      <c r="R41" s="1"/>
      <c r="S41" s="1"/>
      <c r="T41" s="1"/>
      <c r="U41" s="1"/>
      <c r="V41" s="1"/>
      <c r="W41" s="1"/>
      <c r="X41" s="1"/>
      <c r="Y41" s="1"/>
      <c r="Z41" s="1"/>
      <c r="AA41" s="1"/>
      <c r="AB41" s="1"/>
      <c r="AC41" s="1"/>
      <c r="AD41" s="1"/>
      <c r="AE41" s="1"/>
      <c r="AF41" s="1"/>
      <c r="AG41" s="1"/>
      <c r="AH41" s="1">
        <v>0</v>
      </c>
      <c r="AI41" s="1">
        <v>0.04</v>
      </c>
      <c r="AJ41" s="1">
        <v>0.03</v>
      </c>
      <c r="AK41" s="1"/>
      <c r="AL41" s="1">
        <v>0.03</v>
      </c>
      <c r="AM41" s="1">
        <v>3</v>
      </c>
      <c r="AN41" s="1"/>
      <c r="AO41" s="1"/>
      <c r="AP41" s="1"/>
      <c r="AQ41" s="1"/>
      <c r="AR41" s="1"/>
      <c r="AS41" s="1"/>
      <c r="AT41" s="1"/>
      <c r="AU41" s="1"/>
      <c r="AV41" s="1"/>
      <c r="AW41" s="1"/>
      <c r="AX41" s="1"/>
      <c r="AY41" s="1"/>
      <c r="AZ41" s="1"/>
      <c r="BA41" s="1"/>
      <c r="BB41" s="1"/>
      <c r="BC41" s="1"/>
      <c r="BD41" s="1"/>
      <c r="BE41" s="1"/>
      <c r="BF41" s="1"/>
      <c r="BG41" s="1"/>
      <c r="BH41" s="1"/>
    </row>
    <row r="42" spans="1:60" x14ac:dyDescent="0.2">
      <c r="A42" s="3">
        <v>40</v>
      </c>
      <c r="B42" s="3" t="s">
        <v>383</v>
      </c>
      <c r="C42" s="3" t="s">
        <v>384</v>
      </c>
      <c r="D42" s="1"/>
      <c r="E42" s="1">
        <f t="shared" si="3"/>
        <v>1.8431302684842628</v>
      </c>
      <c r="F42" s="1">
        <f t="shared" si="4"/>
        <v>3.3971291866028701</v>
      </c>
      <c r="G42" s="1">
        <f t="shared" si="5"/>
        <v>1</v>
      </c>
      <c r="H42" s="1"/>
      <c r="I42" s="1">
        <v>0.3</v>
      </c>
      <c r="J42" s="1">
        <v>3.3971291866028701</v>
      </c>
      <c r="K42" s="1"/>
      <c r="L42" s="1"/>
      <c r="M42" s="1"/>
      <c r="N42" s="1"/>
      <c r="O42" s="1"/>
      <c r="P42" s="1"/>
      <c r="Q42" s="1"/>
      <c r="R42" s="1"/>
      <c r="S42" s="1"/>
      <c r="T42" s="1"/>
      <c r="U42" s="1"/>
      <c r="V42" s="1"/>
      <c r="W42" s="1"/>
      <c r="X42" s="1"/>
      <c r="Y42" s="1"/>
      <c r="Z42" s="1"/>
      <c r="AA42" s="1"/>
      <c r="AB42" s="1"/>
      <c r="AC42" s="1"/>
      <c r="AD42" s="1"/>
      <c r="AE42" s="1"/>
      <c r="AF42" s="1"/>
      <c r="AG42" s="1"/>
      <c r="AH42" s="1">
        <v>0</v>
      </c>
      <c r="AI42" s="1">
        <v>0.01</v>
      </c>
      <c r="AJ42" s="1">
        <v>0</v>
      </c>
      <c r="AK42" s="1">
        <v>-0.01</v>
      </c>
      <c r="AL42" s="1">
        <v>-0.01</v>
      </c>
      <c r="AM42" s="1">
        <v>1</v>
      </c>
      <c r="AN42" s="1"/>
      <c r="AO42" s="1"/>
      <c r="AP42" s="1"/>
      <c r="AQ42" s="1"/>
      <c r="AR42" s="1"/>
      <c r="AS42" s="1"/>
      <c r="AT42" s="1"/>
      <c r="AU42" s="1"/>
      <c r="AV42" s="1"/>
      <c r="AW42" s="1"/>
      <c r="AX42" s="1"/>
      <c r="AY42" s="1"/>
      <c r="AZ42" s="1"/>
      <c r="BA42" s="1"/>
      <c r="BB42" s="1"/>
      <c r="BC42" s="1"/>
      <c r="BD42" s="1"/>
      <c r="BE42" s="1"/>
      <c r="BF42" s="1"/>
      <c r="BG42" s="1"/>
      <c r="BH42" s="1"/>
    </row>
    <row r="43" spans="1:60" x14ac:dyDescent="0.2">
      <c r="A43" s="3">
        <v>41</v>
      </c>
      <c r="B43" s="3" t="s">
        <v>390</v>
      </c>
      <c r="C43" s="3" t="s">
        <v>391</v>
      </c>
      <c r="D43" s="1"/>
      <c r="E43" s="1">
        <f t="shared" si="3"/>
        <v>4.3301435406698596</v>
      </c>
      <c r="F43" s="1">
        <f t="shared" si="4"/>
        <v>4.3301435406698596</v>
      </c>
      <c r="G43" s="1">
        <f t="shared" si="5"/>
        <v>0</v>
      </c>
      <c r="H43" s="1"/>
      <c r="I43" s="1">
        <v>0.33900000000000002</v>
      </c>
      <c r="J43" s="1">
        <v>4.3301435406698596</v>
      </c>
      <c r="K43" s="1"/>
      <c r="L43" s="1"/>
      <c r="M43" s="1"/>
      <c r="N43" s="1"/>
      <c r="O43" s="1"/>
      <c r="P43" s="1"/>
      <c r="Q43" s="1"/>
      <c r="R43" s="1"/>
      <c r="S43" s="1"/>
      <c r="T43" s="1"/>
      <c r="U43" s="1"/>
      <c r="V43" s="1"/>
      <c r="W43" s="1"/>
      <c r="X43" s="1"/>
      <c r="Y43" s="1"/>
      <c r="Z43" s="1"/>
      <c r="AA43" s="1"/>
      <c r="AB43" s="1"/>
      <c r="AC43" s="1"/>
      <c r="AD43" s="1"/>
      <c r="AE43" s="1"/>
      <c r="AF43" s="1"/>
      <c r="AG43" s="1"/>
      <c r="AH43" s="1">
        <v>0</v>
      </c>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row>
    <row r="44" spans="1:60" x14ac:dyDescent="0.2">
      <c r="A44" s="3">
        <v>42</v>
      </c>
      <c r="B44" s="3" t="s">
        <v>394</v>
      </c>
      <c r="C44" s="3" t="s">
        <v>395</v>
      </c>
      <c r="D44" s="1"/>
      <c r="E44" s="1">
        <f t="shared" si="3"/>
        <v>1.4591732600588629</v>
      </c>
      <c r="F44" s="1">
        <f t="shared" si="4"/>
        <v>2.12918660287081</v>
      </c>
      <c r="G44" s="1">
        <f t="shared" si="5"/>
        <v>1</v>
      </c>
      <c r="H44" s="1"/>
      <c r="I44" s="1">
        <v>0.247</v>
      </c>
      <c r="J44" s="1">
        <v>2.12918660287081</v>
      </c>
      <c r="K44" s="1"/>
      <c r="L44" s="1"/>
      <c r="M44" s="1"/>
      <c r="N44" s="1"/>
      <c r="O44" s="1"/>
      <c r="P44" s="1"/>
      <c r="Q44" s="1"/>
      <c r="R44" s="1"/>
      <c r="S44" s="1"/>
      <c r="T44" s="1"/>
      <c r="U44" s="1"/>
      <c r="V44" s="1"/>
      <c r="W44" s="1"/>
      <c r="X44" s="1"/>
      <c r="Y44" s="1"/>
      <c r="Z44" s="1"/>
      <c r="AA44" s="1"/>
      <c r="AB44" s="1"/>
      <c r="AC44" s="1"/>
      <c r="AD44" s="1"/>
      <c r="AE44" s="1"/>
      <c r="AF44" s="1"/>
      <c r="AG44" s="1"/>
      <c r="AH44" s="1">
        <v>0</v>
      </c>
      <c r="AI44" s="1">
        <v>-0.01</v>
      </c>
      <c r="AJ44" s="1">
        <v>0.04</v>
      </c>
      <c r="AK44" s="1">
        <v>0.01</v>
      </c>
      <c r="AL44" s="1">
        <v>0.01</v>
      </c>
      <c r="AM44" s="1">
        <v>1</v>
      </c>
      <c r="AN44" s="1"/>
      <c r="AO44" s="1"/>
      <c r="AP44" s="1"/>
      <c r="AQ44" s="1"/>
      <c r="AR44" s="1"/>
      <c r="AS44" s="1"/>
      <c r="AT44" s="1"/>
      <c r="AU44" s="1"/>
      <c r="AV44" s="1"/>
      <c r="AW44" s="1"/>
      <c r="AX44" s="1"/>
      <c r="AY44" s="1"/>
      <c r="AZ44" s="1"/>
      <c r="BA44" s="1"/>
      <c r="BB44" s="1"/>
      <c r="BC44" s="1"/>
      <c r="BD44" s="1"/>
      <c r="BE44" s="1"/>
      <c r="BF44" s="1"/>
      <c r="BG44" s="1"/>
      <c r="BH44" s="1"/>
    </row>
    <row r="45" spans="1:60" x14ac:dyDescent="0.2">
      <c r="A45" s="3">
        <v>43</v>
      </c>
      <c r="B45" s="3" t="s">
        <v>401</v>
      </c>
      <c r="C45" s="3" t="s">
        <v>402</v>
      </c>
      <c r="D45" s="1"/>
      <c r="E45" s="1">
        <f t="shared" si="3"/>
        <v>3</v>
      </c>
      <c r="F45" s="1">
        <f t="shared" si="4"/>
        <v>0</v>
      </c>
      <c r="G45" s="1">
        <f t="shared" si="5"/>
        <v>3</v>
      </c>
      <c r="H45" s="1"/>
      <c r="I45" s="1">
        <v>0.14199999999999999</v>
      </c>
      <c r="J45" s="1">
        <v>0</v>
      </c>
      <c r="K45" s="1"/>
      <c r="L45" s="1"/>
      <c r="M45" s="1"/>
      <c r="N45" s="1"/>
      <c r="O45" s="1"/>
      <c r="P45" s="1"/>
      <c r="Q45" s="1"/>
      <c r="R45" s="1"/>
      <c r="S45" s="1"/>
      <c r="T45" s="1"/>
      <c r="U45" s="1"/>
      <c r="V45" s="1"/>
      <c r="W45" s="1"/>
      <c r="X45" s="1"/>
      <c r="Y45" s="1"/>
      <c r="Z45" s="1"/>
      <c r="AA45" s="1"/>
      <c r="AB45" s="1"/>
      <c r="AC45" s="1"/>
      <c r="AD45" s="1"/>
      <c r="AE45" s="1"/>
      <c r="AF45" s="1"/>
      <c r="AG45" s="1"/>
      <c r="AH45" s="1">
        <v>0</v>
      </c>
      <c r="AI45" s="1">
        <v>0.08</v>
      </c>
      <c r="AJ45" s="1">
        <v>0.06</v>
      </c>
      <c r="AK45" s="1">
        <v>0.05</v>
      </c>
      <c r="AL45" s="1">
        <v>0.05</v>
      </c>
      <c r="AM45" s="1">
        <v>3</v>
      </c>
      <c r="AN45" s="1"/>
      <c r="AO45" s="1"/>
      <c r="AP45" s="1"/>
      <c r="AQ45" s="1"/>
      <c r="AR45" s="1"/>
      <c r="AS45" s="1"/>
      <c r="AT45" s="1"/>
      <c r="AU45" s="1"/>
      <c r="AV45" s="1"/>
      <c r="AW45" s="1"/>
      <c r="AX45" s="1"/>
      <c r="AY45" s="1"/>
      <c r="AZ45" s="1"/>
      <c r="BA45" s="1"/>
      <c r="BB45" s="1"/>
      <c r="BC45" s="1"/>
      <c r="BD45" s="1"/>
      <c r="BE45" s="1"/>
      <c r="BF45" s="1"/>
      <c r="BG45" s="1"/>
      <c r="BH45" s="1"/>
    </row>
    <row r="46" spans="1:60" x14ac:dyDescent="0.2">
      <c r="A46" s="3">
        <v>44</v>
      </c>
      <c r="B46" s="3" t="s">
        <v>406</v>
      </c>
      <c r="C46" s="3" t="s">
        <v>407</v>
      </c>
      <c r="D46" s="1"/>
      <c r="E46" s="1">
        <f t="shared" si="3"/>
        <v>3</v>
      </c>
      <c r="F46" s="1">
        <f t="shared" si="4"/>
        <v>0</v>
      </c>
      <c r="G46" s="1">
        <f t="shared" si="5"/>
        <v>3</v>
      </c>
      <c r="H46" s="1"/>
      <c r="I46" s="1">
        <v>0.111</v>
      </c>
      <c r="J46" s="1">
        <v>0</v>
      </c>
      <c r="K46" s="1"/>
      <c r="L46" s="1"/>
      <c r="M46" s="1"/>
      <c r="N46" s="1"/>
      <c r="O46" s="1"/>
      <c r="P46" s="1"/>
      <c r="Q46" s="1"/>
      <c r="R46" s="1"/>
      <c r="S46" s="1"/>
      <c r="T46" s="1"/>
      <c r="U46" s="1"/>
      <c r="V46" s="1"/>
      <c r="W46" s="1"/>
      <c r="X46" s="1"/>
      <c r="Y46" s="1"/>
      <c r="Z46" s="1"/>
      <c r="AA46" s="1"/>
      <c r="AB46" s="1"/>
      <c r="AC46" s="1"/>
      <c r="AD46" s="1"/>
      <c r="AE46" s="1"/>
      <c r="AF46" s="1"/>
      <c r="AG46" s="1"/>
      <c r="AH46" s="1">
        <v>0</v>
      </c>
      <c r="AI46" s="1">
        <v>0.05</v>
      </c>
      <c r="AJ46" s="1">
        <v>0.04</v>
      </c>
      <c r="AK46" s="1">
        <v>0.04</v>
      </c>
      <c r="AL46" s="1">
        <v>0.04</v>
      </c>
      <c r="AM46" s="1">
        <v>3</v>
      </c>
      <c r="AN46" s="1"/>
      <c r="AO46" s="1"/>
      <c r="AP46" s="1"/>
      <c r="AQ46" s="1"/>
      <c r="AR46" s="1"/>
      <c r="AS46" s="1"/>
      <c r="AT46" s="1"/>
      <c r="AU46" s="1"/>
      <c r="AV46" s="1"/>
      <c r="AW46" s="1"/>
      <c r="AX46" s="1"/>
      <c r="AY46" s="1"/>
      <c r="AZ46" s="1"/>
      <c r="BA46" s="1"/>
      <c r="BB46" s="1"/>
      <c r="BC46" s="1"/>
      <c r="BD46" s="1"/>
      <c r="BE46" s="1"/>
      <c r="BF46" s="1"/>
      <c r="BG46" s="1"/>
      <c r="BH46" s="1"/>
    </row>
    <row r="47" spans="1:60" x14ac:dyDescent="0.2">
      <c r="A47" s="3">
        <v>45</v>
      </c>
      <c r="B47" s="3" t="s">
        <v>412</v>
      </c>
      <c r="C47" s="3" t="s">
        <v>413</v>
      </c>
      <c r="D47" s="1"/>
      <c r="E47" s="1">
        <f t="shared" si="3"/>
        <v>4.9760190464104159</v>
      </c>
      <c r="F47" s="1">
        <f t="shared" si="4"/>
        <v>8.2535885167464098</v>
      </c>
      <c r="G47" s="1">
        <f t="shared" si="5"/>
        <v>3</v>
      </c>
      <c r="H47" s="1"/>
      <c r="I47" s="1">
        <v>0.503</v>
      </c>
      <c r="J47" s="1">
        <v>8.2535885167464098</v>
      </c>
      <c r="K47" s="1"/>
      <c r="L47" s="1"/>
      <c r="M47" s="1"/>
      <c r="N47" s="1"/>
      <c r="O47" s="1"/>
      <c r="P47" s="1"/>
      <c r="Q47" s="1"/>
      <c r="R47" s="1"/>
      <c r="S47" s="1"/>
      <c r="T47" s="1"/>
      <c r="U47" s="1"/>
      <c r="V47" s="1"/>
      <c r="W47" s="1"/>
      <c r="X47" s="1"/>
      <c r="Y47" s="1"/>
      <c r="Z47" s="1"/>
      <c r="AA47" s="1"/>
      <c r="AB47" s="1"/>
      <c r="AC47" s="1"/>
      <c r="AD47" s="1"/>
      <c r="AE47" s="1"/>
      <c r="AF47" s="1"/>
      <c r="AG47" s="1"/>
      <c r="AH47" s="1">
        <v>0</v>
      </c>
      <c r="AI47" s="1">
        <v>0.05</v>
      </c>
      <c r="AJ47" s="1">
        <v>0.04</v>
      </c>
      <c r="AK47" s="1"/>
      <c r="AL47" s="1">
        <v>0.04</v>
      </c>
      <c r="AM47" s="1">
        <v>3</v>
      </c>
      <c r="AN47" s="1"/>
      <c r="AO47" s="1"/>
      <c r="AP47" s="1"/>
      <c r="AQ47" s="1"/>
      <c r="AR47" s="1"/>
      <c r="AS47" s="1"/>
      <c r="AT47" s="1"/>
      <c r="AU47" s="1"/>
      <c r="AV47" s="1"/>
      <c r="AW47" s="1"/>
      <c r="AX47" s="1"/>
      <c r="AY47" s="1"/>
      <c r="AZ47" s="1"/>
      <c r="BA47" s="1"/>
      <c r="BB47" s="1"/>
      <c r="BC47" s="1"/>
      <c r="BD47" s="1"/>
      <c r="BE47" s="1"/>
      <c r="BF47" s="1"/>
      <c r="BG47" s="1"/>
      <c r="BH47" s="1"/>
    </row>
    <row r="48" spans="1:60" x14ac:dyDescent="0.2">
      <c r="A48" s="3">
        <v>46</v>
      </c>
      <c r="B48" s="3" t="s">
        <v>416</v>
      </c>
      <c r="C48" s="3" t="s">
        <v>417</v>
      </c>
      <c r="D48" s="1"/>
      <c r="E48" s="1">
        <f t="shared" si="3"/>
        <v>5.5023923444976104</v>
      </c>
      <c r="F48" s="1">
        <f t="shared" si="4"/>
        <v>5.5023923444976104</v>
      </c>
      <c r="G48" s="1">
        <f t="shared" si="5"/>
        <v>0</v>
      </c>
      <c r="H48" s="1"/>
      <c r="I48" s="1">
        <v>0.38800000000000001</v>
      </c>
      <c r="J48" s="1">
        <v>5.5023923444976104</v>
      </c>
      <c r="K48" s="1"/>
      <c r="L48" s="1"/>
      <c r="M48" s="1"/>
      <c r="N48" s="1"/>
      <c r="O48" s="1"/>
      <c r="P48" s="1"/>
      <c r="Q48" s="1"/>
      <c r="R48" s="1"/>
      <c r="S48" s="1"/>
      <c r="T48" s="1"/>
      <c r="U48" s="1"/>
      <c r="V48" s="1"/>
      <c r="W48" s="1"/>
      <c r="X48" s="1"/>
      <c r="Y48" s="1"/>
      <c r="Z48" s="1"/>
      <c r="AA48" s="1"/>
      <c r="AB48" s="1"/>
      <c r="AC48" s="1"/>
      <c r="AD48" s="1"/>
      <c r="AE48" s="1"/>
      <c r="AF48" s="1"/>
      <c r="AG48" s="1"/>
      <c r="AH48" s="1">
        <v>0</v>
      </c>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row>
    <row r="49" spans="1:60" x14ac:dyDescent="0.2">
      <c r="A49" s="3">
        <v>47</v>
      </c>
      <c r="B49" s="3" t="s">
        <v>421</v>
      </c>
      <c r="C49" s="3" t="s">
        <v>422</v>
      </c>
      <c r="D49" s="1"/>
      <c r="E49" s="1">
        <f t="shared" si="3"/>
        <v>1</v>
      </c>
      <c r="F49" s="1">
        <f t="shared" si="4"/>
        <v>0</v>
      </c>
      <c r="G49" s="1">
        <f t="shared" si="5"/>
        <v>1</v>
      </c>
      <c r="H49" s="1"/>
      <c r="I49" s="1">
        <v>0.14000000000000001</v>
      </c>
      <c r="J49" s="1">
        <v>0</v>
      </c>
      <c r="K49" s="1"/>
      <c r="L49" s="1"/>
      <c r="M49" s="1"/>
      <c r="N49" s="1"/>
      <c r="O49" s="1"/>
      <c r="P49" s="1"/>
      <c r="Q49" s="1"/>
      <c r="R49" s="1"/>
      <c r="S49" s="1"/>
      <c r="T49" s="1"/>
      <c r="U49" s="1"/>
      <c r="V49" s="1"/>
      <c r="W49" s="1"/>
      <c r="X49" s="1"/>
      <c r="Y49" s="1"/>
      <c r="Z49" s="1"/>
      <c r="AA49" s="1"/>
      <c r="AB49" s="1"/>
      <c r="AC49" s="1"/>
      <c r="AD49" s="1"/>
      <c r="AE49" s="1"/>
      <c r="AF49" s="1"/>
      <c r="AG49" s="1"/>
      <c r="AH49" s="1">
        <v>0</v>
      </c>
      <c r="AI49" s="1">
        <v>0.02</v>
      </c>
      <c r="AJ49" s="1">
        <v>0.01</v>
      </c>
      <c r="AK49" s="1">
        <v>0.01</v>
      </c>
      <c r="AL49" s="1">
        <v>0.01</v>
      </c>
      <c r="AM49" s="1">
        <v>1</v>
      </c>
      <c r="AN49" s="1"/>
      <c r="AO49" s="1"/>
      <c r="AP49" s="1"/>
      <c r="AQ49" s="1"/>
      <c r="AR49" s="1"/>
      <c r="AS49" s="1"/>
      <c r="AT49" s="1"/>
      <c r="AU49" s="1"/>
      <c r="AV49" s="1"/>
      <c r="AW49" s="1"/>
      <c r="AX49" s="1"/>
      <c r="AY49" s="1"/>
      <c r="AZ49" s="1"/>
      <c r="BA49" s="1"/>
      <c r="BB49" s="1"/>
      <c r="BC49" s="1"/>
      <c r="BD49" s="1"/>
      <c r="BE49" s="1"/>
      <c r="BF49" s="1"/>
      <c r="BG49" s="1"/>
      <c r="BH49" s="1"/>
    </row>
    <row r="50" spans="1:60" x14ac:dyDescent="0.2">
      <c r="A50" s="3">
        <v>48</v>
      </c>
      <c r="B50" s="3" t="s">
        <v>427</v>
      </c>
      <c r="C50" s="3" t="s">
        <v>428</v>
      </c>
      <c r="D50" s="1"/>
      <c r="E50" s="1">
        <f t="shared" si="3"/>
        <v>3.7121293493384764</v>
      </c>
      <c r="F50" s="1">
        <f t="shared" si="4"/>
        <v>4.5933014354067003</v>
      </c>
      <c r="G50" s="1">
        <f t="shared" si="5"/>
        <v>3</v>
      </c>
      <c r="H50" s="1"/>
      <c r="I50" s="1">
        <v>0.35</v>
      </c>
      <c r="J50" s="1">
        <v>4.5933014354067003</v>
      </c>
      <c r="K50" s="1"/>
      <c r="L50" s="1"/>
      <c r="M50" s="1"/>
      <c r="N50" s="1"/>
      <c r="O50" s="1"/>
      <c r="P50" s="1"/>
      <c r="Q50" s="1"/>
      <c r="R50" s="1"/>
      <c r="S50" s="1"/>
      <c r="T50" s="1"/>
      <c r="U50" s="1"/>
      <c r="V50" s="1"/>
      <c r="W50" s="1"/>
      <c r="X50" s="1"/>
      <c r="Y50" s="1"/>
      <c r="Z50" s="1"/>
      <c r="AA50" s="1"/>
      <c r="AB50" s="1"/>
      <c r="AC50" s="1"/>
      <c r="AD50" s="1"/>
      <c r="AE50" s="1"/>
      <c r="AF50" s="1"/>
      <c r="AG50" s="1"/>
      <c r="AH50" s="1">
        <v>0</v>
      </c>
      <c r="AI50" s="1">
        <v>0.05</v>
      </c>
      <c r="AJ50" s="1">
        <v>0.03</v>
      </c>
      <c r="AK50" s="1">
        <v>0.05</v>
      </c>
      <c r="AL50" s="1">
        <v>0.05</v>
      </c>
      <c r="AM50" s="1">
        <v>3</v>
      </c>
      <c r="AN50" s="1"/>
      <c r="AO50" s="1"/>
      <c r="AP50" s="1"/>
      <c r="AQ50" s="1"/>
      <c r="AR50" s="1"/>
      <c r="AS50" s="1"/>
      <c r="AT50" s="1"/>
      <c r="AU50" s="1"/>
      <c r="AV50" s="1"/>
      <c r="AW50" s="1"/>
      <c r="AX50" s="1"/>
      <c r="AY50" s="1"/>
      <c r="AZ50" s="1"/>
      <c r="BA50" s="1"/>
      <c r="BB50" s="1"/>
      <c r="BC50" s="1"/>
      <c r="BD50" s="1"/>
      <c r="BE50" s="1"/>
      <c r="BF50" s="1"/>
      <c r="BG50" s="1"/>
      <c r="BH50" s="1"/>
    </row>
    <row r="51" spans="1:60" x14ac:dyDescent="0.2">
      <c r="A51" s="3">
        <v>49</v>
      </c>
      <c r="B51" s="3" t="s">
        <v>432</v>
      </c>
      <c r="C51" s="3" t="s">
        <v>433</v>
      </c>
      <c r="D51" s="1"/>
      <c r="E51" s="1">
        <f t="shared" si="3"/>
        <v>1.7223551251218461</v>
      </c>
      <c r="F51" s="1">
        <f t="shared" si="4"/>
        <v>2.9665071770334901</v>
      </c>
      <c r="G51" s="1">
        <f t="shared" si="5"/>
        <v>1</v>
      </c>
      <c r="H51" s="1"/>
      <c r="I51" s="1">
        <v>0.28199999999999997</v>
      </c>
      <c r="J51" s="1">
        <v>2.9665071770334901</v>
      </c>
      <c r="K51" s="1"/>
      <c r="L51" s="1"/>
      <c r="M51" s="1"/>
      <c r="N51" s="1"/>
      <c r="O51" s="1"/>
      <c r="P51" s="1"/>
      <c r="Q51" s="1"/>
      <c r="R51" s="1"/>
      <c r="S51" s="1"/>
      <c r="T51" s="1"/>
      <c r="U51" s="1"/>
      <c r="V51" s="1"/>
      <c r="W51" s="1"/>
      <c r="X51" s="1"/>
      <c r="Y51" s="1"/>
      <c r="Z51" s="1"/>
      <c r="AA51" s="1"/>
      <c r="AB51" s="1"/>
      <c r="AC51" s="1"/>
      <c r="AD51" s="1"/>
      <c r="AE51" s="1"/>
      <c r="AF51" s="1"/>
      <c r="AG51" s="1"/>
      <c r="AH51" s="1">
        <v>0</v>
      </c>
      <c r="AI51" s="1">
        <v>0.01</v>
      </c>
      <c r="AJ51" s="1">
        <v>0</v>
      </c>
      <c r="AK51" s="1"/>
      <c r="AL51" s="1">
        <v>0</v>
      </c>
      <c r="AM51" s="1">
        <v>1</v>
      </c>
      <c r="AN51" s="1"/>
      <c r="AO51" s="1"/>
      <c r="AP51" s="1"/>
      <c r="AQ51" s="1"/>
      <c r="AR51" s="1"/>
      <c r="AS51" s="1"/>
      <c r="AT51" s="1"/>
      <c r="AU51" s="1"/>
      <c r="AV51" s="1"/>
      <c r="AW51" s="1"/>
      <c r="AX51" s="1"/>
      <c r="AY51" s="1"/>
      <c r="AZ51" s="1"/>
      <c r="BA51" s="1"/>
      <c r="BB51" s="1"/>
      <c r="BC51" s="1"/>
      <c r="BD51" s="1"/>
      <c r="BE51" s="1"/>
      <c r="BF51" s="1"/>
      <c r="BG51" s="1"/>
      <c r="BH51" s="1"/>
    </row>
    <row r="52" spans="1:60" x14ac:dyDescent="0.2">
      <c r="A52" s="3">
        <v>50</v>
      </c>
      <c r="B52" s="3" t="s">
        <v>438</v>
      </c>
      <c r="C52" s="3" t="s">
        <v>439</v>
      </c>
      <c r="D52" s="1"/>
      <c r="E52" s="1">
        <f t="shared" si="3"/>
        <v>3.9281830417598136</v>
      </c>
      <c r="F52" s="1">
        <f t="shared" si="4"/>
        <v>5.1435406698564599</v>
      </c>
      <c r="G52" s="1">
        <f t="shared" si="5"/>
        <v>3</v>
      </c>
      <c r="H52" s="1"/>
      <c r="I52" s="1">
        <v>0.373</v>
      </c>
      <c r="J52" s="1">
        <v>5.1435406698564599</v>
      </c>
      <c r="K52" s="1"/>
      <c r="L52" s="1"/>
      <c r="M52" s="1"/>
      <c r="N52" s="1"/>
      <c r="O52" s="1"/>
      <c r="P52" s="1"/>
      <c r="Q52" s="1"/>
      <c r="R52" s="1"/>
      <c r="S52" s="1"/>
      <c r="T52" s="1"/>
      <c r="U52" s="1"/>
      <c r="V52" s="1"/>
      <c r="W52" s="1"/>
      <c r="X52" s="1"/>
      <c r="Y52" s="1"/>
      <c r="Z52" s="1"/>
      <c r="AA52" s="1"/>
      <c r="AB52" s="1"/>
      <c r="AC52" s="1"/>
      <c r="AD52" s="1"/>
      <c r="AE52" s="1"/>
      <c r="AF52" s="1"/>
      <c r="AG52" s="1"/>
      <c r="AH52" s="1">
        <v>0</v>
      </c>
      <c r="AI52" s="1">
        <v>0.05</v>
      </c>
      <c r="AJ52" s="1">
        <v>0.03</v>
      </c>
      <c r="AK52" s="1">
        <v>0.03</v>
      </c>
      <c r="AL52" s="1">
        <v>0.03</v>
      </c>
      <c r="AM52" s="1">
        <v>3</v>
      </c>
      <c r="AN52" s="1"/>
      <c r="AO52" s="1"/>
      <c r="AP52" s="1"/>
      <c r="AQ52" s="1"/>
      <c r="AR52" s="1"/>
      <c r="AS52" s="1"/>
      <c r="AT52" s="1"/>
      <c r="AU52" s="1"/>
      <c r="AV52" s="1"/>
      <c r="AW52" s="1"/>
      <c r="AX52" s="1"/>
      <c r="AY52" s="1"/>
      <c r="AZ52" s="1"/>
      <c r="BA52" s="1"/>
      <c r="BB52" s="1"/>
      <c r="BC52" s="1"/>
      <c r="BD52" s="1"/>
      <c r="BE52" s="1"/>
      <c r="BF52" s="1"/>
      <c r="BG52" s="1"/>
      <c r="BH52" s="1"/>
    </row>
    <row r="53" spans="1:60" x14ac:dyDescent="0.2">
      <c r="A53" s="3">
        <v>51</v>
      </c>
      <c r="B53" s="3" t="s">
        <v>443</v>
      </c>
      <c r="C53" s="3" t="s">
        <v>444</v>
      </c>
      <c r="D53" s="1"/>
      <c r="E53" s="1">
        <f t="shared" si="3"/>
        <v>1.3394992994420489</v>
      </c>
      <c r="F53" s="1">
        <f t="shared" si="4"/>
        <v>1.79425837320574</v>
      </c>
      <c r="G53" s="1">
        <f t="shared" si="5"/>
        <v>1</v>
      </c>
      <c r="H53" s="1"/>
      <c r="I53" s="1">
        <v>0.23300000000000001</v>
      </c>
      <c r="J53" s="1">
        <v>1.79425837320574</v>
      </c>
      <c r="K53" s="1"/>
      <c r="L53" s="1"/>
      <c r="M53" s="1"/>
      <c r="N53" s="1"/>
      <c r="O53" s="1"/>
      <c r="P53" s="1"/>
      <c r="Q53" s="1"/>
      <c r="R53" s="1"/>
      <c r="S53" s="1"/>
      <c r="T53" s="1"/>
      <c r="U53" s="1"/>
      <c r="V53" s="1"/>
      <c r="W53" s="1"/>
      <c r="X53" s="1"/>
      <c r="Y53" s="1"/>
      <c r="Z53" s="1"/>
      <c r="AA53" s="1"/>
      <c r="AB53" s="1"/>
      <c r="AC53" s="1"/>
      <c r="AD53" s="1"/>
      <c r="AE53" s="1"/>
      <c r="AF53" s="1"/>
      <c r="AG53" s="1"/>
      <c r="AH53" s="1">
        <v>0</v>
      </c>
      <c r="AI53" s="1">
        <v>0.01</v>
      </c>
      <c r="AJ53" s="1">
        <v>0</v>
      </c>
      <c r="AK53" s="1">
        <v>0</v>
      </c>
      <c r="AL53" s="1">
        <v>0</v>
      </c>
      <c r="AM53" s="1">
        <v>1</v>
      </c>
      <c r="AN53" s="1"/>
      <c r="AO53" s="1"/>
      <c r="AP53" s="1"/>
      <c r="AQ53" s="1"/>
      <c r="AR53" s="1"/>
      <c r="AS53" s="1"/>
      <c r="AT53" s="1"/>
      <c r="AU53" s="1"/>
      <c r="AV53" s="1"/>
      <c r="AW53" s="1"/>
      <c r="AX53" s="1"/>
      <c r="AY53" s="1"/>
      <c r="AZ53" s="1"/>
      <c r="BA53" s="1"/>
      <c r="BB53" s="1"/>
      <c r="BC53" s="1"/>
      <c r="BD53" s="1"/>
      <c r="BE53" s="1"/>
      <c r="BF53" s="1"/>
      <c r="BG53" s="1"/>
      <c r="BH53" s="1"/>
    </row>
    <row r="54" spans="1:60" x14ac:dyDescent="0.2">
      <c r="A54" s="3">
        <v>52</v>
      </c>
      <c r="B54" s="3" t="s">
        <v>449</v>
      </c>
      <c r="C54" s="3" t="s">
        <v>450</v>
      </c>
      <c r="D54" s="1"/>
      <c r="E54" s="1">
        <f t="shared" si="3"/>
        <v>10</v>
      </c>
      <c r="F54" s="1">
        <f t="shared" si="4"/>
        <v>10</v>
      </c>
      <c r="G54" s="1">
        <f t="shared" si="5"/>
        <v>0</v>
      </c>
      <c r="H54" s="1"/>
      <c r="I54" s="1">
        <v>0.67700000000000005</v>
      </c>
      <c r="J54" s="1">
        <v>10</v>
      </c>
      <c r="K54" s="1"/>
      <c r="L54" s="1"/>
      <c r="M54" s="1"/>
      <c r="N54" s="1"/>
      <c r="O54" s="1"/>
      <c r="P54" s="1"/>
      <c r="Q54" s="1"/>
      <c r="R54" s="1"/>
      <c r="S54" s="1"/>
      <c r="T54" s="1"/>
      <c r="U54" s="1"/>
      <c r="V54" s="1"/>
      <c r="W54" s="1"/>
      <c r="X54" s="1"/>
      <c r="Y54" s="1"/>
      <c r="Z54" s="1"/>
      <c r="AA54" s="1"/>
      <c r="AB54" s="1"/>
      <c r="AC54" s="1"/>
      <c r="AD54" s="1"/>
      <c r="AE54" s="1"/>
      <c r="AF54" s="1"/>
      <c r="AG54" s="1"/>
      <c r="AH54" s="1">
        <v>0</v>
      </c>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row>
    <row r="55" spans="1:60" x14ac:dyDescent="0.2">
      <c r="A55" s="3">
        <v>53</v>
      </c>
      <c r="B55" s="3" t="s">
        <v>453</v>
      </c>
      <c r="C55" s="3" t="s">
        <v>454</v>
      </c>
      <c r="D55" s="1"/>
      <c r="E55" s="1">
        <f t="shared" si="3"/>
        <v>3</v>
      </c>
      <c r="F55" s="1">
        <f t="shared" si="4"/>
        <v>0</v>
      </c>
      <c r="G55" s="1">
        <f t="shared" si="5"/>
        <v>3</v>
      </c>
      <c r="H55" s="1"/>
      <c r="I55" s="1">
        <v>0.151</v>
      </c>
      <c r="J55" s="1">
        <v>0</v>
      </c>
      <c r="K55" s="1"/>
      <c r="L55" s="1"/>
      <c r="M55" s="1"/>
      <c r="N55" s="1"/>
      <c r="O55" s="1"/>
      <c r="P55" s="1"/>
      <c r="Q55" s="1"/>
      <c r="R55" s="1"/>
      <c r="S55" s="1"/>
      <c r="T55" s="1"/>
      <c r="U55" s="1"/>
      <c r="V55" s="1"/>
      <c r="W55" s="1"/>
      <c r="X55" s="1"/>
      <c r="Y55" s="1"/>
      <c r="Z55" s="1"/>
      <c r="AA55" s="1"/>
      <c r="AB55" s="1"/>
      <c r="AC55" s="1"/>
      <c r="AD55" s="1"/>
      <c r="AE55" s="1"/>
      <c r="AF55" s="1"/>
      <c r="AG55" s="1"/>
      <c r="AH55" s="1">
        <v>0</v>
      </c>
      <c r="AI55" s="1">
        <v>0.04</v>
      </c>
      <c r="AJ55" s="1">
        <v>0.04</v>
      </c>
      <c r="AK55" s="1">
        <v>0.03</v>
      </c>
      <c r="AL55" s="1">
        <v>0.03</v>
      </c>
      <c r="AM55" s="1">
        <v>3</v>
      </c>
      <c r="AN55" s="1"/>
      <c r="AO55" s="1"/>
      <c r="AP55" s="1"/>
      <c r="AQ55" s="1"/>
      <c r="AR55" s="1"/>
      <c r="AS55" s="1"/>
      <c r="AT55" s="1"/>
      <c r="AU55" s="1"/>
      <c r="AV55" s="1"/>
      <c r="AW55" s="1"/>
      <c r="AX55" s="1"/>
      <c r="AY55" s="1"/>
      <c r="AZ55" s="1"/>
      <c r="BA55" s="1"/>
      <c r="BB55" s="1"/>
      <c r="BC55" s="1"/>
      <c r="BD55" s="1"/>
      <c r="BE55" s="1"/>
      <c r="BF55" s="1"/>
      <c r="BG55" s="1"/>
      <c r="BH55" s="1"/>
    </row>
    <row r="56" spans="1:60" x14ac:dyDescent="0.2">
      <c r="A56" s="3">
        <v>54</v>
      </c>
      <c r="B56" s="3" t="s">
        <v>459</v>
      </c>
      <c r="C56" s="3" t="s">
        <v>460</v>
      </c>
      <c r="D56" s="1"/>
      <c r="E56" s="1">
        <f t="shared" si="3"/>
        <v>2.5973855091714055</v>
      </c>
      <c r="F56" s="1">
        <f t="shared" si="4"/>
        <v>2.2488038277512001</v>
      </c>
      <c r="G56" s="1">
        <f t="shared" si="5"/>
        <v>3</v>
      </c>
      <c r="H56" s="1"/>
      <c r="I56" s="1">
        <v>0.252</v>
      </c>
      <c r="J56" s="1">
        <v>2.2488038277512001</v>
      </c>
      <c r="K56" s="1"/>
      <c r="L56" s="1"/>
      <c r="M56" s="1"/>
      <c r="N56" s="1"/>
      <c r="O56" s="1"/>
      <c r="P56" s="1"/>
      <c r="Q56" s="1"/>
      <c r="R56" s="1"/>
      <c r="S56" s="1"/>
      <c r="T56" s="1"/>
      <c r="U56" s="1"/>
      <c r="V56" s="1"/>
      <c r="W56" s="1"/>
      <c r="X56" s="1"/>
      <c r="Y56" s="1"/>
      <c r="Z56" s="1"/>
      <c r="AA56" s="1"/>
      <c r="AB56" s="1"/>
      <c r="AC56" s="1"/>
      <c r="AD56" s="1"/>
      <c r="AE56" s="1"/>
      <c r="AF56" s="1"/>
      <c r="AG56" s="1"/>
      <c r="AH56" s="1">
        <v>0</v>
      </c>
      <c r="AI56" s="1">
        <v>0.03</v>
      </c>
      <c r="AJ56" s="1">
        <v>0.03</v>
      </c>
      <c r="AK56" s="1">
        <v>0.03</v>
      </c>
      <c r="AL56" s="1">
        <v>0.03</v>
      </c>
      <c r="AM56" s="1">
        <v>3</v>
      </c>
      <c r="AN56" s="1"/>
      <c r="AO56" s="1"/>
      <c r="AP56" s="1"/>
      <c r="AQ56" s="1"/>
      <c r="AR56" s="1"/>
      <c r="AS56" s="1"/>
      <c r="AT56" s="1"/>
      <c r="AU56" s="1"/>
      <c r="AV56" s="1"/>
      <c r="AW56" s="1"/>
      <c r="AX56" s="1"/>
      <c r="AY56" s="1"/>
      <c r="AZ56" s="1"/>
      <c r="BA56" s="1"/>
      <c r="BB56" s="1"/>
      <c r="BC56" s="1"/>
      <c r="BD56" s="1"/>
      <c r="BE56" s="1"/>
      <c r="BF56" s="1"/>
      <c r="BG56" s="1"/>
      <c r="BH56" s="1"/>
    </row>
    <row r="57" spans="1:60" x14ac:dyDescent="0.2">
      <c r="A57" s="3">
        <v>55</v>
      </c>
      <c r="B57" s="3" t="s">
        <v>465</v>
      </c>
      <c r="C57" s="3" t="s">
        <v>466</v>
      </c>
      <c r="D57" s="1"/>
      <c r="E57" s="1">
        <f t="shared" si="3"/>
        <v>10</v>
      </c>
      <c r="F57" s="1">
        <f t="shared" si="4"/>
        <v>10</v>
      </c>
      <c r="G57" s="1">
        <f t="shared" si="5"/>
        <v>10</v>
      </c>
      <c r="H57" s="1"/>
      <c r="I57" s="1">
        <v>0.64600000000000002</v>
      </c>
      <c r="J57" s="1">
        <v>10</v>
      </c>
      <c r="K57" s="1" t="s">
        <v>465</v>
      </c>
      <c r="L57" s="1">
        <v>704</v>
      </c>
      <c r="M57" s="1" t="s">
        <v>1090</v>
      </c>
      <c r="N57" s="1">
        <v>2020</v>
      </c>
      <c r="O57" s="1">
        <v>10</v>
      </c>
      <c r="P57" s="1" t="s">
        <v>1091</v>
      </c>
      <c r="Q57" s="1">
        <v>111619715.18434</v>
      </c>
      <c r="R57" s="1">
        <v>27187993.695459999</v>
      </c>
      <c r="S57" s="1">
        <v>24.357698503852099</v>
      </c>
      <c r="T57" s="1">
        <v>0</v>
      </c>
      <c r="U57" s="1">
        <v>0</v>
      </c>
      <c r="V57" s="1">
        <v>8427102.6250999998</v>
      </c>
      <c r="W57" s="1">
        <v>7.5498334780577396</v>
      </c>
      <c r="X57" s="1">
        <v>0</v>
      </c>
      <c r="Y57" s="1">
        <v>0</v>
      </c>
      <c r="Z57" s="1">
        <v>11.0281652977081</v>
      </c>
      <c r="AA57" s="1"/>
      <c r="AB57" s="1">
        <v>-17.937858355249698</v>
      </c>
      <c r="AC57" s="1"/>
      <c r="AD57" s="1">
        <v>16.807865025794399</v>
      </c>
      <c r="AE57" s="1" t="s">
        <v>1094</v>
      </c>
      <c r="AF57" s="1">
        <v>3</v>
      </c>
      <c r="AG57" s="1">
        <v>10</v>
      </c>
      <c r="AH57" s="1">
        <v>0</v>
      </c>
      <c r="AI57" s="1">
        <v>0.26</v>
      </c>
      <c r="AJ57" s="1"/>
      <c r="AK57" s="1"/>
      <c r="AL57" s="1">
        <v>0.26</v>
      </c>
      <c r="AM57" s="1">
        <v>5</v>
      </c>
      <c r="AN57" s="1">
        <v>10</v>
      </c>
      <c r="AO57" s="1"/>
      <c r="AP57" s="1"/>
      <c r="AQ57" s="1"/>
      <c r="AR57" s="1"/>
      <c r="AS57" s="1"/>
      <c r="AT57" s="1"/>
      <c r="AU57" s="1"/>
      <c r="AV57" s="1"/>
      <c r="AW57" s="1"/>
      <c r="AX57" s="1"/>
      <c r="AY57" s="1"/>
      <c r="AZ57" s="1"/>
      <c r="BA57" s="1"/>
      <c r="BB57" s="1"/>
      <c r="BC57" s="1"/>
      <c r="BD57" s="1"/>
      <c r="BE57" s="1"/>
      <c r="BF57" s="1"/>
      <c r="BG57" s="1"/>
      <c r="BH57" s="1"/>
    </row>
    <row r="58" spans="1:60" x14ac:dyDescent="0.2">
      <c r="A58" s="3">
        <v>56</v>
      </c>
      <c r="B58" s="3" t="s">
        <v>471</v>
      </c>
      <c r="C58" s="3" t="s">
        <v>472</v>
      </c>
      <c r="D58" s="1"/>
      <c r="E58" s="1">
        <f t="shared" si="3"/>
        <v>0.94083338807401651</v>
      </c>
      <c r="F58" s="1">
        <f t="shared" si="4"/>
        <v>0.88516746411483305</v>
      </c>
      <c r="G58" s="1">
        <f t="shared" si="5"/>
        <v>1</v>
      </c>
      <c r="H58" s="1"/>
      <c r="I58" s="1">
        <v>0.19500000000000001</v>
      </c>
      <c r="J58" s="1">
        <v>0.88516746411483305</v>
      </c>
      <c r="K58" s="1"/>
      <c r="L58" s="1"/>
      <c r="M58" s="1"/>
      <c r="N58" s="1"/>
      <c r="O58" s="1"/>
      <c r="P58" s="1"/>
      <c r="Q58" s="1"/>
      <c r="R58" s="1"/>
      <c r="S58" s="1"/>
      <c r="T58" s="1"/>
      <c r="U58" s="1"/>
      <c r="V58" s="1"/>
      <c r="W58" s="1"/>
      <c r="X58" s="1"/>
      <c r="Y58" s="1"/>
      <c r="Z58" s="1"/>
      <c r="AA58" s="1"/>
      <c r="AB58" s="1"/>
      <c r="AC58" s="1"/>
      <c r="AD58" s="1"/>
      <c r="AE58" s="1"/>
      <c r="AF58" s="1"/>
      <c r="AG58" s="1"/>
      <c r="AH58" s="1">
        <v>0</v>
      </c>
      <c r="AI58" s="1">
        <v>0.01</v>
      </c>
      <c r="AJ58" s="1">
        <v>0.02</v>
      </c>
      <c r="AK58" s="1">
        <v>0.02</v>
      </c>
      <c r="AL58" s="1">
        <v>0.02</v>
      </c>
      <c r="AM58" s="1">
        <v>1</v>
      </c>
      <c r="AN58" s="1"/>
      <c r="AO58" s="1"/>
      <c r="AP58" s="1"/>
      <c r="AQ58" s="1"/>
      <c r="AR58" s="1"/>
      <c r="AS58" s="1"/>
      <c r="AT58" s="1"/>
      <c r="AU58" s="1"/>
      <c r="AV58" s="1"/>
      <c r="AW58" s="1"/>
      <c r="AX58" s="1"/>
      <c r="AY58" s="1"/>
      <c r="AZ58" s="1"/>
      <c r="BA58" s="1"/>
      <c r="BB58" s="1"/>
      <c r="BC58" s="1"/>
      <c r="BD58" s="1"/>
      <c r="BE58" s="1"/>
      <c r="BF58" s="1"/>
      <c r="BG58" s="1"/>
      <c r="BH58" s="1"/>
    </row>
    <row r="59" spans="1:60" x14ac:dyDescent="0.2">
      <c r="A59" s="3">
        <v>57</v>
      </c>
      <c r="B59" s="3" t="s">
        <v>476</v>
      </c>
      <c r="C59" s="3" t="s">
        <v>477</v>
      </c>
      <c r="D59" s="1"/>
      <c r="E59" s="1">
        <f t="shared" si="3"/>
        <v>2.2145668244818646</v>
      </c>
      <c r="F59" s="1">
        <f t="shared" si="4"/>
        <v>4.9043062200956902</v>
      </c>
      <c r="G59" s="1">
        <f t="shared" si="5"/>
        <v>1</v>
      </c>
      <c r="H59" s="1"/>
      <c r="I59" s="1">
        <v>0.36299999999999999</v>
      </c>
      <c r="J59" s="1">
        <v>4.9043062200956902</v>
      </c>
      <c r="K59" s="1"/>
      <c r="L59" s="1"/>
      <c r="M59" s="1"/>
      <c r="N59" s="1"/>
      <c r="O59" s="1"/>
      <c r="P59" s="1"/>
      <c r="Q59" s="1"/>
      <c r="R59" s="1"/>
      <c r="S59" s="1"/>
      <c r="T59" s="1"/>
      <c r="U59" s="1"/>
      <c r="V59" s="1"/>
      <c r="W59" s="1"/>
      <c r="X59" s="1"/>
      <c r="Y59" s="1"/>
      <c r="Z59" s="1"/>
      <c r="AA59" s="1"/>
      <c r="AB59" s="1"/>
      <c r="AC59" s="1"/>
      <c r="AD59" s="1"/>
      <c r="AE59" s="1"/>
      <c r="AF59" s="1"/>
      <c r="AG59" s="1"/>
      <c r="AH59" s="1">
        <v>0</v>
      </c>
      <c r="AI59" s="1">
        <v>-0.01</v>
      </c>
      <c r="AJ59" s="1">
        <v>-0.01</v>
      </c>
      <c r="AK59" s="1">
        <v>-0.06</v>
      </c>
      <c r="AL59" s="1">
        <v>-0.06</v>
      </c>
      <c r="AM59" s="1">
        <v>1</v>
      </c>
      <c r="AN59" s="1"/>
      <c r="AO59" s="1"/>
      <c r="AP59" s="1"/>
      <c r="AQ59" s="1"/>
      <c r="AR59" s="1"/>
      <c r="AS59" s="1"/>
      <c r="AT59" s="1"/>
      <c r="AU59" s="1"/>
      <c r="AV59" s="1"/>
      <c r="AW59" s="1"/>
      <c r="AX59" s="1"/>
      <c r="AY59" s="1"/>
      <c r="AZ59" s="1"/>
      <c r="BA59" s="1"/>
      <c r="BB59" s="1"/>
      <c r="BC59" s="1"/>
      <c r="BD59" s="1"/>
      <c r="BE59" s="1"/>
      <c r="BF59" s="1"/>
      <c r="BG59" s="1"/>
      <c r="BH59" s="1"/>
    </row>
    <row r="60" spans="1:60" x14ac:dyDescent="0.2">
      <c r="A60" s="3">
        <v>58</v>
      </c>
      <c r="B60" s="3" t="s">
        <v>481</v>
      </c>
      <c r="C60" s="3" t="s">
        <v>482</v>
      </c>
      <c r="D60" s="1"/>
      <c r="E60" s="1">
        <f t="shared" si="3"/>
        <v>1</v>
      </c>
      <c r="F60" s="1">
        <f t="shared" si="4"/>
        <v>0</v>
      </c>
      <c r="G60" s="1">
        <f t="shared" si="5"/>
        <v>1</v>
      </c>
      <c r="H60" s="1"/>
      <c r="I60" s="1">
        <v>0.11600000000000001</v>
      </c>
      <c r="J60" s="1">
        <v>0</v>
      </c>
      <c r="K60" s="1"/>
      <c r="L60" s="1"/>
      <c r="M60" s="1"/>
      <c r="N60" s="1"/>
      <c r="O60" s="1"/>
      <c r="P60" s="1"/>
      <c r="Q60" s="1"/>
      <c r="R60" s="1"/>
      <c r="S60" s="1"/>
      <c r="T60" s="1"/>
      <c r="U60" s="1"/>
      <c r="V60" s="1"/>
      <c r="W60" s="1"/>
      <c r="X60" s="1"/>
      <c r="Y60" s="1"/>
      <c r="Z60" s="1"/>
      <c r="AA60" s="1"/>
      <c r="AB60" s="1"/>
      <c r="AC60" s="1"/>
      <c r="AD60" s="1"/>
      <c r="AE60" s="1"/>
      <c r="AF60" s="1"/>
      <c r="AG60" s="1"/>
      <c r="AH60" s="1">
        <v>0</v>
      </c>
      <c r="AI60" s="1">
        <v>0.04</v>
      </c>
      <c r="AJ60" s="1">
        <v>0.03</v>
      </c>
      <c r="AK60" s="1">
        <v>0.02</v>
      </c>
      <c r="AL60" s="1">
        <v>0.02</v>
      </c>
      <c r="AM60" s="1">
        <v>1</v>
      </c>
      <c r="AN60" s="1"/>
      <c r="AO60" s="1"/>
      <c r="AP60" s="1"/>
      <c r="AQ60" s="1"/>
      <c r="AR60" s="1"/>
      <c r="AS60" s="1"/>
      <c r="AT60" s="1"/>
      <c r="AU60" s="1"/>
      <c r="AV60" s="1"/>
      <c r="AW60" s="1"/>
      <c r="AX60" s="1"/>
      <c r="AY60" s="1"/>
      <c r="AZ60" s="1"/>
      <c r="BA60" s="1"/>
      <c r="BB60" s="1"/>
      <c r="BC60" s="1"/>
      <c r="BD60" s="1"/>
      <c r="BE60" s="1"/>
      <c r="BF60" s="1"/>
      <c r="BG60" s="1"/>
      <c r="BH60" s="1"/>
    </row>
    <row r="61" spans="1:60" x14ac:dyDescent="0.2">
      <c r="A61" s="3">
        <v>59</v>
      </c>
      <c r="B61" s="3" t="s">
        <v>486</v>
      </c>
      <c r="C61" s="3" t="s">
        <v>487</v>
      </c>
      <c r="D61" s="1"/>
      <c r="E61" s="1">
        <f t="shared" si="3"/>
        <v>0</v>
      </c>
      <c r="F61" s="1">
        <f t="shared" si="4"/>
        <v>0</v>
      </c>
      <c r="G61" s="1">
        <f t="shared" si="5"/>
        <v>0</v>
      </c>
      <c r="H61" s="1"/>
      <c r="I61" s="1"/>
      <c r="J61" s="1"/>
      <c r="K61" s="1"/>
      <c r="L61" s="1"/>
      <c r="M61" s="1"/>
      <c r="N61" s="1"/>
      <c r="O61" s="1"/>
      <c r="P61" s="1"/>
      <c r="Q61" s="1"/>
      <c r="R61" s="1"/>
      <c r="S61" s="1"/>
      <c r="T61" s="1"/>
      <c r="U61" s="1"/>
      <c r="V61" s="1"/>
      <c r="W61" s="1"/>
      <c r="X61" s="1"/>
      <c r="Y61" s="1"/>
      <c r="Z61" s="1"/>
      <c r="AA61" s="1"/>
      <c r="AB61" s="1"/>
      <c r="AC61" s="1"/>
      <c r="AD61" s="1"/>
      <c r="AE61" s="1"/>
      <c r="AF61" s="1"/>
      <c r="AG61" s="1"/>
      <c r="AH61" s="1">
        <v>0</v>
      </c>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row>
    <row r="62" spans="1:60" x14ac:dyDescent="0.2">
      <c r="A62" s="3">
        <v>60</v>
      </c>
      <c r="B62" s="3" t="s">
        <v>488</v>
      </c>
      <c r="C62" s="3" t="s">
        <v>489</v>
      </c>
      <c r="D62" s="1"/>
      <c r="E62" s="1">
        <f t="shared" si="3"/>
        <v>6.6028708133971303</v>
      </c>
      <c r="F62" s="1">
        <f t="shared" si="4"/>
        <v>6.6028708133971303</v>
      </c>
      <c r="G62" s="1">
        <f t="shared" si="5"/>
        <v>0</v>
      </c>
      <c r="H62" s="1"/>
      <c r="I62" s="1">
        <v>0.434</v>
      </c>
      <c r="J62" s="1">
        <v>6.6028708133971303</v>
      </c>
      <c r="K62" s="1"/>
      <c r="L62" s="1"/>
      <c r="M62" s="1"/>
      <c r="N62" s="1"/>
      <c r="O62" s="1"/>
      <c r="P62" s="1"/>
      <c r="Q62" s="1"/>
      <c r="R62" s="1"/>
      <c r="S62" s="1"/>
      <c r="T62" s="1"/>
      <c r="U62" s="1"/>
      <c r="V62" s="1"/>
      <c r="W62" s="1"/>
      <c r="X62" s="1"/>
      <c r="Y62" s="1"/>
      <c r="Z62" s="1"/>
      <c r="AA62" s="1"/>
      <c r="AB62" s="1"/>
      <c r="AC62" s="1"/>
      <c r="AD62" s="1"/>
      <c r="AE62" s="1"/>
      <c r="AF62" s="1"/>
      <c r="AG62" s="1"/>
      <c r="AH62" s="1">
        <v>0</v>
      </c>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row>
    <row r="63" spans="1:60" x14ac:dyDescent="0.2">
      <c r="A63" s="3">
        <v>61</v>
      </c>
      <c r="B63" s="3" t="s">
        <v>492</v>
      </c>
      <c r="C63" s="3" t="s">
        <v>493</v>
      </c>
      <c r="D63" s="1"/>
      <c r="E63" s="1">
        <f t="shared" si="3"/>
        <v>1</v>
      </c>
      <c r="F63" s="1">
        <f t="shared" si="4"/>
        <v>0</v>
      </c>
      <c r="G63" s="1">
        <f t="shared" si="5"/>
        <v>1</v>
      </c>
      <c r="H63" s="1"/>
      <c r="I63" s="1">
        <v>0.128</v>
      </c>
      <c r="J63" s="1">
        <v>0</v>
      </c>
      <c r="K63" s="1"/>
      <c r="L63" s="1"/>
      <c r="M63" s="1"/>
      <c r="N63" s="1"/>
      <c r="O63" s="1"/>
      <c r="P63" s="1"/>
      <c r="Q63" s="1"/>
      <c r="R63" s="1"/>
      <c r="S63" s="1"/>
      <c r="T63" s="1"/>
      <c r="U63" s="1"/>
      <c r="V63" s="1"/>
      <c r="W63" s="1"/>
      <c r="X63" s="1"/>
      <c r="Y63" s="1"/>
      <c r="Z63" s="1"/>
      <c r="AA63" s="1"/>
      <c r="AB63" s="1"/>
      <c r="AC63" s="1"/>
      <c r="AD63" s="1"/>
      <c r="AE63" s="1"/>
      <c r="AF63" s="1"/>
      <c r="AG63" s="1"/>
      <c r="AH63" s="1">
        <v>0</v>
      </c>
      <c r="AI63" s="1">
        <v>0.01</v>
      </c>
      <c r="AJ63" s="1">
        <v>0.02</v>
      </c>
      <c r="AK63" s="1">
        <v>0.01</v>
      </c>
      <c r="AL63" s="1">
        <v>0.01</v>
      </c>
      <c r="AM63" s="1">
        <v>1</v>
      </c>
      <c r="AN63" s="1"/>
      <c r="AO63" s="1"/>
      <c r="AP63" s="1"/>
      <c r="AQ63" s="1"/>
      <c r="AR63" s="1"/>
      <c r="AS63" s="1"/>
      <c r="AT63" s="1"/>
      <c r="AU63" s="1"/>
      <c r="AV63" s="1"/>
      <c r="AW63" s="1"/>
      <c r="AX63" s="1"/>
      <c r="AY63" s="1"/>
      <c r="AZ63" s="1"/>
      <c r="BA63" s="1"/>
      <c r="BB63" s="1"/>
      <c r="BC63" s="1"/>
      <c r="BD63" s="1"/>
      <c r="BE63" s="1"/>
      <c r="BF63" s="1"/>
      <c r="BG63" s="1"/>
      <c r="BH63" s="1"/>
    </row>
    <row r="64" spans="1:60" x14ac:dyDescent="0.2">
      <c r="A64" s="3">
        <v>62</v>
      </c>
      <c r="B64" s="3" t="s">
        <v>495</v>
      </c>
      <c r="C64" s="3" t="s">
        <v>496</v>
      </c>
      <c r="D64" s="1"/>
      <c r="E64" s="1">
        <f t="shared" si="3"/>
        <v>4.9639851254167606</v>
      </c>
      <c r="F64" s="1">
        <f t="shared" si="4"/>
        <v>4.9282296650717701</v>
      </c>
      <c r="G64" s="1">
        <f t="shared" si="5"/>
        <v>5</v>
      </c>
      <c r="H64" s="1"/>
      <c r="I64" s="1">
        <v>0.36399999999999999</v>
      </c>
      <c r="J64" s="1">
        <v>4.9282296650717701</v>
      </c>
      <c r="K64" s="1"/>
      <c r="L64" s="1"/>
      <c r="M64" s="1"/>
      <c r="N64" s="1"/>
      <c r="O64" s="1"/>
      <c r="P64" s="1"/>
      <c r="Q64" s="1"/>
      <c r="R64" s="1"/>
      <c r="S64" s="1"/>
      <c r="T64" s="1"/>
      <c r="U64" s="1"/>
      <c r="V64" s="1"/>
      <c r="W64" s="1"/>
      <c r="X64" s="1"/>
      <c r="Y64" s="1"/>
      <c r="Z64" s="1"/>
      <c r="AA64" s="1"/>
      <c r="AB64" s="1"/>
      <c r="AC64" s="1"/>
      <c r="AD64" s="1"/>
      <c r="AE64" s="1"/>
      <c r="AF64" s="1"/>
      <c r="AG64" s="1"/>
      <c r="AH64" s="1">
        <v>0</v>
      </c>
      <c r="AI64" s="1">
        <v>0.16</v>
      </c>
      <c r="AJ64" s="1">
        <v>0.15</v>
      </c>
      <c r="AK64" s="1">
        <v>0.14000000000000001</v>
      </c>
      <c r="AL64" s="1">
        <v>0.14000000000000001</v>
      </c>
      <c r="AM64" s="1">
        <v>5</v>
      </c>
      <c r="AN64" s="1"/>
      <c r="AO64" s="1"/>
      <c r="AP64" s="1"/>
      <c r="AQ64" s="1"/>
      <c r="AR64" s="1"/>
      <c r="AS64" s="1"/>
      <c r="AT64" s="1"/>
      <c r="AU64" s="1"/>
      <c r="AV64" s="1"/>
      <c r="AW64" s="1"/>
      <c r="AX64" s="1"/>
      <c r="AY64" s="1"/>
      <c r="AZ64" s="1"/>
      <c r="BA64" s="1"/>
      <c r="BB64" s="1"/>
      <c r="BC64" s="1"/>
      <c r="BD64" s="1"/>
      <c r="BE64" s="1"/>
      <c r="BF64" s="1"/>
      <c r="BG64" s="1"/>
      <c r="BH64" s="1"/>
    </row>
    <row r="65" spans="1:60" x14ac:dyDescent="0.2">
      <c r="A65" s="3">
        <v>63</v>
      </c>
      <c r="B65" s="3" t="s">
        <v>501</v>
      </c>
      <c r="C65" s="3" t="s">
        <v>502</v>
      </c>
      <c r="D65" s="1"/>
      <c r="E65" s="1">
        <f t="shared" si="3"/>
        <v>5.9904229787315399</v>
      </c>
      <c r="F65" s="1">
        <f t="shared" si="4"/>
        <v>7.1770334928229698</v>
      </c>
      <c r="G65" s="1">
        <f t="shared" si="5"/>
        <v>5</v>
      </c>
      <c r="H65" s="1"/>
      <c r="I65" s="1">
        <v>0.45800000000000002</v>
      </c>
      <c r="J65" s="1">
        <v>7.1770334928229698</v>
      </c>
      <c r="K65" s="1"/>
      <c r="L65" s="1"/>
      <c r="M65" s="1"/>
      <c r="N65" s="1"/>
      <c r="O65" s="1"/>
      <c r="P65" s="1"/>
      <c r="Q65" s="1"/>
      <c r="R65" s="1"/>
      <c r="S65" s="1"/>
      <c r="T65" s="1"/>
      <c r="U65" s="1"/>
      <c r="V65" s="1"/>
      <c r="W65" s="1"/>
      <c r="X65" s="1"/>
      <c r="Y65" s="1"/>
      <c r="Z65" s="1"/>
      <c r="AA65" s="1"/>
      <c r="AB65" s="1"/>
      <c r="AC65" s="1"/>
      <c r="AD65" s="1"/>
      <c r="AE65" s="1"/>
      <c r="AF65" s="1"/>
      <c r="AG65" s="1"/>
      <c r="AH65" s="1">
        <v>0</v>
      </c>
      <c r="AI65" s="1">
        <v>0.14000000000000001</v>
      </c>
      <c r="AJ65" s="1">
        <v>0.15</v>
      </c>
      <c r="AK65" s="1">
        <v>0.14000000000000001</v>
      </c>
      <c r="AL65" s="1">
        <v>0.14000000000000001</v>
      </c>
      <c r="AM65" s="1">
        <v>5</v>
      </c>
      <c r="AN65" s="1"/>
      <c r="AO65" s="1"/>
      <c r="AP65" s="1"/>
      <c r="AQ65" s="1"/>
      <c r="AR65" s="1"/>
      <c r="AS65" s="1"/>
      <c r="AT65" s="1"/>
      <c r="AU65" s="1"/>
      <c r="AV65" s="1"/>
      <c r="AW65" s="1"/>
      <c r="AX65" s="1"/>
      <c r="AY65" s="1"/>
      <c r="AZ65" s="1"/>
      <c r="BA65" s="1"/>
      <c r="BB65" s="1"/>
      <c r="BC65" s="1"/>
      <c r="BD65" s="1"/>
      <c r="BE65" s="1"/>
      <c r="BF65" s="1"/>
      <c r="BG65" s="1"/>
      <c r="BH65" s="1"/>
    </row>
    <row r="66" spans="1:60" x14ac:dyDescent="0.2">
      <c r="A66" s="3">
        <v>64</v>
      </c>
      <c r="B66" s="3" t="s">
        <v>507</v>
      </c>
      <c r="C66" s="3" t="s">
        <v>508</v>
      </c>
      <c r="D66" s="1"/>
      <c r="E66" s="1">
        <f t="shared" si="3"/>
        <v>6.6437004734455964</v>
      </c>
      <c r="F66" s="1">
        <f t="shared" si="4"/>
        <v>8.8277511961722492</v>
      </c>
      <c r="G66" s="1">
        <f t="shared" si="5"/>
        <v>5</v>
      </c>
      <c r="H66" s="1"/>
      <c r="I66" s="1">
        <v>0.52700000000000002</v>
      </c>
      <c r="J66" s="1">
        <v>8.8277511961722492</v>
      </c>
      <c r="K66" s="1"/>
      <c r="L66" s="1"/>
      <c r="M66" s="1"/>
      <c r="N66" s="1"/>
      <c r="O66" s="1"/>
      <c r="P66" s="1"/>
      <c r="Q66" s="1"/>
      <c r="R66" s="1"/>
      <c r="S66" s="1"/>
      <c r="T66" s="1"/>
      <c r="U66" s="1"/>
      <c r="V66" s="1"/>
      <c r="W66" s="1"/>
      <c r="X66" s="1"/>
      <c r="Y66" s="1"/>
      <c r="Z66" s="1"/>
      <c r="AA66" s="1"/>
      <c r="AB66" s="1"/>
      <c r="AC66" s="1"/>
      <c r="AD66" s="1"/>
      <c r="AE66" s="1"/>
      <c r="AF66" s="1"/>
      <c r="AG66" s="1"/>
      <c r="AH66" s="1">
        <v>0</v>
      </c>
      <c r="AI66" s="1">
        <v>0.14000000000000001</v>
      </c>
      <c r="AJ66" s="1">
        <v>0.13</v>
      </c>
      <c r="AK66" s="1"/>
      <c r="AL66" s="1">
        <v>0.13</v>
      </c>
      <c r="AM66" s="1">
        <v>5</v>
      </c>
      <c r="AN66" s="1"/>
      <c r="AO66" s="1"/>
      <c r="AP66" s="1"/>
      <c r="AQ66" s="1"/>
      <c r="AR66" s="1"/>
      <c r="AS66" s="1"/>
      <c r="AT66" s="1"/>
      <c r="AU66" s="1"/>
      <c r="AV66" s="1"/>
      <c r="AW66" s="1"/>
      <c r="AX66" s="1"/>
      <c r="AY66" s="1"/>
      <c r="AZ66" s="1"/>
      <c r="BA66" s="1"/>
      <c r="BB66" s="1"/>
      <c r="BC66" s="1"/>
      <c r="BD66" s="1"/>
      <c r="BE66" s="1"/>
      <c r="BF66" s="1"/>
      <c r="BG66" s="1"/>
      <c r="BH66" s="1"/>
    </row>
    <row r="67" spans="1:60" x14ac:dyDescent="0.2">
      <c r="A67" s="3">
        <v>65</v>
      </c>
      <c r="B67" s="3" t="s">
        <v>512</v>
      </c>
      <c r="C67" s="3" t="s">
        <v>513</v>
      </c>
      <c r="D67" s="1"/>
      <c r="E67" s="1">
        <f t="shared" ref="E67:E98" si="6">IFERROR(GEOMEAN(F67, G67), MAX(F67, G67))</f>
        <v>6.1286057641555152</v>
      </c>
      <c r="F67" s="1">
        <f t="shared" ref="F67:F98" si="7">MAX(J67)</f>
        <v>7.5119617224880404</v>
      </c>
      <c r="G67" s="1">
        <f t="shared" ref="G67:G98" si="8">MAX(AM67, AN67)</f>
        <v>5</v>
      </c>
      <c r="H67" s="1"/>
      <c r="I67" s="1">
        <v>0.47199999999999998</v>
      </c>
      <c r="J67" s="1">
        <v>7.5119617224880404</v>
      </c>
      <c r="K67" s="1"/>
      <c r="L67" s="1"/>
      <c r="M67" s="1"/>
      <c r="N67" s="1"/>
      <c r="O67" s="1"/>
      <c r="P67" s="1"/>
      <c r="Q67" s="1"/>
      <c r="R67" s="1"/>
      <c r="S67" s="1"/>
      <c r="T67" s="1"/>
      <c r="U67" s="1"/>
      <c r="V67" s="1"/>
      <c r="W67" s="1"/>
      <c r="X67" s="1"/>
      <c r="Y67" s="1"/>
      <c r="Z67" s="1"/>
      <c r="AA67" s="1"/>
      <c r="AB67" s="1"/>
      <c r="AC67" s="1"/>
      <c r="AD67" s="1"/>
      <c r="AE67" s="1"/>
      <c r="AF67" s="1"/>
      <c r="AG67" s="1"/>
      <c r="AH67" s="1">
        <v>0</v>
      </c>
      <c r="AI67" s="1">
        <v>7.0000000000000007E-2</v>
      </c>
      <c r="AJ67" s="1">
        <v>0.06</v>
      </c>
      <c r="AK67" s="1"/>
      <c r="AL67" s="1">
        <v>0.06</v>
      </c>
      <c r="AM67" s="1">
        <v>5</v>
      </c>
      <c r="AN67" s="1"/>
      <c r="AO67" s="1"/>
      <c r="AP67" s="1"/>
      <c r="AQ67" s="1"/>
      <c r="AR67" s="1"/>
      <c r="AS67" s="1"/>
      <c r="AT67" s="1"/>
      <c r="AU67" s="1"/>
      <c r="AV67" s="1"/>
      <c r="AW67" s="1"/>
      <c r="AX67" s="1"/>
      <c r="AY67" s="1"/>
      <c r="AZ67" s="1"/>
      <c r="BA67" s="1"/>
      <c r="BB67" s="1"/>
      <c r="BC67" s="1"/>
      <c r="BD67" s="1"/>
      <c r="BE67" s="1"/>
      <c r="BF67" s="1"/>
      <c r="BG67" s="1"/>
      <c r="BH67" s="1"/>
    </row>
    <row r="68" spans="1:60" x14ac:dyDescent="0.2">
      <c r="A68" s="3">
        <v>66</v>
      </c>
      <c r="B68" s="3" t="s">
        <v>517</v>
      </c>
      <c r="C68" s="3" t="s">
        <v>518</v>
      </c>
      <c r="D68" s="1"/>
      <c r="E68" s="1">
        <f t="shared" si="6"/>
        <v>8.6602870813397104</v>
      </c>
      <c r="F68" s="1">
        <f t="shared" si="7"/>
        <v>8.6602870813397104</v>
      </c>
      <c r="G68" s="1">
        <f t="shared" si="8"/>
        <v>0</v>
      </c>
      <c r="H68" s="1"/>
      <c r="I68" s="1">
        <v>0.52</v>
      </c>
      <c r="J68" s="1">
        <v>8.6602870813397104</v>
      </c>
      <c r="K68" s="1"/>
      <c r="L68" s="1"/>
      <c r="M68" s="1"/>
      <c r="N68" s="1"/>
      <c r="O68" s="1"/>
      <c r="P68" s="1"/>
      <c r="Q68" s="1"/>
      <c r="R68" s="1"/>
      <c r="S68" s="1"/>
      <c r="T68" s="1"/>
      <c r="U68" s="1"/>
      <c r="V68" s="1"/>
      <c r="W68" s="1"/>
      <c r="X68" s="1"/>
      <c r="Y68" s="1"/>
      <c r="Z68" s="1"/>
      <c r="AA68" s="1"/>
      <c r="AB68" s="1"/>
      <c r="AC68" s="1"/>
      <c r="AD68" s="1"/>
      <c r="AE68" s="1"/>
      <c r="AF68" s="1"/>
      <c r="AG68" s="1"/>
      <c r="AH68" s="1">
        <v>0</v>
      </c>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row>
    <row r="69" spans="1:60" x14ac:dyDescent="0.2">
      <c r="A69" s="3">
        <v>67</v>
      </c>
      <c r="B69" s="3" t="s">
        <v>522</v>
      </c>
      <c r="C69" s="3" t="s">
        <v>523</v>
      </c>
      <c r="D69" s="1"/>
      <c r="E69" s="1">
        <f t="shared" si="6"/>
        <v>5.4066985645932997</v>
      </c>
      <c r="F69" s="1">
        <f t="shared" si="7"/>
        <v>5.4066985645932997</v>
      </c>
      <c r="G69" s="1">
        <f t="shared" si="8"/>
        <v>0</v>
      </c>
      <c r="H69" s="1"/>
      <c r="I69" s="1">
        <v>0.38400000000000001</v>
      </c>
      <c r="J69" s="1">
        <v>5.4066985645932997</v>
      </c>
      <c r="K69" s="1"/>
      <c r="L69" s="1"/>
      <c r="M69" s="1"/>
      <c r="N69" s="1"/>
      <c r="O69" s="1"/>
      <c r="P69" s="1"/>
      <c r="Q69" s="1"/>
      <c r="R69" s="1"/>
      <c r="S69" s="1"/>
      <c r="T69" s="1"/>
      <c r="U69" s="1"/>
      <c r="V69" s="1"/>
      <c r="W69" s="1"/>
      <c r="X69" s="1"/>
      <c r="Y69" s="1"/>
      <c r="Z69" s="1"/>
      <c r="AA69" s="1"/>
      <c r="AB69" s="1"/>
      <c r="AC69" s="1"/>
      <c r="AD69" s="1"/>
      <c r="AE69" s="1"/>
      <c r="AF69" s="1"/>
      <c r="AG69" s="1"/>
      <c r="AH69" s="1">
        <v>0</v>
      </c>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row>
    <row r="70" spans="1:60" x14ac:dyDescent="0.2">
      <c r="A70" s="3">
        <v>68</v>
      </c>
      <c r="B70" s="3" t="s">
        <v>525</v>
      </c>
      <c r="C70" s="3" t="s">
        <v>526</v>
      </c>
      <c r="D70" s="1"/>
      <c r="E70" s="1">
        <f t="shared" si="6"/>
        <v>0.59904229787315433</v>
      </c>
      <c r="F70" s="1">
        <f t="shared" si="7"/>
        <v>0.119617224880383</v>
      </c>
      <c r="G70" s="1">
        <f t="shared" si="8"/>
        <v>3</v>
      </c>
      <c r="H70" s="1"/>
      <c r="I70" s="1">
        <v>0.16300000000000001</v>
      </c>
      <c r="J70" s="1">
        <v>0.119617224880383</v>
      </c>
      <c r="K70" s="1"/>
      <c r="L70" s="1"/>
      <c r="M70" s="1"/>
      <c r="N70" s="1"/>
      <c r="O70" s="1"/>
      <c r="P70" s="1"/>
      <c r="Q70" s="1"/>
      <c r="R70" s="1"/>
      <c r="S70" s="1"/>
      <c r="T70" s="1"/>
      <c r="U70" s="1"/>
      <c r="V70" s="1"/>
      <c r="W70" s="1"/>
      <c r="X70" s="1"/>
      <c r="Y70" s="1"/>
      <c r="Z70" s="1"/>
      <c r="AA70" s="1"/>
      <c r="AB70" s="1"/>
      <c r="AC70" s="1"/>
      <c r="AD70" s="1"/>
      <c r="AE70" s="1"/>
      <c r="AF70" s="1"/>
      <c r="AG70" s="1"/>
      <c r="AH70" s="1">
        <v>0</v>
      </c>
      <c r="AI70" s="1">
        <v>0.01</v>
      </c>
      <c r="AJ70" s="1">
        <v>0.02</v>
      </c>
      <c r="AK70" s="1">
        <v>0.04</v>
      </c>
      <c r="AL70" s="1">
        <v>0.04</v>
      </c>
      <c r="AM70" s="1">
        <v>3</v>
      </c>
      <c r="AN70" s="1"/>
      <c r="AO70" s="1"/>
      <c r="AP70" s="1"/>
      <c r="AQ70" s="1"/>
      <c r="AR70" s="1"/>
      <c r="AS70" s="1"/>
      <c r="AT70" s="1"/>
      <c r="AU70" s="1"/>
      <c r="AV70" s="1"/>
      <c r="AW70" s="1"/>
      <c r="AX70" s="1"/>
      <c r="AY70" s="1"/>
      <c r="AZ70" s="1"/>
      <c r="BA70" s="1"/>
      <c r="BB70" s="1"/>
      <c r="BC70" s="1"/>
      <c r="BD70" s="1"/>
      <c r="BE70" s="1"/>
      <c r="BF70" s="1"/>
      <c r="BG70" s="1"/>
      <c r="BH70" s="1"/>
    </row>
    <row r="71" spans="1:60" x14ac:dyDescent="0.2">
      <c r="A71" s="3">
        <v>69</v>
      </c>
      <c r="B71" s="3" t="s">
        <v>531</v>
      </c>
      <c r="C71" s="3" t="s">
        <v>532</v>
      </c>
      <c r="D71" s="1"/>
      <c r="E71" s="1">
        <f t="shared" si="6"/>
        <v>0</v>
      </c>
      <c r="F71" s="1">
        <f t="shared" si="7"/>
        <v>0</v>
      </c>
      <c r="G71" s="1">
        <f t="shared" si="8"/>
        <v>0</v>
      </c>
      <c r="H71" s="1"/>
      <c r="I71" s="1"/>
      <c r="J71" s="1"/>
      <c r="K71" s="1"/>
      <c r="L71" s="1"/>
      <c r="M71" s="1"/>
      <c r="N71" s="1"/>
      <c r="O71" s="1"/>
      <c r="P71" s="1"/>
      <c r="Q71" s="1"/>
      <c r="R71" s="1"/>
      <c r="S71" s="1"/>
      <c r="T71" s="1"/>
      <c r="U71" s="1"/>
      <c r="V71" s="1"/>
      <c r="W71" s="1"/>
      <c r="X71" s="1"/>
      <c r="Y71" s="1"/>
      <c r="Z71" s="1"/>
      <c r="AA71" s="1"/>
      <c r="AB71" s="1"/>
      <c r="AC71" s="1"/>
      <c r="AD71" s="1"/>
      <c r="AE71" s="1"/>
      <c r="AF71" s="1"/>
      <c r="AG71" s="1"/>
      <c r="AH71" s="1">
        <v>0</v>
      </c>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row>
    <row r="72" spans="1:60" x14ac:dyDescent="0.2">
      <c r="A72" s="3">
        <v>70</v>
      </c>
      <c r="B72" s="3" t="s">
        <v>534</v>
      </c>
      <c r="C72" s="3" t="s">
        <v>535</v>
      </c>
      <c r="D72" s="1"/>
      <c r="E72" s="1">
        <f t="shared" si="6"/>
        <v>5.7040235945746316</v>
      </c>
      <c r="F72" s="1">
        <f t="shared" si="7"/>
        <v>6.5071770334928196</v>
      </c>
      <c r="G72" s="1">
        <f t="shared" si="8"/>
        <v>5</v>
      </c>
      <c r="H72" s="1"/>
      <c r="I72" s="1">
        <v>0.43</v>
      </c>
      <c r="J72" s="1">
        <v>6.5071770334928196</v>
      </c>
      <c r="K72" s="1" t="s">
        <v>534</v>
      </c>
      <c r="L72" s="1">
        <v>1011</v>
      </c>
      <c r="M72" s="1" t="s">
        <v>1090</v>
      </c>
      <c r="N72" s="1">
        <v>2020</v>
      </c>
      <c r="O72" s="1">
        <v>10</v>
      </c>
      <c r="P72" s="1" t="s">
        <v>1091</v>
      </c>
      <c r="Q72" s="1">
        <v>17988228.578299999</v>
      </c>
      <c r="R72" s="1">
        <v>5758462.8907000003</v>
      </c>
      <c r="S72" s="1">
        <v>32.012395582112497</v>
      </c>
      <c r="T72" s="1">
        <v>0</v>
      </c>
      <c r="U72" s="1">
        <v>0</v>
      </c>
      <c r="V72" s="1">
        <v>5758462.8907000003</v>
      </c>
      <c r="W72" s="1">
        <v>32.012395582112497</v>
      </c>
      <c r="X72" s="1">
        <v>0</v>
      </c>
      <c r="Y72" s="1">
        <v>0</v>
      </c>
      <c r="Z72" s="1">
        <v>0</v>
      </c>
      <c r="AA72" s="1"/>
      <c r="AB72" s="1">
        <v>-33.093796098863002</v>
      </c>
      <c r="AC72" s="1"/>
      <c r="AD72" s="1">
        <v>0</v>
      </c>
      <c r="AE72" s="1" t="s">
        <v>1092</v>
      </c>
      <c r="AF72" s="1">
        <v>3</v>
      </c>
      <c r="AG72" s="1">
        <v>7</v>
      </c>
      <c r="AH72" s="1">
        <v>0</v>
      </c>
      <c r="AI72" s="1">
        <v>0.04</v>
      </c>
      <c r="AJ72" s="1">
        <v>0.05</v>
      </c>
      <c r="AK72" s="1">
        <v>0.06</v>
      </c>
      <c r="AL72" s="1">
        <v>0.06</v>
      </c>
      <c r="AM72" s="1">
        <v>5</v>
      </c>
      <c r="AN72" s="1"/>
      <c r="AO72" s="1"/>
      <c r="AP72" s="1"/>
      <c r="AQ72" s="1"/>
      <c r="AR72" s="1"/>
      <c r="AS72" s="1"/>
      <c r="AT72" s="1"/>
      <c r="AU72" s="1"/>
      <c r="AV72" s="1"/>
      <c r="AW72" s="1"/>
      <c r="AX72" s="1"/>
      <c r="AY72" s="1"/>
      <c r="AZ72" s="1"/>
      <c r="BA72" s="1"/>
      <c r="BB72" s="1"/>
      <c r="BC72" s="1"/>
      <c r="BD72" s="1"/>
      <c r="BE72" s="1"/>
      <c r="BF72" s="1"/>
      <c r="BG72" s="1"/>
      <c r="BH72" s="1"/>
    </row>
    <row r="73" spans="1:60" x14ac:dyDescent="0.2">
      <c r="A73" s="3">
        <v>71</v>
      </c>
      <c r="B73" s="3" t="s">
        <v>539</v>
      </c>
      <c r="C73" s="3" t="s">
        <v>540</v>
      </c>
      <c r="D73" s="1"/>
      <c r="E73" s="1">
        <f t="shared" si="6"/>
        <v>4.6650717703349303</v>
      </c>
      <c r="F73" s="1">
        <f t="shared" si="7"/>
        <v>4.6650717703349303</v>
      </c>
      <c r="G73" s="1">
        <f t="shared" si="8"/>
        <v>0</v>
      </c>
      <c r="H73" s="1"/>
      <c r="I73" s="1">
        <v>0.35299999999999998</v>
      </c>
      <c r="J73" s="1">
        <v>4.6650717703349303</v>
      </c>
      <c r="K73" s="1"/>
      <c r="L73" s="1"/>
      <c r="M73" s="1"/>
      <c r="N73" s="1"/>
      <c r="O73" s="1"/>
      <c r="P73" s="1"/>
      <c r="Q73" s="1"/>
      <c r="R73" s="1"/>
      <c r="S73" s="1"/>
      <c r="T73" s="1"/>
      <c r="U73" s="1"/>
      <c r="V73" s="1"/>
      <c r="W73" s="1"/>
      <c r="X73" s="1"/>
      <c r="Y73" s="1"/>
      <c r="Z73" s="1"/>
      <c r="AA73" s="1"/>
      <c r="AB73" s="1"/>
      <c r="AC73" s="1"/>
      <c r="AD73" s="1"/>
      <c r="AE73" s="1"/>
      <c r="AF73" s="1"/>
      <c r="AG73" s="1"/>
      <c r="AH73" s="1">
        <v>0</v>
      </c>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row>
    <row r="74" spans="1:60" x14ac:dyDescent="0.2">
      <c r="A74" s="3">
        <v>72</v>
      </c>
      <c r="B74" s="3" t="s">
        <v>543</v>
      </c>
      <c r="C74" s="3" t="s">
        <v>544</v>
      </c>
      <c r="D74" s="1"/>
      <c r="E74" s="1">
        <f t="shared" si="6"/>
        <v>4.2947614691103633</v>
      </c>
      <c r="F74" s="1">
        <f t="shared" si="7"/>
        <v>6.14832535885167</v>
      </c>
      <c r="G74" s="1">
        <f t="shared" si="8"/>
        <v>3</v>
      </c>
      <c r="H74" s="1"/>
      <c r="I74" s="1">
        <v>0.41499999999999998</v>
      </c>
      <c r="J74" s="1">
        <v>6.14832535885167</v>
      </c>
      <c r="K74" s="1"/>
      <c r="L74" s="1"/>
      <c r="M74" s="1"/>
      <c r="N74" s="1"/>
      <c r="O74" s="1"/>
      <c r="P74" s="1"/>
      <c r="Q74" s="1"/>
      <c r="R74" s="1"/>
      <c r="S74" s="1"/>
      <c r="T74" s="1"/>
      <c r="U74" s="1"/>
      <c r="V74" s="1"/>
      <c r="W74" s="1"/>
      <c r="X74" s="1"/>
      <c r="Y74" s="1"/>
      <c r="Z74" s="1"/>
      <c r="AA74" s="1"/>
      <c r="AB74" s="1"/>
      <c r="AC74" s="1"/>
      <c r="AD74" s="1"/>
      <c r="AE74" s="1"/>
      <c r="AF74" s="1"/>
      <c r="AG74" s="1"/>
      <c r="AH74" s="1">
        <v>0</v>
      </c>
      <c r="AI74" s="1">
        <v>0.06</v>
      </c>
      <c r="AJ74" s="1">
        <v>0.05</v>
      </c>
      <c r="AK74" s="1">
        <v>0.05</v>
      </c>
      <c r="AL74" s="1">
        <v>0.05</v>
      </c>
      <c r="AM74" s="1">
        <v>3</v>
      </c>
      <c r="AN74" s="1"/>
      <c r="AO74" s="1"/>
      <c r="AP74" s="1"/>
      <c r="AQ74" s="1"/>
      <c r="AR74" s="1"/>
      <c r="AS74" s="1"/>
      <c r="AT74" s="1"/>
      <c r="AU74" s="1"/>
      <c r="AV74" s="1"/>
      <c r="AW74" s="1"/>
      <c r="AX74" s="1"/>
      <c r="AY74" s="1"/>
      <c r="AZ74" s="1"/>
      <c r="BA74" s="1"/>
      <c r="BB74" s="1"/>
      <c r="BC74" s="1"/>
      <c r="BD74" s="1"/>
      <c r="BE74" s="1"/>
      <c r="BF74" s="1"/>
      <c r="BG74" s="1"/>
      <c r="BH74" s="1"/>
    </row>
    <row r="75" spans="1:60" x14ac:dyDescent="0.2">
      <c r="A75" s="3">
        <v>73</v>
      </c>
      <c r="B75" s="3" t="s">
        <v>549</v>
      </c>
      <c r="C75" s="3" t="s">
        <v>550</v>
      </c>
      <c r="D75" s="1"/>
      <c r="E75" s="1">
        <f t="shared" si="6"/>
        <v>1.9131876754097334</v>
      </c>
      <c r="F75" s="1">
        <f t="shared" si="7"/>
        <v>1.2200956937798999</v>
      </c>
      <c r="G75" s="1">
        <f t="shared" si="8"/>
        <v>3</v>
      </c>
      <c r="H75" s="1"/>
      <c r="I75" s="1">
        <v>0.20899999999999999</v>
      </c>
      <c r="J75" s="1">
        <v>1.2200956937798999</v>
      </c>
      <c r="K75" s="1"/>
      <c r="L75" s="1"/>
      <c r="M75" s="1"/>
      <c r="N75" s="1"/>
      <c r="O75" s="1"/>
      <c r="P75" s="1"/>
      <c r="Q75" s="1"/>
      <c r="R75" s="1"/>
      <c r="S75" s="1"/>
      <c r="T75" s="1"/>
      <c r="U75" s="1"/>
      <c r="V75" s="1"/>
      <c r="W75" s="1"/>
      <c r="X75" s="1"/>
      <c r="Y75" s="1"/>
      <c r="Z75" s="1"/>
      <c r="AA75" s="1"/>
      <c r="AB75" s="1"/>
      <c r="AC75" s="1"/>
      <c r="AD75" s="1"/>
      <c r="AE75" s="1"/>
      <c r="AF75" s="1"/>
      <c r="AG75" s="1"/>
      <c r="AH75" s="1">
        <v>0</v>
      </c>
      <c r="AI75" s="1">
        <v>0.04</v>
      </c>
      <c r="AJ75" s="1">
        <v>0.03</v>
      </c>
      <c r="AK75" s="1"/>
      <c r="AL75" s="1">
        <v>0.03</v>
      </c>
      <c r="AM75" s="1">
        <v>3</v>
      </c>
      <c r="AN75" s="1"/>
      <c r="AO75" s="1"/>
      <c r="AP75" s="1"/>
      <c r="AQ75" s="1"/>
      <c r="AR75" s="1"/>
      <c r="AS75" s="1"/>
      <c r="AT75" s="1"/>
      <c r="AU75" s="1"/>
      <c r="AV75" s="1"/>
      <c r="AW75" s="1"/>
      <c r="AX75" s="1"/>
      <c r="AY75" s="1"/>
      <c r="AZ75" s="1"/>
      <c r="BA75" s="1"/>
      <c r="BB75" s="1"/>
      <c r="BC75" s="1"/>
      <c r="BD75" s="1"/>
      <c r="BE75" s="1"/>
      <c r="BF75" s="1"/>
      <c r="BG75" s="1"/>
      <c r="BH75" s="1"/>
    </row>
    <row r="76" spans="1:60" x14ac:dyDescent="0.2">
      <c r="A76" s="3">
        <v>74</v>
      </c>
      <c r="B76" s="3" t="s">
        <v>555</v>
      </c>
      <c r="C76" s="3" t="s">
        <v>556</v>
      </c>
      <c r="D76" s="1"/>
      <c r="E76" s="1">
        <f t="shared" si="6"/>
        <v>10</v>
      </c>
      <c r="F76" s="1">
        <f t="shared" si="7"/>
        <v>10</v>
      </c>
      <c r="G76" s="1">
        <f t="shared" si="8"/>
        <v>10</v>
      </c>
      <c r="H76" s="1"/>
      <c r="I76" s="1">
        <v>0.70099999999999996</v>
      </c>
      <c r="J76" s="1">
        <v>10</v>
      </c>
      <c r="K76" s="1" t="s">
        <v>555</v>
      </c>
      <c r="L76" s="1">
        <v>932</v>
      </c>
      <c r="M76" s="1" t="s">
        <v>1090</v>
      </c>
      <c r="N76" s="1">
        <v>2020</v>
      </c>
      <c r="O76" s="1">
        <v>10</v>
      </c>
      <c r="P76" s="1" t="s">
        <v>1091</v>
      </c>
      <c r="Q76" s="1">
        <v>11226900.41839</v>
      </c>
      <c r="R76" s="1">
        <v>4331142.5899900002</v>
      </c>
      <c r="S76" s="1">
        <v>38.578257832370703</v>
      </c>
      <c r="T76" s="1">
        <v>0</v>
      </c>
      <c r="U76" s="1">
        <v>0</v>
      </c>
      <c r="V76" s="1">
        <v>3840538.0079600001</v>
      </c>
      <c r="W76" s="1">
        <v>34.208355510743502</v>
      </c>
      <c r="X76" s="1">
        <v>0</v>
      </c>
      <c r="Y76" s="1">
        <v>0</v>
      </c>
      <c r="Z76" s="1">
        <v>8.5196629398550101</v>
      </c>
      <c r="AA76" s="1"/>
      <c r="AB76" s="1">
        <v>-4.8428665825644703</v>
      </c>
      <c r="AC76" s="1"/>
      <c r="AD76" s="1">
        <v>4.3699023216272099</v>
      </c>
      <c r="AE76" s="1" t="s">
        <v>1094</v>
      </c>
      <c r="AF76" s="1">
        <v>3</v>
      </c>
      <c r="AG76" s="1">
        <v>10</v>
      </c>
      <c r="AH76" s="1">
        <v>0</v>
      </c>
      <c r="AI76" s="1"/>
      <c r="AJ76" s="1"/>
      <c r="AK76" s="1"/>
      <c r="AL76" s="1"/>
      <c r="AM76" s="1"/>
      <c r="AN76" s="1">
        <v>10</v>
      </c>
      <c r="AO76" s="1"/>
      <c r="AP76" s="1"/>
      <c r="AQ76" s="1"/>
      <c r="AR76" s="1"/>
      <c r="AS76" s="1"/>
      <c r="AT76" s="1"/>
      <c r="AU76" s="1"/>
      <c r="AV76" s="1"/>
      <c r="AW76" s="1"/>
      <c r="AX76" s="1"/>
      <c r="AY76" s="1"/>
      <c r="AZ76" s="1"/>
      <c r="BA76" s="1"/>
      <c r="BB76" s="1"/>
      <c r="BC76" s="1"/>
      <c r="BD76" s="1"/>
      <c r="BE76" s="1"/>
      <c r="BF76" s="1"/>
      <c r="BG76" s="1"/>
      <c r="BH76" s="1"/>
    </row>
    <row r="77" spans="1:60" x14ac:dyDescent="0.2">
      <c r="A77" s="3">
        <v>75</v>
      </c>
      <c r="B77" s="3" t="s">
        <v>562</v>
      </c>
      <c r="C77" s="3" t="s">
        <v>563</v>
      </c>
      <c r="D77" s="1"/>
      <c r="E77" s="1">
        <f t="shared" si="6"/>
        <v>2.1598777211534288</v>
      </c>
      <c r="F77" s="1">
        <f t="shared" si="7"/>
        <v>0.93301435406698596</v>
      </c>
      <c r="G77" s="1">
        <f t="shared" si="8"/>
        <v>5</v>
      </c>
      <c r="H77" s="1"/>
      <c r="I77" s="1">
        <v>0.19700000000000001</v>
      </c>
      <c r="J77" s="1">
        <v>0.93301435406698596</v>
      </c>
      <c r="K77" s="1"/>
      <c r="L77" s="1"/>
      <c r="M77" s="1"/>
      <c r="N77" s="1"/>
      <c r="O77" s="1"/>
      <c r="P77" s="1"/>
      <c r="Q77" s="1"/>
      <c r="R77" s="1"/>
      <c r="S77" s="1"/>
      <c r="T77" s="1"/>
      <c r="U77" s="1"/>
      <c r="V77" s="1"/>
      <c r="W77" s="1"/>
      <c r="X77" s="1"/>
      <c r="Y77" s="1"/>
      <c r="Z77" s="1"/>
      <c r="AA77" s="1"/>
      <c r="AB77" s="1"/>
      <c r="AC77" s="1"/>
      <c r="AD77" s="1"/>
      <c r="AE77" s="1"/>
      <c r="AF77" s="1"/>
      <c r="AG77" s="1"/>
      <c r="AH77" s="1">
        <v>0</v>
      </c>
      <c r="AI77" s="1">
        <v>0.09</v>
      </c>
      <c r="AJ77" s="1">
        <v>0.09</v>
      </c>
      <c r="AK77" s="1">
        <v>0.08</v>
      </c>
      <c r="AL77" s="1">
        <v>0.08</v>
      </c>
      <c r="AM77" s="1">
        <v>5</v>
      </c>
      <c r="AN77" s="1"/>
      <c r="AO77" s="1"/>
      <c r="AP77" s="1"/>
      <c r="AQ77" s="1"/>
      <c r="AR77" s="1"/>
      <c r="AS77" s="1"/>
      <c r="AT77" s="1"/>
      <c r="AU77" s="1"/>
      <c r="AV77" s="1"/>
      <c r="AW77" s="1"/>
      <c r="AX77" s="1"/>
      <c r="AY77" s="1"/>
      <c r="AZ77" s="1"/>
      <c r="BA77" s="1"/>
      <c r="BB77" s="1"/>
      <c r="BC77" s="1"/>
      <c r="BD77" s="1"/>
      <c r="BE77" s="1"/>
      <c r="BF77" s="1"/>
      <c r="BG77" s="1"/>
      <c r="BH77" s="1"/>
    </row>
    <row r="78" spans="1:60" x14ac:dyDescent="0.2">
      <c r="A78" s="3">
        <v>76</v>
      </c>
      <c r="B78" s="3" t="s">
        <v>567</v>
      </c>
      <c r="C78" s="3" t="s">
        <v>568</v>
      </c>
      <c r="D78" s="1"/>
      <c r="E78" s="1">
        <f t="shared" si="6"/>
        <v>3.9645558829813852</v>
      </c>
      <c r="F78" s="1">
        <f t="shared" si="7"/>
        <v>5.2392344497607697</v>
      </c>
      <c r="G78" s="1">
        <f t="shared" si="8"/>
        <v>3</v>
      </c>
      <c r="H78" s="1"/>
      <c r="I78" s="1">
        <v>0.377</v>
      </c>
      <c r="J78" s="1">
        <v>5.2392344497607697</v>
      </c>
      <c r="K78" s="1"/>
      <c r="L78" s="1"/>
      <c r="M78" s="1"/>
      <c r="N78" s="1"/>
      <c r="O78" s="1"/>
      <c r="P78" s="1"/>
      <c r="Q78" s="1"/>
      <c r="R78" s="1"/>
      <c r="S78" s="1"/>
      <c r="T78" s="1"/>
      <c r="U78" s="1"/>
      <c r="V78" s="1"/>
      <c r="W78" s="1"/>
      <c r="X78" s="1"/>
      <c r="Y78" s="1"/>
      <c r="Z78" s="1"/>
      <c r="AA78" s="1"/>
      <c r="AB78" s="1"/>
      <c r="AC78" s="1"/>
      <c r="AD78" s="1"/>
      <c r="AE78" s="1"/>
      <c r="AF78" s="1"/>
      <c r="AG78" s="1"/>
      <c r="AH78" s="1">
        <v>0</v>
      </c>
      <c r="AI78" s="1">
        <v>0.05</v>
      </c>
      <c r="AJ78" s="1">
        <v>0.03</v>
      </c>
      <c r="AK78" s="1">
        <v>0.03</v>
      </c>
      <c r="AL78" s="1">
        <v>0.03</v>
      </c>
      <c r="AM78" s="1">
        <v>3</v>
      </c>
      <c r="AN78" s="1"/>
      <c r="AO78" s="1"/>
      <c r="AP78" s="1"/>
      <c r="AQ78" s="1"/>
      <c r="AR78" s="1"/>
      <c r="AS78" s="1"/>
      <c r="AT78" s="1"/>
      <c r="AU78" s="1"/>
      <c r="AV78" s="1"/>
      <c r="AW78" s="1"/>
      <c r="AX78" s="1"/>
      <c r="AY78" s="1"/>
      <c r="AZ78" s="1"/>
      <c r="BA78" s="1"/>
      <c r="BB78" s="1"/>
      <c r="BC78" s="1"/>
      <c r="BD78" s="1"/>
      <c r="BE78" s="1"/>
      <c r="BF78" s="1"/>
      <c r="BG78" s="1"/>
      <c r="BH78" s="1"/>
    </row>
    <row r="79" spans="1:60" x14ac:dyDescent="0.2">
      <c r="A79" s="3">
        <v>77</v>
      </c>
      <c r="B79" s="3" t="s">
        <v>571</v>
      </c>
      <c r="C79" s="3" t="s">
        <v>572</v>
      </c>
      <c r="D79" s="1"/>
      <c r="E79" s="1">
        <f t="shared" si="6"/>
        <v>5.9904229787315399</v>
      </c>
      <c r="F79" s="1">
        <f t="shared" si="7"/>
        <v>7.1770334928229698</v>
      </c>
      <c r="G79" s="1">
        <f t="shared" si="8"/>
        <v>5</v>
      </c>
      <c r="H79" s="1"/>
      <c r="I79" s="1">
        <v>0.45800000000000002</v>
      </c>
      <c r="J79" s="1">
        <v>7.1770334928229698</v>
      </c>
      <c r="K79" s="1"/>
      <c r="L79" s="1"/>
      <c r="M79" s="1"/>
      <c r="N79" s="1"/>
      <c r="O79" s="1"/>
      <c r="P79" s="1"/>
      <c r="Q79" s="1"/>
      <c r="R79" s="1"/>
      <c r="S79" s="1"/>
      <c r="T79" s="1"/>
      <c r="U79" s="1"/>
      <c r="V79" s="1"/>
      <c r="W79" s="1"/>
      <c r="X79" s="1"/>
      <c r="Y79" s="1"/>
      <c r="Z79" s="1"/>
      <c r="AA79" s="1"/>
      <c r="AB79" s="1"/>
      <c r="AC79" s="1"/>
      <c r="AD79" s="1"/>
      <c r="AE79" s="1"/>
      <c r="AF79" s="1"/>
      <c r="AG79" s="1"/>
      <c r="AH79" s="1">
        <v>0</v>
      </c>
      <c r="AI79" s="1"/>
      <c r="AJ79" s="1">
        <v>0.09</v>
      </c>
      <c r="AK79" s="1">
        <v>0.08</v>
      </c>
      <c r="AL79" s="1">
        <v>0.08</v>
      </c>
      <c r="AM79" s="1">
        <v>5</v>
      </c>
      <c r="AN79" s="1"/>
      <c r="AO79" s="1"/>
      <c r="AP79" s="1"/>
      <c r="AQ79" s="1"/>
      <c r="AR79" s="1"/>
      <c r="AS79" s="1"/>
      <c r="AT79" s="1"/>
      <c r="AU79" s="1"/>
      <c r="AV79" s="1"/>
      <c r="AW79" s="1"/>
      <c r="AX79" s="1"/>
      <c r="AY79" s="1"/>
      <c r="AZ79" s="1"/>
      <c r="BA79" s="1"/>
      <c r="BB79" s="1"/>
      <c r="BC79" s="1"/>
      <c r="BD79" s="1"/>
      <c r="BE79" s="1"/>
      <c r="BF79" s="1"/>
      <c r="BG79" s="1"/>
      <c r="BH79" s="1"/>
    </row>
    <row r="80" spans="1:60" x14ac:dyDescent="0.2">
      <c r="A80" s="3">
        <v>78</v>
      </c>
      <c r="B80" s="3" t="s">
        <v>577</v>
      </c>
      <c r="C80" s="3" t="s">
        <v>578</v>
      </c>
      <c r="D80" s="1"/>
      <c r="E80" s="1">
        <f t="shared" si="6"/>
        <v>1</v>
      </c>
      <c r="F80" s="1">
        <f t="shared" si="7"/>
        <v>0</v>
      </c>
      <c r="G80" s="1">
        <f t="shared" si="8"/>
        <v>1</v>
      </c>
      <c r="H80" s="1"/>
      <c r="I80" s="1">
        <v>0.11899999999999999</v>
      </c>
      <c r="J80" s="1">
        <v>0</v>
      </c>
      <c r="K80" s="1"/>
      <c r="L80" s="1"/>
      <c r="M80" s="1"/>
      <c r="N80" s="1"/>
      <c r="O80" s="1"/>
      <c r="P80" s="1"/>
      <c r="Q80" s="1"/>
      <c r="R80" s="1"/>
      <c r="S80" s="1"/>
      <c r="T80" s="1"/>
      <c r="U80" s="1"/>
      <c r="V80" s="1"/>
      <c r="W80" s="1"/>
      <c r="X80" s="1"/>
      <c r="Y80" s="1"/>
      <c r="Z80" s="1"/>
      <c r="AA80" s="1"/>
      <c r="AB80" s="1"/>
      <c r="AC80" s="1"/>
      <c r="AD80" s="1"/>
      <c r="AE80" s="1"/>
      <c r="AF80" s="1"/>
      <c r="AG80" s="1"/>
      <c r="AH80" s="1">
        <v>0</v>
      </c>
      <c r="AI80" s="1">
        <v>-0.01</v>
      </c>
      <c r="AJ80" s="1">
        <v>-0.01</v>
      </c>
      <c r="AK80" s="1">
        <v>-0.02</v>
      </c>
      <c r="AL80" s="1">
        <v>-0.02</v>
      </c>
      <c r="AM80" s="1">
        <v>1</v>
      </c>
      <c r="AN80" s="1"/>
      <c r="AO80" s="1"/>
      <c r="AP80" s="1"/>
      <c r="AQ80" s="1"/>
      <c r="AR80" s="1"/>
      <c r="AS80" s="1"/>
      <c r="AT80" s="1"/>
      <c r="AU80" s="1"/>
      <c r="AV80" s="1"/>
      <c r="AW80" s="1"/>
      <c r="AX80" s="1"/>
      <c r="AY80" s="1"/>
      <c r="AZ80" s="1"/>
      <c r="BA80" s="1"/>
      <c r="BB80" s="1"/>
      <c r="BC80" s="1"/>
      <c r="BD80" s="1"/>
      <c r="BE80" s="1"/>
      <c r="BF80" s="1"/>
      <c r="BG80" s="1"/>
      <c r="BH80" s="1"/>
    </row>
    <row r="81" spans="1:60" x14ac:dyDescent="0.2">
      <c r="A81" s="3">
        <v>79</v>
      </c>
      <c r="B81" s="3" t="s">
        <v>581</v>
      </c>
      <c r="C81" s="3" t="s">
        <v>582</v>
      </c>
      <c r="D81" s="1"/>
      <c r="E81" s="1">
        <f t="shared" si="6"/>
        <v>3.8513031411676035</v>
      </c>
      <c r="F81" s="1">
        <f t="shared" si="7"/>
        <v>2.9665071770334901</v>
      </c>
      <c r="G81" s="1">
        <f t="shared" si="8"/>
        <v>5</v>
      </c>
      <c r="H81" s="1"/>
      <c r="I81" s="1">
        <v>0.28199999999999997</v>
      </c>
      <c r="J81" s="1">
        <v>2.9665071770334901</v>
      </c>
      <c r="K81" s="1"/>
      <c r="L81" s="1"/>
      <c r="M81" s="1"/>
      <c r="N81" s="1"/>
      <c r="O81" s="1"/>
      <c r="P81" s="1"/>
      <c r="Q81" s="1"/>
      <c r="R81" s="1"/>
      <c r="S81" s="1"/>
      <c r="T81" s="1"/>
      <c r="U81" s="1"/>
      <c r="V81" s="1"/>
      <c r="W81" s="1"/>
      <c r="X81" s="1"/>
      <c r="Y81" s="1"/>
      <c r="Z81" s="1"/>
      <c r="AA81" s="1"/>
      <c r="AB81" s="1"/>
      <c r="AC81" s="1"/>
      <c r="AD81" s="1"/>
      <c r="AE81" s="1"/>
      <c r="AF81" s="1"/>
      <c r="AG81" s="1"/>
      <c r="AH81" s="1">
        <v>0</v>
      </c>
      <c r="AI81" s="1">
        <v>0.11</v>
      </c>
      <c r="AJ81" s="1">
        <v>0.12</v>
      </c>
      <c r="AK81" s="1">
        <v>0.15</v>
      </c>
      <c r="AL81" s="1">
        <v>0.15</v>
      </c>
      <c r="AM81" s="1">
        <v>5</v>
      </c>
      <c r="AN81" s="1"/>
      <c r="AO81" s="1"/>
      <c r="AP81" s="1"/>
      <c r="AQ81" s="1"/>
      <c r="AR81" s="1"/>
      <c r="AS81" s="1"/>
      <c r="AT81" s="1"/>
      <c r="AU81" s="1"/>
      <c r="AV81" s="1"/>
      <c r="AW81" s="1"/>
      <c r="AX81" s="1"/>
      <c r="AY81" s="1"/>
      <c r="AZ81" s="1"/>
      <c r="BA81" s="1"/>
      <c r="BB81" s="1"/>
      <c r="BC81" s="1"/>
      <c r="BD81" s="1"/>
      <c r="BE81" s="1"/>
      <c r="BF81" s="1"/>
      <c r="BG81" s="1"/>
      <c r="BH81" s="1"/>
    </row>
    <row r="82" spans="1:60" x14ac:dyDescent="0.2">
      <c r="A82" s="3">
        <v>80</v>
      </c>
      <c r="B82" s="3" t="s">
        <v>588</v>
      </c>
      <c r="C82" s="3" t="s">
        <v>589</v>
      </c>
      <c r="D82" s="1"/>
      <c r="E82" s="1">
        <f t="shared" si="6"/>
        <v>5.9090909090909101</v>
      </c>
      <c r="F82" s="1">
        <f t="shared" si="7"/>
        <v>5.9090909090909101</v>
      </c>
      <c r="G82" s="1">
        <f t="shared" si="8"/>
        <v>0</v>
      </c>
      <c r="H82" s="1"/>
      <c r="I82" s="1">
        <v>0.40500000000000003</v>
      </c>
      <c r="J82" s="1">
        <v>5.9090909090909101</v>
      </c>
      <c r="K82" s="1"/>
      <c r="L82" s="1"/>
      <c r="M82" s="1"/>
      <c r="N82" s="1"/>
      <c r="O82" s="1"/>
      <c r="P82" s="1"/>
      <c r="Q82" s="1"/>
      <c r="R82" s="1"/>
      <c r="S82" s="1"/>
      <c r="T82" s="1"/>
      <c r="U82" s="1"/>
      <c r="V82" s="1"/>
      <c r="W82" s="1"/>
      <c r="X82" s="1"/>
      <c r="Y82" s="1"/>
      <c r="Z82" s="1"/>
      <c r="AA82" s="1"/>
      <c r="AB82" s="1"/>
      <c r="AC82" s="1"/>
      <c r="AD82" s="1"/>
      <c r="AE82" s="1"/>
      <c r="AF82" s="1"/>
      <c r="AG82" s="1"/>
      <c r="AH82" s="1">
        <v>0</v>
      </c>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row>
    <row r="83" spans="1:60" x14ac:dyDescent="0.2">
      <c r="A83" s="3">
        <v>81</v>
      </c>
      <c r="B83" s="3" t="s">
        <v>593</v>
      </c>
      <c r="C83" s="3" t="s">
        <v>594</v>
      </c>
      <c r="D83" s="1"/>
      <c r="E83" s="1">
        <f t="shared" si="6"/>
        <v>1.6586730154701377</v>
      </c>
      <c r="F83" s="1">
        <f t="shared" si="7"/>
        <v>0.55023923444975997</v>
      </c>
      <c r="G83" s="1">
        <f t="shared" si="8"/>
        <v>5</v>
      </c>
      <c r="H83" s="1"/>
      <c r="I83" s="1">
        <v>0.18099999999999999</v>
      </c>
      <c r="J83" s="1">
        <v>0.55023923444975997</v>
      </c>
      <c r="K83" s="1"/>
      <c r="L83" s="1"/>
      <c r="M83" s="1"/>
      <c r="N83" s="1"/>
      <c r="O83" s="1"/>
      <c r="P83" s="1"/>
      <c r="Q83" s="1"/>
      <c r="R83" s="1"/>
      <c r="S83" s="1"/>
      <c r="T83" s="1"/>
      <c r="U83" s="1"/>
      <c r="V83" s="1"/>
      <c r="W83" s="1"/>
      <c r="X83" s="1"/>
      <c r="Y83" s="1"/>
      <c r="Z83" s="1"/>
      <c r="AA83" s="1"/>
      <c r="AB83" s="1"/>
      <c r="AC83" s="1"/>
      <c r="AD83" s="1"/>
      <c r="AE83" s="1"/>
      <c r="AF83" s="1"/>
      <c r="AG83" s="1"/>
      <c r="AH83" s="1">
        <v>0</v>
      </c>
      <c r="AI83" s="1">
        <v>0.04</v>
      </c>
      <c r="AJ83" s="1">
        <v>0.09</v>
      </c>
      <c r="AK83" s="1">
        <v>0.06</v>
      </c>
      <c r="AL83" s="1">
        <v>0.06</v>
      </c>
      <c r="AM83" s="1">
        <v>5</v>
      </c>
      <c r="AN83" s="1"/>
      <c r="AO83" s="1"/>
      <c r="AP83" s="1"/>
      <c r="AQ83" s="1"/>
      <c r="AR83" s="1"/>
      <c r="AS83" s="1"/>
      <c r="AT83" s="1"/>
      <c r="AU83" s="1"/>
      <c r="AV83" s="1"/>
      <c r="AW83" s="1"/>
      <c r="AX83" s="1"/>
      <c r="AY83" s="1"/>
      <c r="AZ83" s="1"/>
      <c r="BA83" s="1"/>
      <c r="BB83" s="1"/>
      <c r="BC83" s="1"/>
      <c r="BD83" s="1"/>
      <c r="BE83" s="1"/>
      <c r="BF83" s="1"/>
      <c r="BG83" s="1"/>
      <c r="BH83" s="1"/>
    </row>
    <row r="84" spans="1:60" x14ac:dyDescent="0.2">
      <c r="A84" s="3">
        <v>82</v>
      </c>
      <c r="B84" s="3" t="s">
        <v>598</v>
      </c>
      <c r="C84" s="3" t="s">
        <v>599</v>
      </c>
      <c r="D84" s="1"/>
      <c r="E84" s="1">
        <f t="shared" si="6"/>
        <v>1</v>
      </c>
      <c r="F84" s="1">
        <f t="shared" si="7"/>
        <v>0</v>
      </c>
      <c r="G84" s="1">
        <f t="shared" si="8"/>
        <v>1</v>
      </c>
      <c r="H84" s="1"/>
      <c r="I84" s="1">
        <v>0.129</v>
      </c>
      <c r="J84" s="1">
        <v>0</v>
      </c>
      <c r="K84" s="1"/>
      <c r="L84" s="1"/>
      <c r="M84" s="1"/>
      <c r="N84" s="1"/>
      <c r="O84" s="1"/>
      <c r="P84" s="1"/>
      <c r="Q84" s="1"/>
      <c r="R84" s="1"/>
      <c r="S84" s="1"/>
      <c r="T84" s="1"/>
      <c r="U84" s="1"/>
      <c r="V84" s="1"/>
      <c r="W84" s="1"/>
      <c r="X84" s="1"/>
      <c r="Y84" s="1"/>
      <c r="Z84" s="1"/>
      <c r="AA84" s="1"/>
      <c r="AB84" s="1"/>
      <c r="AC84" s="1"/>
      <c r="AD84" s="1"/>
      <c r="AE84" s="1"/>
      <c r="AF84" s="1"/>
      <c r="AG84" s="1"/>
      <c r="AH84" s="1">
        <v>0</v>
      </c>
      <c r="AI84" s="1">
        <v>0.02</v>
      </c>
      <c r="AJ84" s="1">
        <v>0</v>
      </c>
      <c r="AK84" s="1">
        <v>0</v>
      </c>
      <c r="AL84" s="1">
        <v>0</v>
      </c>
      <c r="AM84" s="1">
        <v>1</v>
      </c>
      <c r="AN84" s="1"/>
      <c r="AO84" s="1"/>
      <c r="AP84" s="1"/>
      <c r="AQ84" s="1"/>
      <c r="AR84" s="1"/>
      <c r="AS84" s="1"/>
      <c r="AT84" s="1"/>
      <c r="AU84" s="1"/>
      <c r="AV84" s="1"/>
      <c r="AW84" s="1"/>
      <c r="AX84" s="1"/>
      <c r="AY84" s="1"/>
      <c r="AZ84" s="1"/>
      <c r="BA84" s="1"/>
      <c r="BB84" s="1"/>
      <c r="BC84" s="1"/>
      <c r="BD84" s="1"/>
      <c r="BE84" s="1"/>
      <c r="BF84" s="1"/>
      <c r="BG84" s="1"/>
      <c r="BH84" s="1"/>
    </row>
    <row r="85" spans="1:60" x14ac:dyDescent="0.2">
      <c r="A85" s="3">
        <v>83</v>
      </c>
      <c r="B85" s="3" t="s">
        <v>605</v>
      </c>
      <c r="C85" s="3" t="s">
        <v>606</v>
      </c>
      <c r="D85" s="1"/>
      <c r="E85" s="1">
        <f t="shared" si="6"/>
        <v>3</v>
      </c>
      <c r="F85" s="1">
        <f t="shared" si="7"/>
        <v>0</v>
      </c>
      <c r="G85" s="1">
        <f t="shared" si="8"/>
        <v>3</v>
      </c>
      <c r="H85" s="1"/>
      <c r="I85" s="1">
        <v>0.113</v>
      </c>
      <c r="J85" s="1">
        <v>0</v>
      </c>
      <c r="K85" s="1"/>
      <c r="L85" s="1"/>
      <c r="M85" s="1"/>
      <c r="N85" s="1"/>
      <c r="O85" s="1"/>
      <c r="P85" s="1"/>
      <c r="Q85" s="1"/>
      <c r="R85" s="1"/>
      <c r="S85" s="1"/>
      <c r="T85" s="1"/>
      <c r="U85" s="1"/>
      <c r="V85" s="1"/>
      <c r="W85" s="1"/>
      <c r="X85" s="1"/>
      <c r="Y85" s="1"/>
      <c r="Z85" s="1"/>
      <c r="AA85" s="1"/>
      <c r="AB85" s="1"/>
      <c r="AC85" s="1"/>
      <c r="AD85" s="1"/>
      <c r="AE85" s="1"/>
      <c r="AF85" s="1"/>
      <c r="AG85" s="1"/>
      <c r="AH85" s="1">
        <v>0</v>
      </c>
      <c r="AI85" s="1">
        <v>0.03</v>
      </c>
      <c r="AJ85" s="1">
        <v>0.03</v>
      </c>
      <c r="AK85" s="1">
        <v>0.03</v>
      </c>
      <c r="AL85" s="1">
        <v>0.03</v>
      </c>
      <c r="AM85" s="1">
        <v>3</v>
      </c>
      <c r="AN85" s="1"/>
      <c r="AO85" s="1"/>
      <c r="AP85" s="1"/>
      <c r="AQ85" s="1"/>
      <c r="AR85" s="1"/>
      <c r="AS85" s="1"/>
      <c r="AT85" s="1"/>
      <c r="AU85" s="1"/>
      <c r="AV85" s="1"/>
      <c r="AW85" s="1"/>
      <c r="AX85" s="1"/>
      <c r="AY85" s="1"/>
      <c r="AZ85" s="1"/>
      <c r="BA85" s="1"/>
      <c r="BB85" s="1"/>
      <c r="BC85" s="1"/>
      <c r="BD85" s="1"/>
      <c r="BE85" s="1"/>
      <c r="BF85" s="1"/>
      <c r="BG85" s="1"/>
      <c r="BH85" s="1"/>
    </row>
    <row r="86" spans="1:60" x14ac:dyDescent="0.2">
      <c r="A86" s="3">
        <v>84</v>
      </c>
      <c r="B86" s="3" t="s">
        <v>609</v>
      </c>
      <c r="C86" s="3" t="s">
        <v>610</v>
      </c>
      <c r="D86" s="1"/>
      <c r="E86" s="1">
        <f t="shared" si="6"/>
        <v>4.2105263157894699</v>
      </c>
      <c r="F86" s="1">
        <f t="shared" si="7"/>
        <v>4.2105263157894699</v>
      </c>
      <c r="G86" s="1">
        <f t="shared" si="8"/>
        <v>0</v>
      </c>
      <c r="H86" s="1"/>
      <c r="I86" s="1">
        <v>0.33400000000000002</v>
      </c>
      <c r="J86" s="1">
        <v>4.2105263157894699</v>
      </c>
      <c r="K86" s="1"/>
      <c r="L86" s="1"/>
      <c r="M86" s="1"/>
      <c r="N86" s="1"/>
      <c r="O86" s="1"/>
      <c r="P86" s="1"/>
      <c r="Q86" s="1"/>
      <c r="R86" s="1"/>
      <c r="S86" s="1"/>
      <c r="T86" s="1"/>
      <c r="U86" s="1"/>
      <c r="V86" s="1"/>
      <c r="W86" s="1"/>
      <c r="X86" s="1"/>
      <c r="Y86" s="1"/>
      <c r="Z86" s="1"/>
      <c r="AA86" s="1"/>
      <c r="AB86" s="1"/>
      <c r="AC86" s="1"/>
      <c r="AD86" s="1"/>
      <c r="AE86" s="1"/>
      <c r="AF86" s="1"/>
      <c r="AG86" s="1"/>
      <c r="AH86" s="1">
        <v>0</v>
      </c>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row>
    <row r="87" spans="1:60" x14ac:dyDescent="0.2">
      <c r="A87" s="3">
        <v>85</v>
      </c>
      <c r="B87" s="3" t="s">
        <v>614</v>
      </c>
      <c r="C87" s="3" t="s">
        <v>615</v>
      </c>
      <c r="D87" s="1"/>
      <c r="E87" s="1">
        <f t="shared" si="6"/>
        <v>1.5924462840121516</v>
      </c>
      <c r="F87" s="1">
        <f t="shared" si="7"/>
        <v>2.5358851674641101</v>
      </c>
      <c r="G87" s="1">
        <f t="shared" si="8"/>
        <v>1</v>
      </c>
      <c r="H87" s="1"/>
      <c r="I87" s="1">
        <v>0.26400000000000001</v>
      </c>
      <c r="J87" s="1">
        <v>2.5358851674641101</v>
      </c>
      <c r="K87" s="1"/>
      <c r="L87" s="1"/>
      <c r="M87" s="1"/>
      <c r="N87" s="1"/>
      <c r="O87" s="1"/>
      <c r="P87" s="1"/>
      <c r="Q87" s="1"/>
      <c r="R87" s="1"/>
      <c r="S87" s="1"/>
      <c r="T87" s="1"/>
      <c r="U87" s="1"/>
      <c r="V87" s="1"/>
      <c r="W87" s="1"/>
      <c r="X87" s="1"/>
      <c r="Y87" s="1"/>
      <c r="Z87" s="1"/>
      <c r="AA87" s="1"/>
      <c r="AB87" s="1"/>
      <c r="AC87" s="1"/>
      <c r="AD87" s="1"/>
      <c r="AE87" s="1"/>
      <c r="AF87" s="1"/>
      <c r="AG87" s="1"/>
      <c r="AH87" s="1">
        <v>0</v>
      </c>
      <c r="AI87" s="1">
        <v>0.05</v>
      </c>
      <c r="AJ87" s="1">
        <v>0.04</v>
      </c>
      <c r="AK87" s="1">
        <v>0.02</v>
      </c>
      <c r="AL87" s="1">
        <v>0.02</v>
      </c>
      <c r="AM87" s="1">
        <v>1</v>
      </c>
      <c r="AN87" s="1"/>
      <c r="AO87" s="1"/>
      <c r="AP87" s="1"/>
      <c r="AQ87" s="1"/>
      <c r="AR87" s="1"/>
      <c r="AS87" s="1"/>
      <c r="AT87" s="1"/>
      <c r="AU87" s="1"/>
      <c r="AV87" s="1"/>
      <c r="AW87" s="1"/>
      <c r="AX87" s="1"/>
      <c r="AY87" s="1"/>
      <c r="AZ87" s="1"/>
      <c r="BA87" s="1"/>
      <c r="BB87" s="1"/>
      <c r="BC87" s="1"/>
      <c r="BD87" s="1"/>
      <c r="BE87" s="1"/>
      <c r="BF87" s="1"/>
      <c r="BG87" s="1"/>
      <c r="BH87" s="1"/>
    </row>
    <row r="88" spans="1:60" x14ac:dyDescent="0.2">
      <c r="A88" s="3">
        <v>86</v>
      </c>
      <c r="B88" s="3" t="s">
        <v>619</v>
      </c>
      <c r="C88" s="3" t="s">
        <v>620</v>
      </c>
      <c r="D88" s="1"/>
      <c r="E88" s="1">
        <f t="shared" si="6"/>
        <v>1.4754773779434811</v>
      </c>
      <c r="F88" s="1">
        <f t="shared" si="7"/>
        <v>2.1770334928229702</v>
      </c>
      <c r="G88" s="1">
        <f t="shared" si="8"/>
        <v>1</v>
      </c>
      <c r="H88" s="1"/>
      <c r="I88" s="1">
        <v>0.249</v>
      </c>
      <c r="J88" s="1">
        <v>2.1770334928229702</v>
      </c>
      <c r="K88" s="1"/>
      <c r="L88" s="1"/>
      <c r="M88" s="1"/>
      <c r="N88" s="1"/>
      <c r="O88" s="1"/>
      <c r="P88" s="1"/>
      <c r="Q88" s="1"/>
      <c r="R88" s="1"/>
      <c r="S88" s="1"/>
      <c r="T88" s="1"/>
      <c r="U88" s="1"/>
      <c r="V88" s="1"/>
      <c r="W88" s="1"/>
      <c r="X88" s="1"/>
      <c r="Y88" s="1"/>
      <c r="Z88" s="1"/>
      <c r="AA88" s="1"/>
      <c r="AB88" s="1"/>
      <c r="AC88" s="1"/>
      <c r="AD88" s="1"/>
      <c r="AE88" s="1"/>
      <c r="AF88" s="1"/>
      <c r="AG88" s="1"/>
      <c r="AH88" s="1">
        <v>0</v>
      </c>
      <c r="AI88" s="1">
        <v>0.02</v>
      </c>
      <c r="AJ88" s="1">
        <v>0.02</v>
      </c>
      <c r="AK88" s="1"/>
      <c r="AL88" s="1">
        <v>0.02</v>
      </c>
      <c r="AM88" s="1">
        <v>1</v>
      </c>
      <c r="AN88" s="1"/>
      <c r="AO88" s="1"/>
      <c r="AP88" s="1"/>
      <c r="AQ88" s="1"/>
      <c r="AR88" s="1"/>
      <c r="AS88" s="1"/>
      <c r="AT88" s="1"/>
      <c r="AU88" s="1"/>
      <c r="AV88" s="1"/>
      <c r="AW88" s="1"/>
      <c r="AX88" s="1"/>
      <c r="AY88" s="1"/>
      <c r="AZ88" s="1"/>
      <c r="BA88" s="1"/>
      <c r="BB88" s="1"/>
      <c r="BC88" s="1"/>
      <c r="BD88" s="1"/>
      <c r="BE88" s="1"/>
      <c r="BF88" s="1"/>
      <c r="BG88" s="1"/>
      <c r="BH88" s="1"/>
    </row>
    <row r="89" spans="1:60" x14ac:dyDescent="0.2">
      <c r="A89" s="3">
        <v>87</v>
      </c>
      <c r="B89" s="3" t="s">
        <v>623</v>
      </c>
      <c r="C89" s="3" t="s">
        <v>624</v>
      </c>
      <c r="D89" s="1"/>
      <c r="E89" s="1">
        <f t="shared" si="6"/>
        <v>2.5178786544748935</v>
      </c>
      <c r="F89" s="1">
        <f t="shared" si="7"/>
        <v>1.2679425837320599</v>
      </c>
      <c r="G89" s="1">
        <f t="shared" si="8"/>
        <v>5</v>
      </c>
      <c r="H89" s="1"/>
      <c r="I89" s="1">
        <v>0.21099999999999999</v>
      </c>
      <c r="J89" s="1">
        <v>1.2679425837320599</v>
      </c>
      <c r="K89" s="1"/>
      <c r="L89" s="1"/>
      <c r="M89" s="1"/>
      <c r="N89" s="1"/>
      <c r="O89" s="1"/>
      <c r="P89" s="1"/>
      <c r="Q89" s="1"/>
      <c r="R89" s="1"/>
      <c r="S89" s="1"/>
      <c r="T89" s="1"/>
      <c r="U89" s="1"/>
      <c r="V89" s="1"/>
      <c r="W89" s="1"/>
      <c r="X89" s="1"/>
      <c r="Y89" s="1"/>
      <c r="Z89" s="1"/>
      <c r="AA89" s="1"/>
      <c r="AB89" s="1"/>
      <c r="AC89" s="1"/>
      <c r="AD89" s="1"/>
      <c r="AE89" s="1"/>
      <c r="AF89" s="1"/>
      <c r="AG89" s="1"/>
      <c r="AH89" s="1">
        <v>0</v>
      </c>
      <c r="AI89" s="1">
        <v>0.1</v>
      </c>
      <c r="AJ89" s="1">
        <v>0.11</v>
      </c>
      <c r="AK89" s="1">
        <v>0.11</v>
      </c>
      <c r="AL89" s="1">
        <v>0.11</v>
      </c>
      <c r="AM89" s="1">
        <v>5</v>
      </c>
      <c r="AN89" s="1"/>
      <c r="AO89" s="1"/>
      <c r="AP89" s="1"/>
      <c r="AQ89" s="1"/>
      <c r="AR89" s="1"/>
      <c r="AS89" s="1"/>
      <c r="AT89" s="1"/>
      <c r="AU89" s="1"/>
      <c r="AV89" s="1"/>
      <c r="AW89" s="1"/>
      <c r="AX89" s="1"/>
      <c r="AY89" s="1"/>
      <c r="AZ89" s="1"/>
      <c r="BA89" s="1"/>
      <c r="BB89" s="1"/>
      <c r="BC89" s="1"/>
      <c r="BD89" s="1"/>
      <c r="BE89" s="1"/>
      <c r="BF89" s="1"/>
      <c r="BG89" s="1"/>
      <c r="BH89" s="1"/>
    </row>
    <row r="90" spans="1:60" x14ac:dyDescent="0.2">
      <c r="A90" s="3">
        <v>88</v>
      </c>
      <c r="B90" s="3" t="s">
        <v>626</v>
      </c>
      <c r="C90" s="3" t="s">
        <v>627</v>
      </c>
      <c r="D90" s="1"/>
      <c r="E90" s="1">
        <f t="shared" si="6"/>
        <v>7.0710678118654755</v>
      </c>
      <c r="F90" s="1">
        <f t="shared" si="7"/>
        <v>10</v>
      </c>
      <c r="G90" s="1">
        <f t="shared" si="8"/>
        <v>5</v>
      </c>
      <c r="H90" s="1"/>
      <c r="I90" s="1">
        <v>0.59299999999999997</v>
      </c>
      <c r="J90" s="1">
        <v>10</v>
      </c>
      <c r="K90" s="1" t="s">
        <v>626</v>
      </c>
      <c r="L90" s="1">
        <v>779</v>
      </c>
      <c r="M90" s="1" t="s">
        <v>1090</v>
      </c>
      <c r="N90" s="1">
        <v>2020</v>
      </c>
      <c r="O90" s="1">
        <v>10</v>
      </c>
      <c r="P90" s="1" t="s">
        <v>1091</v>
      </c>
      <c r="Q90" s="1">
        <v>51906764.915700004</v>
      </c>
      <c r="R90" s="1">
        <v>0</v>
      </c>
      <c r="S90" s="1">
        <v>0</v>
      </c>
      <c r="T90" s="1">
        <v>0</v>
      </c>
      <c r="U90" s="1">
        <v>0</v>
      </c>
      <c r="V90" s="1">
        <v>0</v>
      </c>
      <c r="W90" s="1">
        <v>0</v>
      </c>
      <c r="X90" s="1">
        <v>0</v>
      </c>
      <c r="Y90" s="1">
        <v>0</v>
      </c>
      <c r="Z90" s="1">
        <v>0</v>
      </c>
      <c r="AA90" s="1"/>
      <c r="AB90" s="1">
        <v>0</v>
      </c>
      <c r="AC90" s="1"/>
      <c r="AD90" s="1">
        <v>0</v>
      </c>
      <c r="AE90" s="1" t="s">
        <v>1092</v>
      </c>
      <c r="AF90" s="1">
        <v>2</v>
      </c>
      <c r="AG90" s="1">
        <v>5</v>
      </c>
      <c r="AH90" s="1">
        <v>0</v>
      </c>
      <c r="AI90" s="1">
        <v>0.12</v>
      </c>
      <c r="AJ90" s="1">
        <v>0.11</v>
      </c>
      <c r="AK90" s="1">
        <v>0.08</v>
      </c>
      <c r="AL90" s="1">
        <v>0.08</v>
      </c>
      <c r="AM90" s="1">
        <v>5</v>
      </c>
      <c r="AN90" s="1"/>
      <c r="AO90" s="1"/>
      <c r="AP90" s="1"/>
      <c r="AQ90" s="1"/>
      <c r="AR90" s="1"/>
      <c r="AS90" s="1"/>
      <c r="AT90" s="1"/>
      <c r="AU90" s="1"/>
      <c r="AV90" s="1"/>
      <c r="AW90" s="1"/>
      <c r="AX90" s="1"/>
      <c r="AY90" s="1"/>
      <c r="AZ90" s="1"/>
      <c r="BA90" s="1"/>
      <c r="BB90" s="1"/>
      <c r="BC90" s="1"/>
      <c r="BD90" s="1"/>
      <c r="BE90" s="1"/>
      <c r="BF90" s="1"/>
      <c r="BG90" s="1"/>
      <c r="BH90" s="1"/>
    </row>
    <row r="91" spans="1:60" x14ac:dyDescent="0.2">
      <c r="A91" s="3">
        <v>89</v>
      </c>
      <c r="B91" s="3" t="s">
        <v>631</v>
      </c>
      <c r="C91" s="3" t="s">
        <v>632</v>
      </c>
      <c r="D91" s="1"/>
      <c r="E91" s="1">
        <f t="shared" si="6"/>
        <v>4.3197554423068558</v>
      </c>
      <c r="F91" s="1">
        <f t="shared" si="7"/>
        <v>3.7320574162679399</v>
      </c>
      <c r="G91" s="1">
        <f t="shared" si="8"/>
        <v>5</v>
      </c>
      <c r="H91" s="1"/>
      <c r="I91" s="1">
        <v>0.314</v>
      </c>
      <c r="J91" s="1">
        <v>3.7320574162679399</v>
      </c>
      <c r="K91" s="1"/>
      <c r="L91" s="1"/>
      <c r="M91" s="1"/>
      <c r="N91" s="1"/>
      <c r="O91" s="1"/>
      <c r="P91" s="1"/>
      <c r="Q91" s="1"/>
      <c r="R91" s="1"/>
      <c r="S91" s="1"/>
      <c r="T91" s="1"/>
      <c r="U91" s="1"/>
      <c r="V91" s="1"/>
      <c r="W91" s="1"/>
      <c r="X91" s="1"/>
      <c r="Y91" s="1"/>
      <c r="Z91" s="1"/>
      <c r="AA91" s="1"/>
      <c r="AB91" s="1"/>
      <c r="AC91" s="1"/>
      <c r="AD91" s="1"/>
      <c r="AE91" s="1"/>
      <c r="AF91" s="1"/>
      <c r="AG91" s="1"/>
      <c r="AH91" s="1">
        <v>10</v>
      </c>
      <c r="AI91" s="1">
        <v>0.16</v>
      </c>
      <c r="AJ91" s="1">
        <v>0.13</v>
      </c>
      <c r="AK91" s="1">
        <v>0.11</v>
      </c>
      <c r="AL91" s="1">
        <v>0.11</v>
      </c>
      <c r="AM91" s="1">
        <v>5</v>
      </c>
      <c r="AN91" s="1"/>
      <c r="AO91" s="1"/>
      <c r="AP91" s="1"/>
      <c r="AQ91" s="1"/>
      <c r="AR91" s="1"/>
      <c r="AS91" s="1"/>
      <c r="AT91" s="1"/>
      <c r="AU91" s="1"/>
      <c r="AV91" s="1"/>
      <c r="AW91" s="1"/>
      <c r="AX91" s="1"/>
      <c r="AY91" s="1"/>
      <c r="AZ91" s="1"/>
      <c r="BA91" s="1"/>
      <c r="BB91" s="1"/>
      <c r="BC91" s="1"/>
      <c r="BD91" s="1"/>
      <c r="BE91" s="1"/>
      <c r="BF91" s="1"/>
      <c r="BG91" s="1"/>
      <c r="BH91" s="1"/>
    </row>
    <row r="92" spans="1:60" x14ac:dyDescent="0.2">
      <c r="A92" s="3">
        <v>90</v>
      </c>
      <c r="B92" s="3" t="s">
        <v>637</v>
      </c>
      <c r="C92" s="3" t="s">
        <v>638</v>
      </c>
      <c r="D92" s="1"/>
      <c r="E92" s="1">
        <f t="shared" si="6"/>
        <v>9.3301435406698605</v>
      </c>
      <c r="F92" s="1">
        <f t="shared" si="7"/>
        <v>9.3301435406698605</v>
      </c>
      <c r="G92" s="1">
        <f t="shared" si="8"/>
        <v>0</v>
      </c>
      <c r="H92" s="1"/>
      <c r="I92" s="1">
        <v>0.54800000000000004</v>
      </c>
      <c r="J92" s="1">
        <v>9.3301435406698605</v>
      </c>
      <c r="K92" s="1"/>
      <c r="L92" s="1"/>
      <c r="M92" s="1"/>
      <c r="N92" s="1"/>
      <c r="O92" s="1"/>
      <c r="P92" s="1"/>
      <c r="Q92" s="1"/>
      <c r="R92" s="1"/>
      <c r="S92" s="1"/>
      <c r="T92" s="1"/>
      <c r="U92" s="1"/>
      <c r="V92" s="1"/>
      <c r="W92" s="1"/>
      <c r="X92" s="1"/>
      <c r="Y92" s="1"/>
      <c r="Z92" s="1"/>
      <c r="AA92" s="1"/>
      <c r="AB92" s="1"/>
      <c r="AC92" s="1"/>
      <c r="AD92" s="1"/>
      <c r="AE92" s="1"/>
      <c r="AF92" s="1"/>
      <c r="AG92" s="1"/>
      <c r="AH92" s="1">
        <v>0</v>
      </c>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row>
    <row r="93" spans="1:60" x14ac:dyDescent="0.2">
      <c r="A93" s="3">
        <v>91</v>
      </c>
      <c r="B93" s="3" t="s">
        <v>640</v>
      </c>
      <c r="C93" s="3" t="s">
        <v>641</v>
      </c>
      <c r="D93" s="1"/>
      <c r="E93" s="1">
        <f t="shared" si="6"/>
        <v>5.7655502392344502</v>
      </c>
      <c r="F93" s="1">
        <f t="shared" si="7"/>
        <v>5.7655502392344502</v>
      </c>
      <c r="G93" s="1">
        <f t="shared" si="8"/>
        <v>0</v>
      </c>
      <c r="H93" s="1"/>
      <c r="I93" s="1">
        <v>0.39900000000000002</v>
      </c>
      <c r="J93" s="1">
        <v>5.7655502392344502</v>
      </c>
      <c r="K93" s="1"/>
      <c r="L93" s="1"/>
      <c r="M93" s="1"/>
      <c r="N93" s="1"/>
      <c r="O93" s="1"/>
      <c r="P93" s="1"/>
      <c r="Q93" s="1"/>
      <c r="R93" s="1"/>
      <c r="S93" s="1"/>
      <c r="T93" s="1"/>
      <c r="U93" s="1"/>
      <c r="V93" s="1"/>
      <c r="W93" s="1"/>
      <c r="X93" s="1"/>
      <c r="Y93" s="1"/>
      <c r="Z93" s="1"/>
      <c r="AA93" s="1"/>
      <c r="AB93" s="1"/>
      <c r="AC93" s="1"/>
      <c r="AD93" s="1"/>
      <c r="AE93" s="1"/>
      <c r="AF93" s="1"/>
      <c r="AG93" s="1"/>
      <c r="AH93" s="1">
        <v>0</v>
      </c>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row>
    <row r="94" spans="1:60" x14ac:dyDescent="0.2">
      <c r="A94" s="3">
        <v>92</v>
      </c>
      <c r="B94" s="3" t="s">
        <v>644</v>
      </c>
      <c r="C94" s="3" t="s">
        <v>645</v>
      </c>
      <c r="D94" s="1"/>
      <c r="E94" s="1">
        <f t="shared" si="6"/>
        <v>4.01913875598086</v>
      </c>
      <c r="F94" s="1">
        <f t="shared" si="7"/>
        <v>4.01913875598086</v>
      </c>
      <c r="G94" s="1">
        <f t="shared" si="8"/>
        <v>0</v>
      </c>
      <c r="H94" s="1"/>
      <c r="I94" s="1">
        <v>0.32600000000000001</v>
      </c>
      <c r="J94" s="1">
        <v>4.01913875598086</v>
      </c>
      <c r="K94" s="1"/>
      <c r="L94" s="1"/>
      <c r="M94" s="1"/>
      <c r="N94" s="1"/>
      <c r="O94" s="1"/>
      <c r="P94" s="1"/>
      <c r="Q94" s="1"/>
      <c r="R94" s="1"/>
      <c r="S94" s="1"/>
      <c r="T94" s="1"/>
      <c r="U94" s="1"/>
      <c r="V94" s="1"/>
      <c r="W94" s="1"/>
      <c r="X94" s="1"/>
      <c r="Y94" s="1"/>
      <c r="Z94" s="1"/>
      <c r="AA94" s="1"/>
      <c r="AB94" s="1"/>
      <c r="AC94" s="1"/>
      <c r="AD94" s="1"/>
      <c r="AE94" s="1"/>
      <c r="AF94" s="1"/>
      <c r="AG94" s="1"/>
      <c r="AH94" s="1">
        <v>0</v>
      </c>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row>
    <row r="95" spans="1:60" x14ac:dyDescent="0.2">
      <c r="A95" s="3">
        <v>93</v>
      </c>
      <c r="B95" s="3" t="s">
        <v>648</v>
      </c>
      <c r="C95" s="3" t="s">
        <v>649</v>
      </c>
      <c r="D95" s="1"/>
      <c r="E95" s="1">
        <f t="shared" si="6"/>
        <v>0.69171446386607383</v>
      </c>
      <c r="F95" s="1">
        <f t="shared" si="7"/>
        <v>0.47846889952152999</v>
      </c>
      <c r="G95" s="1">
        <f t="shared" si="8"/>
        <v>1</v>
      </c>
      <c r="H95" s="1"/>
      <c r="I95" s="1">
        <v>0.17799999999999999</v>
      </c>
      <c r="J95" s="1">
        <v>0.47846889952152999</v>
      </c>
      <c r="K95" s="1"/>
      <c r="L95" s="1"/>
      <c r="M95" s="1"/>
      <c r="N95" s="1"/>
      <c r="O95" s="1"/>
      <c r="P95" s="1"/>
      <c r="Q95" s="1"/>
      <c r="R95" s="1"/>
      <c r="S95" s="1"/>
      <c r="T95" s="1"/>
      <c r="U95" s="1"/>
      <c r="V95" s="1"/>
      <c r="W95" s="1"/>
      <c r="X95" s="1"/>
      <c r="Y95" s="1"/>
      <c r="Z95" s="1"/>
      <c r="AA95" s="1"/>
      <c r="AB95" s="1"/>
      <c r="AC95" s="1"/>
      <c r="AD95" s="1"/>
      <c r="AE95" s="1"/>
      <c r="AF95" s="1"/>
      <c r="AG95" s="1"/>
      <c r="AH95" s="1">
        <v>0</v>
      </c>
      <c r="AI95" s="1">
        <v>0.02</v>
      </c>
      <c r="AJ95" s="1">
        <v>0.02</v>
      </c>
      <c r="AK95" s="1"/>
      <c r="AL95" s="1">
        <v>0.02</v>
      </c>
      <c r="AM95" s="1">
        <v>1</v>
      </c>
      <c r="AN95" s="1"/>
      <c r="AO95" s="1"/>
      <c r="AP95" s="1"/>
      <c r="AQ95" s="1"/>
      <c r="AR95" s="1"/>
      <c r="AS95" s="1"/>
      <c r="AT95" s="1"/>
      <c r="AU95" s="1"/>
      <c r="AV95" s="1"/>
      <c r="AW95" s="1"/>
      <c r="AX95" s="1"/>
      <c r="AY95" s="1"/>
      <c r="AZ95" s="1"/>
      <c r="BA95" s="1"/>
      <c r="BB95" s="1"/>
      <c r="BC95" s="1"/>
      <c r="BD95" s="1"/>
      <c r="BE95" s="1"/>
      <c r="BF95" s="1"/>
      <c r="BG95" s="1"/>
      <c r="BH95" s="1"/>
    </row>
    <row r="96" spans="1:60" x14ac:dyDescent="0.2">
      <c r="A96" s="3">
        <v>94</v>
      </c>
      <c r="B96" s="3" t="s">
        <v>653</v>
      </c>
      <c r="C96" s="3" t="s">
        <v>654</v>
      </c>
      <c r="D96" s="1"/>
      <c r="E96" s="1">
        <f t="shared" si="6"/>
        <v>0.8036995796652292</v>
      </c>
      <c r="F96" s="1">
        <f t="shared" si="7"/>
        <v>0.64593301435406603</v>
      </c>
      <c r="G96" s="1">
        <f t="shared" si="8"/>
        <v>1</v>
      </c>
      <c r="H96" s="1"/>
      <c r="I96" s="1">
        <v>0.185</v>
      </c>
      <c r="J96" s="1">
        <v>0.64593301435406603</v>
      </c>
      <c r="K96" s="1"/>
      <c r="L96" s="1"/>
      <c r="M96" s="1"/>
      <c r="N96" s="1"/>
      <c r="O96" s="1"/>
      <c r="P96" s="1"/>
      <c r="Q96" s="1"/>
      <c r="R96" s="1"/>
      <c r="S96" s="1"/>
      <c r="T96" s="1"/>
      <c r="U96" s="1"/>
      <c r="V96" s="1"/>
      <c r="W96" s="1"/>
      <c r="X96" s="1"/>
      <c r="Y96" s="1"/>
      <c r="Z96" s="1"/>
      <c r="AA96" s="1"/>
      <c r="AB96" s="1"/>
      <c r="AC96" s="1"/>
      <c r="AD96" s="1"/>
      <c r="AE96" s="1"/>
      <c r="AF96" s="1"/>
      <c r="AG96" s="1"/>
      <c r="AH96" s="1">
        <v>0</v>
      </c>
      <c r="AI96" s="1">
        <v>0.01</v>
      </c>
      <c r="AJ96" s="1">
        <v>0.02</v>
      </c>
      <c r="AK96" s="1"/>
      <c r="AL96" s="1">
        <v>0.02</v>
      </c>
      <c r="AM96" s="1">
        <v>1</v>
      </c>
      <c r="AN96" s="1"/>
      <c r="AO96" s="1"/>
      <c r="AP96" s="1"/>
      <c r="AQ96" s="1"/>
      <c r="AR96" s="1"/>
      <c r="AS96" s="1"/>
      <c r="AT96" s="1"/>
      <c r="AU96" s="1"/>
      <c r="AV96" s="1"/>
      <c r="AW96" s="1"/>
      <c r="AX96" s="1"/>
      <c r="AY96" s="1"/>
      <c r="AZ96" s="1"/>
      <c r="BA96" s="1"/>
      <c r="BB96" s="1"/>
      <c r="BC96" s="1"/>
      <c r="BD96" s="1"/>
      <c r="BE96" s="1"/>
      <c r="BF96" s="1"/>
      <c r="BG96" s="1"/>
      <c r="BH96" s="1"/>
    </row>
    <row r="97" spans="1:60" x14ac:dyDescent="0.2">
      <c r="A97" s="3">
        <v>95</v>
      </c>
      <c r="B97" s="3" t="s">
        <v>658</v>
      </c>
      <c r="C97" s="3" t="s">
        <v>659</v>
      </c>
      <c r="D97" s="1"/>
      <c r="E97" s="1">
        <f t="shared" si="6"/>
        <v>6.5803826185639505</v>
      </c>
      <c r="F97" s="1">
        <f t="shared" si="7"/>
        <v>8.6602870813397104</v>
      </c>
      <c r="G97" s="1">
        <f t="shared" si="8"/>
        <v>5</v>
      </c>
      <c r="H97" s="1"/>
      <c r="I97" s="1">
        <v>0.52</v>
      </c>
      <c r="J97" s="1">
        <v>8.6602870813397104</v>
      </c>
      <c r="K97" s="1"/>
      <c r="L97" s="1"/>
      <c r="M97" s="1"/>
      <c r="N97" s="1"/>
      <c r="O97" s="1"/>
      <c r="P97" s="1"/>
      <c r="Q97" s="1"/>
      <c r="R97" s="1"/>
      <c r="S97" s="1"/>
      <c r="T97" s="1"/>
      <c r="U97" s="1"/>
      <c r="V97" s="1"/>
      <c r="W97" s="1"/>
      <c r="X97" s="1"/>
      <c r="Y97" s="1"/>
      <c r="Z97" s="1"/>
      <c r="AA97" s="1"/>
      <c r="AB97" s="1"/>
      <c r="AC97" s="1"/>
      <c r="AD97" s="1"/>
      <c r="AE97" s="1"/>
      <c r="AF97" s="1"/>
      <c r="AG97" s="1"/>
      <c r="AH97" s="1">
        <v>0</v>
      </c>
      <c r="AI97" s="1">
        <v>0.11</v>
      </c>
      <c r="AJ97" s="1">
        <v>0.11</v>
      </c>
      <c r="AK97" s="1"/>
      <c r="AL97" s="1">
        <v>0.11</v>
      </c>
      <c r="AM97" s="1">
        <v>5</v>
      </c>
      <c r="AN97" s="1"/>
      <c r="AO97" s="1"/>
      <c r="AP97" s="1"/>
      <c r="AQ97" s="1"/>
      <c r="AR97" s="1"/>
      <c r="AS97" s="1"/>
      <c r="AT97" s="1"/>
      <c r="AU97" s="1"/>
      <c r="AV97" s="1"/>
      <c r="AW97" s="1"/>
      <c r="AX97" s="1"/>
      <c r="AY97" s="1"/>
      <c r="AZ97" s="1"/>
      <c r="BA97" s="1"/>
      <c r="BB97" s="1"/>
      <c r="BC97" s="1"/>
      <c r="BD97" s="1"/>
      <c r="BE97" s="1"/>
      <c r="BF97" s="1"/>
      <c r="BG97" s="1"/>
      <c r="BH97" s="1"/>
    </row>
    <row r="98" spans="1:60" x14ac:dyDescent="0.2">
      <c r="A98" s="3">
        <v>96</v>
      </c>
      <c r="B98" s="3" t="s">
        <v>661</v>
      </c>
      <c r="C98" s="3" t="s">
        <v>662</v>
      </c>
      <c r="D98" s="1"/>
      <c r="E98" s="1">
        <f t="shared" si="6"/>
        <v>5.8079305622801565</v>
      </c>
      <c r="F98" s="1">
        <f t="shared" si="7"/>
        <v>3.3732057416267902</v>
      </c>
      <c r="G98" s="1">
        <f t="shared" si="8"/>
        <v>10</v>
      </c>
      <c r="H98" s="1"/>
      <c r="I98" s="1">
        <v>0.29899999999999999</v>
      </c>
      <c r="J98" s="1">
        <v>3.3732057416267902</v>
      </c>
      <c r="K98" s="1"/>
      <c r="L98" s="1"/>
      <c r="M98" s="1"/>
      <c r="N98" s="1"/>
      <c r="O98" s="1"/>
      <c r="P98" s="1"/>
      <c r="Q98" s="1"/>
      <c r="R98" s="1"/>
      <c r="S98" s="1"/>
      <c r="T98" s="1"/>
      <c r="U98" s="1"/>
      <c r="V98" s="1"/>
      <c r="W98" s="1"/>
      <c r="X98" s="1"/>
      <c r="Y98" s="1"/>
      <c r="Z98" s="1"/>
      <c r="AA98" s="1"/>
      <c r="AB98" s="1"/>
      <c r="AC98" s="1"/>
      <c r="AD98" s="1"/>
      <c r="AE98" s="1"/>
      <c r="AF98" s="1"/>
      <c r="AG98" s="1"/>
      <c r="AH98" s="1">
        <v>0</v>
      </c>
      <c r="AI98" s="1"/>
      <c r="AJ98" s="1"/>
      <c r="AK98" s="1"/>
      <c r="AL98" s="1"/>
      <c r="AM98" s="1"/>
      <c r="AN98" s="1">
        <v>10</v>
      </c>
      <c r="AO98" s="1"/>
      <c r="AP98" s="1"/>
      <c r="AQ98" s="1"/>
      <c r="AR98" s="1"/>
      <c r="AS98" s="1"/>
      <c r="AT98" s="1"/>
      <c r="AU98" s="1"/>
      <c r="AV98" s="1"/>
      <c r="AW98" s="1"/>
      <c r="AX98" s="1"/>
      <c r="AY98" s="1"/>
      <c r="AZ98" s="1"/>
      <c r="BA98" s="1"/>
      <c r="BB98" s="1"/>
      <c r="BC98" s="1"/>
      <c r="BD98" s="1"/>
      <c r="BE98" s="1"/>
      <c r="BF98" s="1"/>
      <c r="BG98" s="1"/>
      <c r="BH98" s="1"/>
    </row>
    <row r="99" spans="1:60" x14ac:dyDescent="0.2">
      <c r="A99" s="3">
        <v>97</v>
      </c>
      <c r="B99" s="3" t="s">
        <v>667</v>
      </c>
      <c r="C99" s="3" t="s">
        <v>668</v>
      </c>
      <c r="D99" s="1"/>
      <c r="E99" s="1">
        <f t="shared" ref="E99:E130" si="9">IFERROR(GEOMEAN(F99, G99), MAX(F99, G99))</f>
        <v>6.9774071492436063</v>
      </c>
      <c r="F99" s="1">
        <f t="shared" ref="F99:F130" si="10">MAX(J99)</f>
        <v>9.7368421052631593</v>
      </c>
      <c r="G99" s="1">
        <f t="shared" ref="G99:G130" si="11">MAX(AM99, AN99)</f>
        <v>5</v>
      </c>
      <c r="H99" s="1"/>
      <c r="I99" s="1">
        <v>0.56499999999999995</v>
      </c>
      <c r="J99" s="1">
        <v>9.7368421052631593</v>
      </c>
      <c r="K99" s="1"/>
      <c r="L99" s="1"/>
      <c r="M99" s="1"/>
      <c r="N99" s="1"/>
      <c r="O99" s="1"/>
      <c r="P99" s="1"/>
      <c r="Q99" s="1"/>
      <c r="R99" s="1"/>
      <c r="S99" s="1"/>
      <c r="T99" s="1"/>
      <c r="U99" s="1"/>
      <c r="V99" s="1"/>
      <c r="W99" s="1"/>
      <c r="X99" s="1"/>
      <c r="Y99" s="1"/>
      <c r="Z99" s="1"/>
      <c r="AA99" s="1"/>
      <c r="AB99" s="1"/>
      <c r="AC99" s="1"/>
      <c r="AD99" s="1"/>
      <c r="AE99" s="1"/>
      <c r="AF99" s="1"/>
      <c r="AG99" s="1"/>
      <c r="AH99" s="1">
        <v>0</v>
      </c>
      <c r="AI99" s="1">
        <v>0.3</v>
      </c>
      <c r="AJ99" s="1"/>
      <c r="AK99" s="1"/>
      <c r="AL99" s="1">
        <v>0.3</v>
      </c>
      <c r="AM99" s="1">
        <v>5</v>
      </c>
      <c r="AN99" s="1"/>
      <c r="AO99" s="1"/>
      <c r="AP99" s="1"/>
      <c r="AQ99" s="1"/>
      <c r="AR99" s="1"/>
      <c r="AS99" s="1"/>
      <c r="AT99" s="1"/>
      <c r="AU99" s="1"/>
      <c r="AV99" s="1"/>
      <c r="AW99" s="1"/>
      <c r="AX99" s="1"/>
      <c r="AY99" s="1"/>
      <c r="AZ99" s="1"/>
      <c r="BA99" s="1"/>
      <c r="BB99" s="1"/>
      <c r="BC99" s="1"/>
      <c r="BD99" s="1"/>
      <c r="BE99" s="1"/>
      <c r="BF99" s="1"/>
      <c r="BG99" s="1"/>
      <c r="BH99" s="1"/>
    </row>
    <row r="100" spans="1:60" x14ac:dyDescent="0.2">
      <c r="A100" s="3">
        <v>98</v>
      </c>
      <c r="B100" s="3" t="s">
        <v>672</v>
      </c>
      <c r="C100" s="3" t="s">
        <v>673</v>
      </c>
      <c r="D100" s="1"/>
      <c r="E100" s="1">
        <f t="shared" si="9"/>
        <v>3.42105263157895</v>
      </c>
      <c r="F100" s="1">
        <f t="shared" si="10"/>
        <v>3.42105263157895</v>
      </c>
      <c r="G100" s="1">
        <f t="shared" si="11"/>
        <v>0</v>
      </c>
      <c r="H100" s="1"/>
      <c r="I100" s="1">
        <v>0.30099999999999999</v>
      </c>
      <c r="J100" s="1">
        <v>3.42105263157895</v>
      </c>
      <c r="K100" s="1"/>
      <c r="L100" s="1"/>
      <c r="M100" s="1"/>
      <c r="N100" s="1"/>
      <c r="O100" s="1"/>
      <c r="P100" s="1"/>
      <c r="Q100" s="1"/>
      <c r="R100" s="1"/>
      <c r="S100" s="1"/>
      <c r="T100" s="1"/>
      <c r="U100" s="1"/>
      <c r="V100" s="1"/>
      <c r="W100" s="1"/>
      <c r="X100" s="1"/>
      <c r="Y100" s="1"/>
      <c r="Z100" s="1"/>
      <c r="AA100" s="1"/>
      <c r="AB100" s="1"/>
      <c r="AC100" s="1"/>
      <c r="AD100" s="1"/>
      <c r="AE100" s="1"/>
      <c r="AF100" s="1"/>
      <c r="AG100" s="1"/>
      <c r="AH100" s="1">
        <v>0</v>
      </c>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row>
    <row r="101" spans="1:60" x14ac:dyDescent="0.2">
      <c r="A101" s="3">
        <v>99</v>
      </c>
      <c r="B101" s="3" t="s">
        <v>676</v>
      </c>
      <c r="C101" s="3" t="s">
        <v>677</v>
      </c>
      <c r="D101" s="1"/>
      <c r="E101" s="1">
        <f t="shared" si="9"/>
        <v>0</v>
      </c>
      <c r="F101" s="1">
        <f t="shared" si="10"/>
        <v>0</v>
      </c>
      <c r="G101" s="1">
        <f t="shared" si="11"/>
        <v>0</v>
      </c>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v>0</v>
      </c>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row>
    <row r="102" spans="1:60" x14ac:dyDescent="0.2">
      <c r="A102" s="3">
        <v>100</v>
      </c>
      <c r="B102" s="3" t="s">
        <v>680</v>
      </c>
      <c r="C102" s="3" t="s">
        <v>681</v>
      </c>
      <c r="D102" s="1"/>
      <c r="E102" s="1">
        <f t="shared" si="9"/>
        <v>0</v>
      </c>
      <c r="F102" s="1">
        <f t="shared" si="10"/>
        <v>0</v>
      </c>
      <c r="G102" s="1">
        <f t="shared" si="11"/>
        <v>0</v>
      </c>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v>0</v>
      </c>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row>
    <row r="103" spans="1:60" x14ac:dyDescent="0.2">
      <c r="A103" s="3">
        <v>101</v>
      </c>
      <c r="B103" s="3" t="s">
        <v>683</v>
      </c>
      <c r="C103" s="3" t="s">
        <v>684</v>
      </c>
      <c r="D103" s="1"/>
      <c r="E103" s="1">
        <f t="shared" si="9"/>
        <v>5.3244044076920662</v>
      </c>
      <c r="F103" s="1">
        <f t="shared" si="10"/>
        <v>5.6698564593301404</v>
      </c>
      <c r="G103" s="1">
        <f t="shared" si="11"/>
        <v>5</v>
      </c>
      <c r="H103" s="1"/>
      <c r="I103" s="1">
        <v>0.39500000000000002</v>
      </c>
      <c r="J103" s="1">
        <v>5.6698564593301404</v>
      </c>
      <c r="K103" s="1"/>
      <c r="L103" s="1"/>
      <c r="M103" s="1"/>
      <c r="N103" s="1"/>
      <c r="O103" s="1"/>
      <c r="P103" s="1"/>
      <c r="Q103" s="1"/>
      <c r="R103" s="1"/>
      <c r="S103" s="1"/>
      <c r="T103" s="1"/>
      <c r="U103" s="1"/>
      <c r="V103" s="1"/>
      <c r="W103" s="1"/>
      <c r="X103" s="1"/>
      <c r="Y103" s="1"/>
      <c r="Z103" s="1"/>
      <c r="AA103" s="1"/>
      <c r="AB103" s="1"/>
      <c r="AC103" s="1"/>
      <c r="AD103" s="1"/>
      <c r="AE103" s="1"/>
      <c r="AF103" s="1"/>
      <c r="AG103" s="1"/>
      <c r="AH103" s="1">
        <v>0</v>
      </c>
      <c r="AI103" s="1">
        <v>0.13</v>
      </c>
      <c r="AJ103" s="1">
        <v>0.1</v>
      </c>
      <c r="AK103" s="1">
        <v>0.1</v>
      </c>
      <c r="AL103" s="1">
        <v>0.1</v>
      </c>
      <c r="AM103" s="1">
        <v>5</v>
      </c>
      <c r="AN103" s="1"/>
      <c r="AO103" s="1"/>
      <c r="AP103" s="1"/>
      <c r="AQ103" s="1"/>
      <c r="AR103" s="1"/>
      <c r="AS103" s="1"/>
      <c r="AT103" s="1"/>
      <c r="AU103" s="1"/>
      <c r="AV103" s="1"/>
      <c r="AW103" s="1"/>
      <c r="AX103" s="1"/>
      <c r="AY103" s="1"/>
      <c r="AZ103" s="1"/>
      <c r="BA103" s="1"/>
      <c r="BB103" s="1"/>
      <c r="BC103" s="1"/>
      <c r="BD103" s="1"/>
      <c r="BE103" s="1"/>
      <c r="BF103" s="1"/>
      <c r="BG103" s="1"/>
      <c r="BH103" s="1"/>
    </row>
    <row r="104" spans="1:60" x14ac:dyDescent="0.2">
      <c r="A104" s="3">
        <v>102</v>
      </c>
      <c r="B104" s="3" t="s">
        <v>688</v>
      </c>
      <c r="C104" s="3" t="s">
        <v>689</v>
      </c>
      <c r="D104" s="1"/>
      <c r="E104" s="1">
        <f t="shared" si="9"/>
        <v>6.616638444574412</v>
      </c>
      <c r="F104" s="1">
        <f t="shared" si="10"/>
        <v>8.7559808612440193</v>
      </c>
      <c r="G104" s="1">
        <f t="shared" si="11"/>
        <v>5</v>
      </c>
      <c r="H104" s="1"/>
      <c r="I104" s="1">
        <v>0.52400000000000002</v>
      </c>
      <c r="J104" s="1">
        <v>8.7559808612440193</v>
      </c>
      <c r="K104" s="1"/>
      <c r="L104" s="1"/>
      <c r="M104" s="1"/>
      <c r="N104" s="1"/>
      <c r="O104" s="1"/>
      <c r="P104" s="1"/>
      <c r="Q104" s="1"/>
      <c r="R104" s="1"/>
      <c r="S104" s="1"/>
      <c r="T104" s="1"/>
      <c r="U104" s="1"/>
      <c r="V104" s="1"/>
      <c r="W104" s="1"/>
      <c r="X104" s="1"/>
      <c r="Y104" s="1"/>
      <c r="Z104" s="1"/>
      <c r="AA104" s="1"/>
      <c r="AB104" s="1"/>
      <c r="AC104" s="1"/>
      <c r="AD104" s="1"/>
      <c r="AE104" s="1"/>
      <c r="AF104" s="1"/>
      <c r="AG104" s="1"/>
      <c r="AH104" s="1">
        <v>0</v>
      </c>
      <c r="AI104" s="1">
        <v>0.09</v>
      </c>
      <c r="AJ104" s="1">
        <v>0.1</v>
      </c>
      <c r="AK104" s="1"/>
      <c r="AL104" s="1">
        <v>0.1</v>
      </c>
      <c r="AM104" s="1">
        <v>5</v>
      </c>
      <c r="AN104" s="1"/>
      <c r="AO104" s="1"/>
      <c r="AP104" s="1"/>
      <c r="AQ104" s="1"/>
      <c r="AR104" s="1"/>
      <c r="AS104" s="1"/>
      <c r="AT104" s="1"/>
      <c r="AU104" s="1"/>
      <c r="AV104" s="1"/>
      <c r="AW104" s="1"/>
      <c r="AX104" s="1"/>
      <c r="AY104" s="1"/>
      <c r="AZ104" s="1"/>
      <c r="BA104" s="1"/>
      <c r="BB104" s="1"/>
      <c r="BC104" s="1"/>
      <c r="BD104" s="1"/>
      <c r="BE104" s="1"/>
      <c r="BF104" s="1"/>
      <c r="BG104" s="1"/>
      <c r="BH104" s="1"/>
    </row>
    <row r="105" spans="1:60" x14ac:dyDescent="0.2">
      <c r="A105" s="3">
        <v>103</v>
      </c>
      <c r="B105" s="3" t="s">
        <v>693</v>
      </c>
      <c r="C105" s="3" t="s">
        <v>694</v>
      </c>
      <c r="D105" s="1"/>
      <c r="E105" s="1">
        <f t="shared" si="9"/>
        <v>2.6111648393354661</v>
      </c>
      <c r="F105" s="1">
        <f t="shared" si="10"/>
        <v>2.2727272727272698</v>
      </c>
      <c r="G105" s="1">
        <f t="shared" si="11"/>
        <v>3</v>
      </c>
      <c r="H105" s="1"/>
      <c r="I105" s="1">
        <v>0.253</v>
      </c>
      <c r="J105" s="1">
        <v>2.2727272727272698</v>
      </c>
      <c r="K105" s="1"/>
      <c r="L105" s="1"/>
      <c r="M105" s="1"/>
      <c r="N105" s="1"/>
      <c r="O105" s="1"/>
      <c r="P105" s="1"/>
      <c r="Q105" s="1"/>
      <c r="R105" s="1"/>
      <c r="S105" s="1"/>
      <c r="T105" s="1"/>
      <c r="U105" s="1"/>
      <c r="V105" s="1"/>
      <c r="W105" s="1"/>
      <c r="X105" s="1"/>
      <c r="Y105" s="1"/>
      <c r="Z105" s="1"/>
      <c r="AA105" s="1"/>
      <c r="AB105" s="1"/>
      <c r="AC105" s="1"/>
      <c r="AD105" s="1"/>
      <c r="AE105" s="1"/>
      <c r="AF105" s="1"/>
      <c r="AG105" s="1"/>
      <c r="AH105" s="1">
        <v>0</v>
      </c>
      <c r="AI105" s="1">
        <v>0.03</v>
      </c>
      <c r="AJ105" s="1">
        <v>0.03</v>
      </c>
      <c r="AK105" s="1">
        <v>0.03</v>
      </c>
      <c r="AL105" s="1">
        <v>0.03</v>
      </c>
      <c r="AM105" s="1">
        <v>3</v>
      </c>
      <c r="AN105" s="1"/>
      <c r="AO105" s="1"/>
      <c r="AP105" s="1"/>
      <c r="AQ105" s="1"/>
      <c r="AR105" s="1"/>
      <c r="AS105" s="1"/>
      <c r="AT105" s="1"/>
      <c r="AU105" s="1"/>
      <c r="AV105" s="1"/>
      <c r="AW105" s="1"/>
      <c r="AX105" s="1"/>
      <c r="AY105" s="1"/>
      <c r="AZ105" s="1"/>
      <c r="BA105" s="1"/>
      <c r="BB105" s="1"/>
      <c r="BC105" s="1"/>
      <c r="BD105" s="1"/>
      <c r="BE105" s="1"/>
      <c r="BF105" s="1"/>
      <c r="BG105" s="1"/>
      <c r="BH105" s="1"/>
    </row>
    <row r="106" spans="1:60" x14ac:dyDescent="0.2">
      <c r="A106" s="3">
        <v>104</v>
      </c>
      <c r="B106" s="3" t="s">
        <v>698</v>
      </c>
      <c r="C106" s="3" t="s">
        <v>699</v>
      </c>
      <c r="D106" s="1"/>
      <c r="E106" s="1">
        <f t="shared" si="9"/>
        <v>3</v>
      </c>
      <c r="F106" s="1">
        <f t="shared" si="10"/>
        <v>0</v>
      </c>
      <c r="G106" s="1">
        <f t="shared" si="11"/>
        <v>3</v>
      </c>
      <c r="H106" s="1"/>
      <c r="I106" s="1">
        <v>9.0999999999999998E-2</v>
      </c>
      <c r="J106" s="1">
        <v>0</v>
      </c>
      <c r="K106" s="1"/>
      <c r="L106" s="1"/>
      <c r="M106" s="1"/>
      <c r="N106" s="1"/>
      <c r="O106" s="1"/>
      <c r="P106" s="1"/>
      <c r="Q106" s="1"/>
      <c r="R106" s="1"/>
      <c r="S106" s="1"/>
      <c r="T106" s="1"/>
      <c r="U106" s="1"/>
      <c r="V106" s="1"/>
      <c r="W106" s="1"/>
      <c r="X106" s="1"/>
      <c r="Y106" s="1"/>
      <c r="Z106" s="1"/>
      <c r="AA106" s="1"/>
      <c r="AB106" s="1"/>
      <c r="AC106" s="1"/>
      <c r="AD106" s="1"/>
      <c r="AE106" s="1"/>
      <c r="AF106" s="1"/>
      <c r="AG106" s="1"/>
      <c r="AH106" s="1">
        <v>0</v>
      </c>
      <c r="AI106" s="1">
        <v>0.04</v>
      </c>
      <c r="AJ106" s="1">
        <v>0.04</v>
      </c>
      <c r="AK106" s="1">
        <v>0.03</v>
      </c>
      <c r="AL106" s="1">
        <v>0.03</v>
      </c>
      <c r="AM106" s="1">
        <v>3</v>
      </c>
      <c r="AN106" s="1"/>
      <c r="AO106" s="1"/>
      <c r="AP106" s="1"/>
      <c r="AQ106" s="1"/>
      <c r="AR106" s="1"/>
      <c r="AS106" s="1"/>
      <c r="AT106" s="1"/>
      <c r="AU106" s="1"/>
      <c r="AV106" s="1"/>
      <c r="AW106" s="1"/>
      <c r="AX106" s="1"/>
      <c r="AY106" s="1"/>
      <c r="AZ106" s="1"/>
      <c r="BA106" s="1"/>
      <c r="BB106" s="1"/>
      <c r="BC106" s="1"/>
      <c r="BD106" s="1"/>
      <c r="BE106" s="1"/>
      <c r="BF106" s="1"/>
      <c r="BG106" s="1"/>
      <c r="BH106" s="1"/>
    </row>
    <row r="107" spans="1:60" x14ac:dyDescent="0.2">
      <c r="A107" s="3">
        <v>105</v>
      </c>
      <c r="B107" s="3" t="s">
        <v>702</v>
      </c>
      <c r="C107" s="3" t="s">
        <v>703</v>
      </c>
      <c r="D107" s="1"/>
      <c r="E107" s="1">
        <f t="shared" si="9"/>
        <v>0.96592668151728056</v>
      </c>
      <c r="F107" s="1">
        <f t="shared" si="10"/>
        <v>0.93301435406698596</v>
      </c>
      <c r="G107" s="1">
        <f t="shared" si="11"/>
        <v>1</v>
      </c>
      <c r="H107" s="1"/>
      <c r="I107" s="1">
        <v>0.19700000000000001</v>
      </c>
      <c r="J107" s="1">
        <v>0.93301435406698596</v>
      </c>
      <c r="K107" s="1"/>
      <c r="L107" s="1"/>
      <c r="M107" s="1"/>
      <c r="N107" s="1"/>
      <c r="O107" s="1"/>
      <c r="P107" s="1"/>
      <c r="Q107" s="1"/>
      <c r="R107" s="1"/>
      <c r="S107" s="1"/>
      <c r="T107" s="1"/>
      <c r="U107" s="1"/>
      <c r="V107" s="1"/>
      <c r="W107" s="1"/>
      <c r="X107" s="1"/>
      <c r="Y107" s="1"/>
      <c r="Z107" s="1"/>
      <c r="AA107" s="1"/>
      <c r="AB107" s="1"/>
      <c r="AC107" s="1"/>
      <c r="AD107" s="1"/>
      <c r="AE107" s="1"/>
      <c r="AF107" s="1"/>
      <c r="AG107" s="1"/>
      <c r="AH107" s="1">
        <v>0</v>
      </c>
      <c r="AI107" s="1">
        <v>0.03</v>
      </c>
      <c r="AJ107" s="1">
        <v>0.02</v>
      </c>
      <c r="AK107" s="1">
        <v>0.01</v>
      </c>
      <c r="AL107" s="1">
        <v>0.01</v>
      </c>
      <c r="AM107" s="1">
        <v>1</v>
      </c>
      <c r="AN107" s="1"/>
      <c r="AO107" s="1"/>
      <c r="AP107" s="1"/>
      <c r="AQ107" s="1"/>
      <c r="AR107" s="1"/>
      <c r="AS107" s="1"/>
      <c r="AT107" s="1"/>
      <c r="AU107" s="1"/>
      <c r="AV107" s="1"/>
      <c r="AW107" s="1"/>
      <c r="AX107" s="1"/>
      <c r="AY107" s="1"/>
      <c r="AZ107" s="1"/>
      <c r="BA107" s="1"/>
      <c r="BB107" s="1"/>
      <c r="BC107" s="1"/>
      <c r="BD107" s="1"/>
      <c r="BE107" s="1"/>
      <c r="BF107" s="1"/>
      <c r="BG107" s="1"/>
      <c r="BH107" s="1"/>
    </row>
    <row r="108" spans="1:60" x14ac:dyDescent="0.2">
      <c r="A108" s="3">
        <v>106</v>
      </c>
      <c r="B108" s="3" t="s">
        <v>706</v>
      </c>
      <c r="C108" s="3" t="s">
        <v>707</v>
      </c>
      <c r="D108" s="1"/>
      <c r="E108" s="1">
        <f t="shared" si="9"/>
        <v>1.8689095661661053</v>
      </c>
      <c r="F108" s="1">
        <f t="shared" si="10"/>
        <v>3.4928229665071799</v>
      </c>
      <c r="G108" s="1">
        <f t="shared" si="11"/>
        <v>1</v>
      </c>
      <c r="H108" s="1"/>
      <c r="I108" s="1">
        <v>0.30399999999999999</v>
      </c>
      <c r="J108" s="1">
        <v>3.4928229665071799</v>
      </c>
      <c r="K108" s="1"/>
      <c r="L108" s="1"/>
      <c r="M108" s="1"/>
      <c r="N108" s="1"/>
      <c r="O108" s="1"/>
      <c r="P108" s="1"/>
      <c r="Q108" s="1"/>
      <c r="R108" s="1"/>
      <c r="S108" s="1"/>
      <c r="T108" s="1"/>
      <c r="U108" s="1"/>
      <c r="V108" s="1"/>
      <c r="W108" s="1"/>
      <c r="X108" s="1"/>
      <c r="Y108" s="1"/>
      <c r="Z108" s="1"/>
      <c r="AA108" s="1"/>
      <c r="AB108" s="1"/>
      <c r="AC108" s="1"/>
      <c r="AD108" s="1"/>
      <c r="AE108" s="1"/>
      <c r="AF108" s="1"/>
      <c r="AG108" s="1"/>
      <c r="AH108" s="1">
        <v>0</v>
      </c>
      <c r="AI108" s="1">
        <v>0.03</v>
      </c>
      <c r="AJ108" s="1">
        <v>0.01</v>
      </c>
      <c r="AK108" s="1">
        <v>0.02</v>
      </c>
      <c r="AL108" s="1">
        <v>0.02</v>
      </c>
      <c r="AM108" s="1">
        <v>1</v>
      </c>
      <c r="AN108" s="1"/>
      <c r="AO108" s="1"/>
      <c r="AP108" s="1"/>
      <c r="AQ108" s="1"/>
      <c r="AR108" s="1"/>
      <c r="AS108" s="1"/>
      <c r="AT108" s="1"/>
      <c r="AU108" s="1"/>
      <c r="AV108" s="1"/>
      <c r="AW108" s="1"/>
      <c r="AX108" s="1"/>
      <c r="AY108" s="1"/>
      <c r="AZ108" s="1"/>
      <c r="BA108" s="1"/>
      <c r="BB108" s="1"/>
      <c r="BC108" s="1"/>
      <c r="BD108" s="1"/>
      <c r="BE108" s="1"/>
      <c r="BF108" s="1"/>
      <c r="BG108" s="1"/>
      <c r="BH108" s="1"/>
    </row>
    <row r="109" spans="1:60" x14ac:dyDescent="0.2">
      <c r="A109" s="3">
        <v>107</v>
      </c>
      <c r="B109" s="3" t="s">
        <v>712</v>
      </c>
      <c r="C109" s="3" t="s">
        <v>713</v>
      </c>
      <c r="D109" s="1"/>
      <c r="E109" s="1">
        <f t="shared" si="9"/>
        <v>4.7923383829852311</v>
      </c>
      <c r="F109" s="1">
        <f t="shared" si="10"/>
        <v>4.5933014354067003</v>
      </c>
      <c r="G109" s="1">
        <f t="shared" si="11"/>
        <v>5</v>
      </c>
      <c r="H109" s="1"/>
      <c r="I109" s="1">
        <v>0.35</v>
      </c>
      <c r="J109" s="1">
        <v>4.5933014354067003</v>
      </c>
      <c r="K109" s="1"/>
      <c r="L109" s="1"/>
      <c r="M109" s="1"/>
      <c r="N109" s="1"/>
      <c r="O109" s="1"/>
      <c r="P109" s="1"/>
      <c r="Q109" s="1"/>
      <c r="R109" s="1"/>
      <c r="S109" s="1"/>
      <c r="T109" s="1"/>
      <c r="U109" s="1"/>
      <c r="V109" s="1"/>
      <c r="W109" s="1"/>
      <c r="X109" s="1"/>
      <c r="Y109" s="1"/>
      <c r="Z109" s="1"/>
      <c r="AA109" s="1"/>
      <c r="AB109" s="1"/>
      <c r="AC109" s="1"/>
      <c r="AD109" s="1"/>
      <c r="AE109" s="1"/>
      <c r="AF109" s="1"/>
      <c r="AG109" s="1"/>
      <c r="AH109" s="1">
        <v>0</v>
      </c>
      <c r="AI109" s="1">
        <v>0.1</v>
      </c>
      <c r="AJ109" s="1">
        <v>0.08</v>
      </c>
      <c r="AK109" s="1">
        <v>7.0000000000000007E-2</v>
      </c>
      <c r="AL109" s="1">
        <v>7.0000000000000007E-2</v>
      </c>
      <c r="AM109" s="1">
        <v>5</v>
      </c>
      <c r="AN109" s="1"/>
      <c r="AO109" s="1"/>
      <c r="AP109" s="1"/>
      <c r="AQ109" s="1"/>
      <c r="AR109" s="1"/>
      <c r="AS109" s="1"/>
      <c r="AT109" s="1"/>
      <c r="AU109" s="1"/>
      <c r="AV109" s="1"/>
      <c r="AW109" s="1"/>
      <c r="AX109" s="1"/>
      <c r="AY109" s="1"/>
      <c r="AZ109" s="1"/>
      <c r="BA109" s="1"/>
      <c r="BB109" s="1"/>
      <c r="BC109" s="1"/>
      <c r="BD109" s="1"/>
      <c r="BE109" s="1"/>
      <c r="BF109" s="1"/>
      <c r="BG109" s="1"/>
      <c r="BH109" s="1"/>
    </row>
    <row r="110" spans="1:60" x14ac:dyDescent="0.2">
      <c r="A110" s="3">
        <v>108</v>
      </c>
      <c r="B110" s="3" t="s">
        <v>716</v>
      </c>
      <c r="C110" s="3" t="s">
        <v>717</v>
      </c>
      <c r="D110" s="1"/>
      <c r="E110" s="1">
        <f t="shared" si="9"/>
        <v>7.0710678118654755</v>
      </c>
      <c r="F110" s="1">
        <f t="shared" si="10"/>
        <v>10</v>
      </c>
      <c r="G110" s="1">
        <f t="shared" si="11"/>
        <v>5</v>
      </c>
      <c r="H110" s="1"/>
      <c r="I110" s="1">
        <v>0.63500000000000001</v>
      </c>
      <c r="J110" s="1">
        <v>10</v>
      </c>
      <c r="K110" s="1"/>
      <c r="L110" s="1"/>
      <c r="M110" s="1"/>
      <c r="N110" s="1"/>
      <c r="O110" s="1"/>
      <c r="P110" s="1"/>
      <c r="Q110" s="1"/>
      <c r="R110" s="1"/>
      <c r="S110" s="1"/>
      <c r="T110" s="1"/>
      <c r="U110" s="1"/>
      <c r="V110" s="1"/>
      <c r="W110" s="1"/>
      <c r="X110" s="1"/>
      <c r="Y110" s="1"/>
      <c r="Z110" s="1"/>
      <c r="AA110" s="1"/>
      <c r="AB110" s="1"/>
      <c r="AC110" s="1"/>
      <c r="AD110" s="1"/>
      <c r="AE110" s="1"/>
      <c r="AF110" s="1"/>
      <c r="AG110" s="1"/>
      <c r="AH110" s="1">
        <v>0</v>
      </c>
      <c r="AI110" s="1">
        <v>0.04</v>
      </c>
      <c r="AJ110" s="1">
        <v>0.02</v>
      </c>
      <c r="AK110" s="1">
        <v>0.06</v>
      </c>
      <c r="AL110" s="1">
        <v>0.06</v>
      </c>
      <c r="AM110" s="1">
        <v>5</v>
      </c>
      <c r="AN110" s="1"/>
      <c r="AO110" s="1"/>
      <c r="AP110" s="1"/>
      <c r="AQ110" s="1"/>
      <c r="AR110" s="1"/>
      <c r="AS110" s="1"/>
      <c r="AT110" s="1"/>
      <c r="AU110" s="1"/>
      <c r="AV110" s="1"/>
      <c r="AW110" s="1"/>
      <c r="AX110" s="1"/>
      <c r="AY110" s="1"/>
      <c r="AZ110" s="1"/>
      <c r="BA110" s="1"/>
      <c r="BB110" s="1"/>
      <c r="BC110" s="1"/>
      <c r="BD110" s="1"/>
      <c r="BE110" s="1"/>
      <c r="BF110" s="1"/>
      <c r="BG110" s="1"/>
      <c r="BH110" s="1"/>
    </row>
    <row r="111" spans="1:60" x14ac:dyDescent="0.2">
      <c r="A111" s="3">
        <v>109</v>
      </c>
      <c r="B111" s="3" t="s">
        <v>721</v>
      </c>
      <c r="C111" s="3" t="s">
        <v>722</v>
      </c>
      <c r="D111" s="1"/>
      <c r="E111" s="1">
        <f t="shared" si="9"/>
        <v>1.7084087002474964</v>
      </c>
      <c r="F111" s="1">
        <f t="shared" si="10"/>
        <v>2.9186602870813401</v>
      </c>
      <c r="G111" s="1">
        <f t="shared" si="11"/>
        <v>1</v>
      </c>
      <c r="H111" s="1"/>
      <c r="I111" s="1">
        <v>0.28000000000000003</v>
      </c>
      <c r="J111" s="1">
        <v>2.9186602870813401</v>
      </c>
      <c r="K111" s="1"/>
      <c r="L111" s="1"/>
      <c r="M111" s="1"/>
      <c r="N111" s="1"/>
      <c r="O111" s="1"/>
      <c r="P111" s="1"/>
      <c r="Q111" s="1"/>
      <c r="R111" s="1"/>
      <c r="S111" s="1"/>
      <c r="T111" s="1"/>
      <c r="U111" s="1"/>
      <c r="V111" s="1"/>
      <c r="W111" s="1"/>
      <c r="X111" s="1"/>
      <c r="Y111" s="1"/>
      <c r="Z111" s="1"/>
      <c r="AA111" s="1"/>
      <c r="AB111" s="1"/>
      <c r="AC111" s="1"/>
      <c r="AD111" s="1"/>
      <c r="AE111" s="1"/>
      <c r="AF111" s="1"/>
      <c r="AG111" s="1"/>
      <c r="AH111" s="1">
        <v>0</v>
      </c>
      <c r="AI111" s="1">
        <v>0.04</v>
      </c>
      <c r="AJ111" s="1">
        <v>0.01</v>
      </c>
      <c r="AK111" s="1"/>
      <c r="AL111" s="1">
        <v>0.01</v>
      </c>
      <c r="AM111" s="1">
        <v>1</v>
      </c>
      <c r="AN111" s="1"/>
      <c r="AO111" s="1"/>
      <c r="AP111" s="1"/>
      <c r="AQ111" s="1"/>
      <c r="AR111" s="1"/>
      <c r="AS111" s="1"/>
      <c r="AT111" s="1"/>
      <c r="AU111" s="1"/>
      <c r="AV111" s="1"/>
      <c r="AW111" s="1"/>
      <c r="AX111" s="1"/>
      <c r="AY111" s="1"/>
      <c r="AZ111" s="1"/>
      <c r="BA111" s="1"/>
      <c r="BB111" s="1"/>
      <c r="BC111" s="1"/>
      <c r="BD111" s="1"/>
      <c r="BE111" s="1"/>
      <c r="BF111" s="1"/>
      <c r="BG111" s="1"/>
      <c r="BH111" s="1"/>
    </row>
    <row r="112" spans="1:60" x14ac:dyDescent="0.2">
      <c r="A112" s="3">
        <v>110</v>
      </c>
      <c r="B112" s="3" t="s">
        <v>725</v>
      </c>
      <c r="C112" s="3" t="s">
        <v>726</v>
      </c>
      <c r="D112" s="1"/>
      <c r="E112" s="1">
        <f t="shared" si="9"/>
        <v>3.1127150873973335</v>
      </c>
      <c r="F112" s="1">
        <f t="shared" si="10"/>
        <v>3.2296650717703299</v>
      </c>
      <c r="G112" s="1">
        <f t="shared" si="11"/>
        <v>3</v>
      </c>
      <c r="H112" s="1"/>
      <c r="I112" s="1">
        <v>0.29299999999999998</v>
      </c>
      <c r="J112" s="1">
        <v>3.2296650717703299</v>
      </c>
      <c r="K112" s="1"/>
      <c r="L112" s="1"/>
      <c r="M112" s="1"/>
      <c r="N112" s="1"/>
      <c r="O112" s="1"/>
      <c r="P112" s="1"/>
      <c r="Q112" s="1"/>
      <c r="R112" s="1"/>
      <c r="S112" s="1"/>
      <c r="T112" s="1"/>
      <c r="U112" s="1"/>
      <c r="V112" s="1"/>
      <c r="W112" s="1"/>
      <c r="X112" s="1"/>
      <c r="Y112" s="1"/>
      <c r="Z112" s="1"/>
      <c r="AA112" s="1"/>
      <c r="AB112" s="1"/>
      <c r="AC112" s="1"/>
      <c r="AD112" s="1"/>
      <c r="AE112" s="1"/>
      <c r="AF112" s="1"/>
      <c r="AG112" s="1"/>
      <c r="AH112" s="1">
        <v>0</v>
      </c>
      <c r="AI112" s="1">
        <v>7.0000000000000007E-2</v>
      </c>
      <c r="AJ112" s="1">
        <v>7.0000000000000007E-2</v>
      </c>
      <c r="AK112" s="1">
        <v>0.03</v>
      </c>
      <c r="AL112" s="1">
        <v>0.03</v>
      </c>
      <c r="AM112" s="1">
        <v>3</v>
      </c>
      <c r="AN112" s="1"/>
      <c r="AO112" s="1"/>
      <c r="AP112" s="1"/>
      <c r="AQ112" s="1"/>
      <c r="AR112" s="1"/>
      <c r="AS112" s="1"/>
      <c r="AT112" s="1"/>
      <c r="AU112" s="1"/>
      <c r="AV112" s="1"/>
      <c r="AW112" s="1"/>
      <c r="AX112" s="1"/>
      <c r="AY112" s="1"/>
      <c r="AZ112" s="1"/>
      <c r="BA112" s="1"/>
      <c r="BB112" s="1"/>
      <c r="BC112" s="1"/>
      <c r="BD112" s="1"/>
      <c r="BE112" s="1"/>
      <c r="BF112" s="1"/>
      <c r="BG112" s="1"/>
      <c r="BH112" s="1"/>
    </row>
    <row r="113" spans="1:60" x14ac:dyDescent="0.2">
      <c r="A113" s="3">
        <v>111</v>
      </c>
      <c r="B113" s="3" t="s">
        <v>731</v>
      </c>
      <c r="C113" s="3" t="s">
        <v>732</v>
      </c>
      <c r="D113" s="1"/>
      <c r="E113" s="1">
        <f t="shared" si="9"/>
        <v>0</v>
      </c>
      <c r="F113" s="1">
        <f t="shared" si="10"/>
        <v>0</v>
      </c>
      <c r="G113" s="1">
        <f t="shared" si="11"/>
        <v>0</v>
      </c>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v>0</v>
      </c>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row>
    <row r="114" spans="1:60" x14ac:dyDescent="0.2">
      <c r="A114" s="3">
        <v>112</v>
      </c>
      <c r="B114" s="3" t="s">
        <v>733</v>
      </c>
      <c r="C114" s="3" t="s">
        <v>734</v>
      </c>
      <c r="D114" s="1"/>
      <c r="E114" s="1">
        <f t="shared" si="9"/>
        <v>4.249964818317653</v>
      </c>
      <c r="F114" s="1">
        <f t="shared" si="10"/>
        <v>3.6124401913875599</v>
      </c>
      <c r="G114" s="1">
        <f t="shared" si="11"/>
        <v>5</v>
      </c>
      <c r="H114" s="1"/>
      <c r="I114" s="1">
        <v>0.309</v>
      </c>
      <c r="J114" s="1">
        <v>3.6124401913875599</v>
      </c>
      <c r="K114" s="1"/>
      <c r="L114" s="1"/>
      <c r="M114" s="1"/>
      <c r="N114" s="1"/>
      <c r="O114" s="1"/>
      <c r="P114" s="1"/>
      <c r="Q114" s="1"/>
      <c r="R114" s="1"/>
      <c r="S114" s="1"/>
      <c r="T114" s="1"/>
      <c r="U114" s="1"/>
      <c r="V114" s="1"/>
      <c r="W114" s="1"/>
      <c r="X114" s="1"/>
      <c r="Y114" s="1"/>
      <c r="Z114" s="1"/>
      <c r="AA114" s="1"/>
      <c r="AB114" s="1"/>
      <c r="AC114" s="1"/>
      <c r="AD114" s="1"/>
      <c r="AE114" s="1"/>
      <c r="AF114" s="1"/>
      <c r="AG114" s="1"/>
      <c r="AH114" s="1">
        <v>0</v>
      </c>
      <c r="AI114" s="1">
        <v>0.01</v>
      </c>
      <c r="AJ114" s="1">
        <v>0.15</v>
      </c>
      <c r="AK114" s="1">
        <v>0.15</v>
      </c>
      <c r="AL114" s="1">
        <v>0.15</v>
      </c>
      <c r="AM114" s="1">
        <v>5</v>
      </c>
      <c r="AN114" s="1"/>
      <c r="AO114" s="1"/>
      <c r="AP114" s="1"/>
      <c r="AQ114" s="1"/>
      <c r="AR114" s="1"/>
      <c r="AS114" s="1"/>
      <c r="AT114" s="1"/>
      <c r="AU114" s="1"/>
      <c r="AV114" s="1"/>
      <c r="AW114" s="1"/>
      <c r="AX114" s="1"/>
      <c r="AY114" s="1"/>
      <c r="AZ114" s="1"/>
      <c r="BA114" s="1"/>
      <c r="BB114" s="1"/>
      <c r="BC114" s="1"/>
      <c r="BD114" s="1"/>
      <c r="BE114" s="1"/>
      <c r="BF114" s="1"/>
      <c r="BG114" s="1"/>
      <c r="BH114" s="1"/>
    </row>
    <row r="115" spans="1:60" x14ac:dyDescent="0.2">
      <c r="A115" s="3">
        <v>113</v>
      </c>
      <c r="B115" s="3" t="s">
        <v>737</v>
      </c>
      <c r="C115" s="3" t="s">
        <v>738</v>
      </c>
      <c r="D115" s="1"/>
      <c r="E115" s="1">
        <f t="shared" si="9"/>
        <v>9.0717501463446073</v>
      </c>
      <c r="F115" s="1">
        <f t="shared" si="10"/>
        <v>8.2296650717703397</v>
      </c>
      <c r="G115" s="1">
        <f t="shared" si="11"/>
        <v>10</v>
      </c>
      <c r="H115" s="1"/>
      <c r="I115" s="1">
        <v>0.502</v>
      </c>
      <c r="J115" s="1">
        <v>8.2296650717703397</v>
      </c>
      <c r="K115" s="1" t="s">
        <v>737</v>
      </c>
      <c r="L115" s="1">
        <v>152</v>
      </c>
      <c r="M115" s="1" t="s">
        <v>1090</v>
      </c>
      <c r="N115" s="1">
        <v>2020</v>
      </c>
      <c r="O115" s="1">
        <v>10</v>
      </c>
      <c r="P115" s="1" t="s">
        <v>1091</v>
      </c>
      <c r="Q115" s="1">
        <v>20466594.855250001</v>
      </c>
      <c r="R115" s="1">
        <v>807187.08599000005</v>
      </c>
      <c r="S115" s="1">
        <v>3.9439246816523701</v>
      </c>
      <c r="T115" s="1">
        <v>0</v>
      </c>
      <c r="U115" s="1">
        <v>0</v>
      </c>
      <c r="V115" s="1">
        <v>0</v>
      </c>
      <c r="W115" s="1">
        <v>0</v>
      </c>
      <c r="X115" s="1">
        <v>0</v>
      </c>
      <c r="Y115" s="1">
        <v>0</v>
      </c>
      <c r="Z115" s="1">
        <v>3.9439246816523701</v>
      </c>
      <c r="AA115" s="1"/>
      <c r="AB115" s="1">
        <v>-5.7306445604904397</v>
      </c>
      <c r="AC115" s="1"/>
      <c r="AD115" s="1">
        <v>3.9439246816523701</v>
      </c>
      <c r="AE115" s="1" t="s">
        <v>1092</v>
      </c>
      <c r="AF115" s="1">
        <v>3</v>
      </c>
      <c r="AG115" s="1">
        <v>7</v>
      </c>
      <c r="AH115" s="1">
        <v>0</v>
      </c>
      <c r="AI115" s="1">
        <v>0</v>
      </c>
      <c r="AJ115" s="1">
        <v>0.05</v>
      </c>
      <c r="AK115" s="1"/>
      <c r="AL115" s="1">
        <v>0.05</v>
      </c>
      <c r="AM115" s="1">
        <v>3</v>
      </c>
      <c r="AN115" s="1">
        <v>10</v>
      </c>
      <c r="AO115" s="1"/>
      <c r="AP115" s="1"/>
      <c r="AQ115" s="1"/>
      <c r="AR115" s="1"/>
      <c r="AS115" s="1"/>
      <c r="AT115" s="1"/>
      <c r="AU115" s="1"/>
      <c r="AV115" s="1"/>
      <c r="AW115" s="1"/>
      <c r="AX115" s="1"/>
      <c r="AY115" s="1"/>
      <c r="AZ115" s="1"/>
      <c r="BA115" s="1"/>
      <c r="BB115" s="1"/>
      <c r="BC115" s="1"/>
      <c r="BD115" s="1"/>
      <c r="BE115" s="1"/>
      <c r="BF115" s="1"/>
      <c r="BG115" s="1"/>
      <c r="BH115" s="1"/>
    </row>
    <row r="116" spans="1:60" x14ac:dyDescent="0.2">
      <c r="A116" s="3">
        <v>114</v>
      </c>
      <c r="B116" s="3" t="s">
        <v>742</v>
      </c>
      <c r="C116" s="3" t="s">
        <v>743</v>
      </c>
      <c r="D116" s="1"/>
      <c r="E116" s="1">
        <f t="shared" si="9"/>
        <v>1</v>
      </c>
      <c r="F116" s="1">
        <f t="shared" si="10"/>
        <v>0</v>
      </c>
      <c r="G116" s="1">
        <f t="shared" si="11"/>
        <v>1</v>
      </c>
      <c r="H116" s="1"/>
      <c r="I116" s="1">
        <v>0.158</v>
      </c>
      <c r="J116" s="1">
        <v>0</v>
      </c>
      <c r="K116" s="1"/>
      <c r="L116" s="1"/>
      <c r="M116" s="1"/>
      <c r="N116" s="1"/>
      <c r="O116" s="1"/>
      <c r="P116" s="1"/>
      <c r="Q116" s="1"/>
      <c r="R116" s="1"/>
      <c r="S116" s="1"/>
      <c r="T116" s="1"/>
      <c r="U116" s="1"/>
      <c r="V116" s="1"/>
      <c r="W116" s="1"/>
      <c r="X116" s="1"/>
      <c r="Y116" s="1"/>
      <c r="Z116" s="1"/>
      <c r="AA116" s="1"/>
      <c r="AB116" s="1"/>
      <c r="AC116" s="1"/>
      <c r="AD116" s="1"/>
      <c r="AE116" s="1"/>
      <c r="AF116" s="1"/>
      <c r="AG116" s="1"/>
      <c r="AH116" s="1">
        <v>0</v>
      </c>
      <c r="AI116" s="1">
        <v>0.03</v>
      </c>
      <c r="AJ116" s="1">
        <v>0.01</v>
      </c>
      <c r="AK116" s="1"/>
      <c r="AL116" s="1">
        <v>0.01</v>
      </c>
      <c r="AM116" s="1">
        <v>1</v>
      </c>
      <c r="AN116" s="1"/>
      <c r="AO116" s="1"/>
      <c r="AP116" s="1"/>
      <c r="AQ116" s="1"/>
      <c r="AR116" s="1"/>
      <c r="AS116" s="1"/>
      <c r="AT116" s="1"/>
      <c r="AU116" s="1"/>
      <c r="AV116" s="1"/>
      <c r="AW116" s="1"/>
      <c r="AX116" s="1"/>
      <c r="AY116" s="1"/>
      <c r="AZ116" s="1"/>
      <c r="BA116" s="1"/>
      <c r="BB116" s="1"/>
      <c r="BC116" s="1"/>
      <c r="BD116" s="1"/>
      <c r="BE116" s="1"/>
      <c r="BF116" s="1"/>
      <c r="BG116" s="1"/>
      <c r="BH116" s="1"/>
    </row>
    <row r="117" spans="1:60" x14ac:dyDescent="0.2">
      <c r="A117" s="3">
        <v>115</v>
      </c>
      <c r="B117" s="3" t="s">
        <v>746</v>
      </c>
      <c r="C117" s="3" t="s">
        <v>747</v>
      </c>
      <c r="D117" s="1"/>
      <c r="E117" s="1">
        <f t="shared" si="9"/>
        <v>5.9503528100939782</v>
      </c>
      <c r="F117" s="1">
        <f t="shared" si="10"/>
        <v>7.0813397129186599</v>
      </c>
      <c r="G117" s="1">
        <f t="shared" si="11"/>
        <v>5</v>
      </c>
      <c r="H117" s="1"/>
      <c r="I117" s="1">
        <v>0.45400000000000001</v>
      </c>
      <c r="J117" s="1">
        <v>7.0813397129186599</v>
      </c>
      <c r="K117" s="1"/>
      <c r="L117" s="1"/>
      <c r="M117" s="1"/>
      <c r="N117" s="1"/>
      <c r="O117" s="1"/>
      <c r="P117" s="1"/>
      <c r="Q117" s="1"/>
      <c r="R117" s="1"/>
      <c r="S117" s="1"/>
      <c r="T117" s="1"/>
      <c r="U117" s="1"/>
      <c r="V117" s="1"/>
      <c r="W117" s="1"/>
      <c r="X117" s="1"/>
      <c r="Y117" s="1"/>
      <c r="Z117" s="1"/>
      <c r="AA117" s="1"/>
      <c r="AB117" s="1"/>
      <c r="AC117" s="1"/>
      <c r="AD117" s="1"/>
      <c r="AE117" s="1"/>
      <c r="AF117" s="1"/>
      <c r="AG117" s="1"/>
      <c r="AH117" s="1">
        <v>0</v>
      </c>
      <c r="AI117" s="1">
        <v>0.04</v>
      </c>
      <c r="AJ117" s="1">
        <v>7.0000000000000007E-2</v>
      </c>
      <c r="AK117" s="1">
        <v>7.0000000000000007E-2</v>
      </c>
      <c r="AL117" s="1">
        <v>7.0000000000000007E-2</v>
      </c>
      <c r="AM117" s="1">
        <v>5</v>
      </c>
      <c r="AN117" s="1"/>
      <c r="AO117" s="1"/>
      <c r="AP117" s="1"/>
      <c r="AQ117" s="1"/>
      <c r="AR117" s="1"/>
      <c r="AS117" s="1"/>
      <c r="AT117" s="1"/>
      <c r="AU117" s="1"/>
      <c r="AV117" s="1"/>
      <c r="AW117" s="1"/>
      <c r="AX117" s="1"/>
      <c r="AY117" s="1"/>
      <c r="AZ117" s="1"/>
      <c r="BA117" s="1"/>
      <c r="BB117" s="1"/>
      <c r="BC117" s="1"/>
      <c r="BD117" s="1"/>
      <c r="BE117" s="1"/>
      <c r="BF117" s="1"/>
      <c r="BG117" s="1"/>
      <c r="BH117" s="1"/>
    </row>
    <row r="118" spans="1:60" x14ac:dyDescent="0.2">
      <c r="A118" s="3">
        <v>116</v>
      </c>
      <c r="B118" s="3" t="s">
        <v>751</v>
      </c>
      <c r="C118" s="3" t="s">
        <v>752</v>
      </c>
      <c r="D118" s="1"/>
      <c r="E118" s="1">
        <f t="shared" si="9"/>
        <v>1.8752990192188685</v>
      </c>
      <c r="F118" s="1">
        <f t="shared" si="10"/>
        <v>1.1722488038277501</v>
      </c>
      <c r="G118" s="1">
        <f t="shared" si="11"/>
        <v>3</v>
      </c>
      <c r="H118" s="1"/>
      <c r="I118" s="1">
        <v>0.20699999999999999</v>
      </c>
      <c r="J118" s="1">
        <v>1.1722488038277501</v>
      </c>
      <c r="K118" s="1"/>
      <c r="L118" s="1"/>
      <c r="M118" s="1"/>
      <c r="N118" s="1"/>
      <c r="O118" s="1"/>
      <c r="P118" s="1"/>
      <c r="Q118" s="1"/>
      <c r="R118" s="1"/>
      <c r="S118" s="1"/>
      <c r="T118" s="1"/>
      <c r="U118" s="1"/>
      <c r="V118" s="1"/>
      <c r="W118" s="1"/>
      <c r="X118" s="1"/>
      <c r="Y118" s="1"/>
      <c r="Z118" s="1"/>
      <c r="AA118" s="1"/>
      <c r="AB118" s="1"/>
      <c r="AC118" s="1"/>
      <c r="AD118" s="1"/>
      <c r="AE118" s="1"/>
      <c r="AF118" s="1"/>
      <c r="AG118" s="1"/>
      <c r="AH118" s="1">
        <v>0</v>
      </c>
      <c r="AI118" s="1">
        <v>0.01</v>
      </c>
      <c r="AJ118" s="1">
        <v>0.05</v>
      </c>
      <c r="AK118" s="1"/>
      <c r="AL118" s="1">
        <v>0.05</v>
      </c>
      <c r="AM118" s="1">
        <v>3</v>
      </c>
      <c r="AN118" s="1"/>
      <c r="AO118" s="1"/>
      <c r="AP118" s="1"/>
      <c r="AQ118" s="1"/>
      <c r="AR118" s="1"/>
      <c r="AS118" s="1"/>
      <c r="AT118" s="1"/>
      <c r="AU118" s="1"/>
      <c r="AV118" s="1"/>
      <c r="AW118" s="1"/>
      <c r="AX118" s="1"/>
      <c r="AY118" s="1"/>
      <c r="AZ118" s="1"/>
      <c r="BA118" s="1"/>
      <c r="BB118" s="1"/>
      <c r="BC118" s="1"/>
      <c r="BD118" s="1"/>
      <c r="BE118" s="1"/>
      <c r="BF118" s="1"/>
      <c r="BG118" s="1"/>
      <c r="BH118" s="1"/>
    </row>
    <row r="119" spans="1:60" x14ac:dyDescent="0.2">
      <c r="A119" s="3">
        <v>117</v>
      </c>
      <c r="B119" s="3" t="s">
        <v>754</v>
      </c>
      <c r="C119" s="3" t="s">
        <v>755</v>
      </c>
      <c r="D119" s="1"/>
      <c r="E119" s="1">
        <f t="shared" si="9"/>
        <v>6.0003987108354062</v>
      </c>
      <c r="F119" s="1">
        <f t="shared" si="10"/>
        <v>7.2009569377990399</v>
      </c>
      <c r="G119" s="1">
        <f t="shared" si="11"/>
        <v>5</v>
      </c>
      <c r="H119" s="1"/>
      <c r="I119" s="1">
        <v>0.45900000000000002</v>
      </c>
      <c r="J119" s="1">
        <v>7.2009569377990399</v>
      </c>
      <c r="K119" s="1"/>
      <c r="L119" s="1"/>
      <c r="M119" s="1"/>
      <c r="N119" s="1"/>
      <c r="O119" s="1"/>
      <c r="P119" s="1"/>
      <c r="Q119" s="1"/>
      <c r="R119" s="1"/>
      <c r="S119" s="1"/>
      <c r="T119" s="1"/>
      <c r="U119" s="1"/>
      <c r="V119" s="1"/>
      <c r="W119" s="1"/>
      <c r="X119" s="1"/>
      <c r="Y119" s="1"/>
      <c r="Z119" s="1"/>
      <c r="AA119" s="1"/>
      <c r="AB119" s="1"/>
      <c r="AC119" s="1"/>
      <c r="AD119" s="1"/>
      <c r="AE119" s="1"/>
      <c r="AF119" s="1"/>
      <c r="AG119" s="1"/>
      <c r="AH119" s="1">
        <v>0</v>
      </c>
      <c r="AI119" s="1">
        <v>0.08</v>
      </c>
      <c r="AJ119" s="1">
        <v>0.08</v>
      </c>
      <c r="AK119" s="1">
        <v>0.09</v>
      </c>
      <c r="AL119" s="1">
        <v>0.09</v>
      </c>
      <c r="AM119" s="1">
        <v>5</v>
      </c>
      <c r="AN119" s="1"/>
      <c r="AO119" s="1"/>
      <c r="AP119" s="1"/>
      <c r="AQ119" s="1"/>
      <c r="AR119" s="1"/>
      <c r="AS119" s="1"/>
      <c r="AT119" s="1"/>
      <c r="AU119" s="1"/>
      <c r="AV119" s="1"/>
      <c r="AW119" s="1"/>
      <c r="AX119" s="1"/>
      <c r="AY119" s="1"/>
      <c r="AZ119" s="1"/>
      <c r="BA119" s="1"/>
      <c r="BB119" s="1"/>
      <c r="BC119" s="1"/>
      <c r="BD119" s="1"/>
      <c r="BE119" s="1"/>
      <c r="BF119" s="1"/>
      <c r="BG119" s="1"/>
      <c r="BH119" s="1"/>
    </row>
    <row r="120" spans="1:60" x14ac:dyDescent="0.2">
      <c r="A120" s="3">
        <v>118</v>
      </c>
      <c r="B120" s="3" t="s">
        <v>759</v>
      </c>
      <c r="C120" s="3" t="s">
        <v>760</v>
      </c>
      <c r="D120" s="1"/>
      <c r="E120" s="1">
        <f t="shared" si="9"/>
        <v>10</v>
      </c>
      <c r="F120" s="1">
        <f t="shared" si="10"/>
        <v>10</v>
      </c>
      <c r="G120" s="1">
        <f t="shared" si="11"/>
        <v>10</v>
      </c>
      <c r="H120" s="1"/>
      <c r="I120" s="1">
        <v>0.59199999999999997</v>
      </c>
      <c r="J120" s="1">
        <v>10</v>
      </c>
      <c r="K120" s="1" t="s">
        <v>759</v>
      </c>
      <c r="L120" s="1">
        <v>974</v>
      </c>
      <c r="M120" s="1" t="s">
        <v>1090</v>
      </c>
      <c r="N120" s="1">
        <v>2020</v>
      </c>
      <c r="O120" s="1">
        <v>10</v>
      </c>
      <c r="P120" s="1" t="s">
        <v>1091</v>
      </c>
      <c r="Q120" s="1">
        <v>31830372.25</v>
      </c>
      <c r="R120" s="1">
        <v>3138205</v>
      </c>
      <c r="S120" s="1">
        <v>9.8591526839589498</v>
      </c>
      <c r="T120" s="1">
        <v>0</v>
      </c>
      <c r="U120" s="1">
        <v>0</v>
      </c>
      <c r="V120" s="1">
        <v>3138205</v>
      </c>
      <c r="W120" s="1">
        <v>9.8591526839589498</v>
      </c>
      <c r="X120" s="1">
        <v>0</v>
      </c>
      <c r="Y120" s="1">
        <v>0</v>
      </c>
      <c r="Z120" s="1">
        <v>0</v>
      </c>
      <c r="AA120" s="1"/>
      <c r="AB120" s="1">
        <v>0</v>
      </c>
      <c r="AC120" s="1"/>
      <c r="AD120" s="1">
        <v>0</v>
      </c>
      <c r="AE120" s="1" t="s">
        <v>1092</v>
      </c>
      <c r="AF120" s="1">
        <v>3</v>
      </c>
      <c r="AG120" s="1">
        <v>7</v>
      </c>
      <c r="AH120" s="1">
        <v>0</v>
      </c>
      <c r="AI120" s="1">
        <v>7.0000000000000007E-2</v>
      </c>
      <c r="AJ120" s="1">
        <v>0</v>
      </c>
      <c r="AK120" s="1"/>
      <c r="AL120" s="1">
        <v>0</v>
      </c>
      <c r="AM120" s="1">
        <v>1</v>
      </c>
      <c r="AN120" s="1">
        <v>10</v>
      </c>
      <c r="AO120" s="1"/>
      <c r="AP120" s="1"/>
      <c r="AQ120" s="1"/>
      <c r="AR120" s="1"/>
      <c r="AS120" s="1"/>
      <c r="AT120" s="1"/>
      <c r="AU120" s="1"/>
      <c r="AV120" s="1"/>
      <c r="AW120" s="1"/>
      <c r="AX120" s="1"/>
      <c r="AY120" s="1"/>
      <c r="AZ120" s="1"/>
      <c r="BA120" s="1"/>
      <c r="BB120" s="1"/>
      <c r="BC120" s="1"/>
      <c r="BD120" s="1"/>
      <c r="BE120" s="1"/>
      <c r="BF120" s="1"/>
      <c r="BG120" s="1"/>
      <c r="BH120" s="1"/>
    </row>
    <row r="121" spans="1:60" x14ac:dyDescent="0.2">
      <c r="A121" s="3">
        <v>119</v>
      </c>
      <c r="B121" s="3" t="s">
        <v>764</v>
      </c>
      <c r="C121" s="3" t="s">
        <v>765</v>
      </c>
      <c r="D121" s="1"/>
      <c r="E121" s="1">
        <f t="shared" si="9"/>
        <v>4.9398293366874615</v>
      </c>
      <c r="F121" s="1">
        <f t="shared" si="10"/>
        <v>8.1339712918660307</v>
      </c>
      <c r="G121" s="1">
        <f t="shared" si="11"/>
        <v>3</v>
      </c>
      <c r="H121" s="1"/>
      <c r="I121" s="1">
        <v>0.498</v>
      </c>
      <c r="J121" s="1">
        <v>8.1339712918660307</v>
      </c>
      <c r="K121" s="1" t="s">
        <v>764</v>
      </c>
      <c r="L121" s="1">
        <v>416</v>
      </c>
      <c r="M121" s="1" t="s">
        <v>1090</v>
      </c>
      <c r="N121" s="1">
        <v>2020</v>
      </c>
      <c r="O121" s="1">
        <v>10</v>
      </c>
      <c r="P121" s="1" t="s">
        <v>1091</v>
      </c>
      <c r="Q121" s="1">
        <v>4549959.0099499999</v>
      </c>
      <c r="R121" s="1">
        <v>0</v>
      </c>
      <c r="S121" s="1">
        <v>0</v>
      </c>
      <c r="T121" s="1">
        <v>0</v>
      </c>
      <c r="U121" s="1">
        <v>0</v>
      </c>
      <c r="V121" s="1">
        <v>0</v>
      </c>
      <c r="W121" s="1">
        <v>0</v>
      </c>
      <c r="X121" s="1">
        <v>0</v>
      </c>
      <c r="Y121" s="1">
        <v>0</v>
      </c>
      <c r="Z121" s="1">
        <v>0</v>
      </c>
      <c r="AA121" s="1"/>
      <c r="AB121" s="1">
        <v>0</v>
      </c>
      <c r="AC121" s="1"/>
      <c r="AD121" s="1">
        <v>0</v>
      </c>
      <c r="AE121" s="1" t="s">
        <v>1092</v>
      </c>
      <c r="AF121" s="1" t="e">
        <v>#NUM!</v>
      </c>
      <c r="AG121" s="1"/>
      <c r="AH121" s="1">
        <v>0</v>
      </c>
      <c r="AI121" s="1">
        <v>0.03</v>
      </c>
      <c r="AJ121" s="1">
        <v>0.02</v>
      </c>
      <c r="AK121" s="1">
        <v>0.03</v>
      </c>
      <c r="AL121" s="1">
        <v>0.03</v>
      </c>
      <c r="AM121" s="1">
        <v>3</v>
      </c>
      <c r="AN121" s="1"/>
      <c r="AO121" s="1"/>
      <c r="AP121" s="1"/>
      <c r="AQ121" s="1"/>
      <c r="AR121" s="1"/>
      <c r="AS121" s="1"/>
      <c r="AT121" s="1"/>
      <c r="AU121" s="1"/>
      <c r="AV121" s="1"/>
      <c r="AW121" s="1"/>
      <c r="AX121" s="1"/>
      <c r="AY121" s="1"/>
      <c r="AZ121" s="1"/>
      <c r="BA121" s="1"/>
      <c r="BB121" s="1"/>
      <c r="BC121" s="1"/>
      <c r="BD121" s="1"/>
      <c r="BE121" s="1"/>
      <c r="BF121" s="1"/>
      <c r="BG121" s="1"/>
      <c r="BH121" s="1"/>
    </row>
    <row r="122" spans="1:60" x14ac:dyDescent="0.2">
      <c r="A122" s="3">
        <v>120</v>
      </c>
      <c r="B122" s="3" t="s">
        <v>768</v>
      </c>
      <c r="C122" s="3" t="s">
        <v>769</v>
      </c>
      <c r="D122" s="1"/>
      <c r="E122" s="1">
        <f t="shared" si="9"/>
        <v>2.3200808433365463</v>
      </c>
      <c r="F122" s="1">
        <f t="shared" si="10"/>
        <v>1.79425837320574</v>
      </c>
      <c r="G122" s="1">
        <f t="shared" si="11"/>
        <v>3</v>
      </c>
      <c r="H122" s="1"/>
      <c r="I122" s="1">
        <v>0.23300000000000001</v>
      </c>
      <c r="J122" s="1">
        <v>1.79425837320574</v>
      </c>
      <c r="K122" s="1"/>
      <c r="L122" s="1"/>
      <c r="M122" s="1"/>
      <c r="N122" s="1"/>
      <c r="O122" s="1"/>
      <c r="P122" s="1"/>
      <c r="Q122" s="1"/>
      <c r="R122" s="1"/>
      <c r="S122" s="1"/>
      <c r="T122" s="1"/>
      <c r="U122" s="1"/>
      <c r="V122" s="1"/>
      <c r="W122" s="1"/>
      <c r="X122" s="1"/>
      <c r="Y122" s="1"/>
      <c r="Z122" s="1"/>
      <c r="AA122" s="1"/>
      <c r="AB122" s="1"/>
      <c r="AC122" s="1"/>
      <c r="AD122" s="1"/>
      <c r="AE122" s="1"/>
      <c r="AF122" s="1"/>
      <c r="AG122" s="1"/>
      <c r="AH122" s="1">
        <v>0</v>
      </c>
      <c r="AI122" s="1">
        <v>0.12</v>
      </c>
      <c r="AJ122" s="1">
        <v>0.03</v>
      </c>
      <c r="AK122" s="1">
        <v>0.03</v>
      </c>
      <c r="AL122" s="1">
        <v>0.03</v>
      </c>
      <c r="AM122" s="1">
        <v>3</v>
      </c>
      <c r="AN122" s="1"/>
      <c r="AO122" s="1"/>
      <c r="AP122" s="1"/>
      <c r="AQ122" s="1"/>
      <c r="AR122" s="1"/>
      <c r="AS122" s="1"/>
      <c r="AT122" s="1"/>
      <c r="AU122" s="1"/>
      <c r="AV122" s="1"/>
      <c r="AW122" s="1"/>
      <c r="AX122" s="1"/>
      <c r="AY122" s="1"/>
      <c r="AZ122" s="1"/>
      <c r="BA122" s="1"/>
      <c r="BB122" s="1"/>
      <c r="BC122" s="1"/>
      <c r="BD122" s="1"/>
      <c r="BE122" s="1"/>
      <c r="BF122" s="1"/>
      <c r="BG122" s="1"/>
      <c r="BH122" s="1"/>
    </row>
    <row r="123" spans="1:60" x14ac:dyDescent="0.2">
      <c r="A123" s="3">
        <v>121</v>
      </c>
      <c r="B123" s="3" t="s">
        <v>774</v>
      </c>
      <c r="C123" s="3" t="s">
        <v>775</v>
      </c>
      <c r="D123" s="1"/>
      <c r="E123" s="1">
        <f t="shared" si="9"/>
        <v>7.0710678118654755</v>
      </c>
      <c r="F123" s="1">
        <f t="shared" si="10"/>
        <v>10</v>
      </c>
      <c r="G123" s="1">
        <f t="shared" si="11"/>
        <v>5</v>
      </c>
      <c r="H123" s="1"/>
      <c r="I123" s="1">
        <v>0.57699999999999996</v>
      </c>
      <c r="J123" s="1">
        <v>10</v>
      </c>
      <c r="K123" s="1" t="s">
        <v>774</v>
      </c>
      <c r="L123" s="1">
        <v>853</v>
      </c>
      <c r="M123" s="1" t="s">
        <v>1090</v>
      </c>
      <c r="N123" s="1">
        <v>2020</v>
      </c>
      <c r="O123" s="1">
        <v>10</v>
      </c>
      <c r="P123" s="1" t="s">
        <v>1091</v>
      </c>
      <c r="Q123" s="1">
        <v>19961675.5627</v>
      </c>
      <c r="R123" s="1">
        <v>3350632.6875</v>
      </c>
      <c r="S123" s="1">
        <v>16.785327849736898</v>
      </c>
      <c r="T123" s="1">
        <v>0</v>
      </c>
      <c r="U123" s="1">
        <v>0</v>
      </c>
      <c r="V123" s="1">
        <v>0</v>
      </c>
      <c r="W123" s="1">
        <v>0</v>
      </c>
      <c r="X123" s="1">
        <v>0</v>
      </c>
      <c r="Y123" s="1">
        <v>0</v>
      </c>
      <c r="Z123" s="1">
        <v>16.785327849736898</v>
      </c>
      <c r="AA123" s="1"/>
      <c r="AB123" s="1">
        <v>0</v>
      </c>
      <c r="AC123" s="1"/>
      <c r="AD123" s="1">
        <v>16.785327849736898</v>
      </c>
      <c r="AE123" s="1" t="s">
        <v>1092</v>
      </c>
      <c r="AF123" s="1">
        <v>3</v>
      </c>
      <c r="AG123" s="1">
        <v>7</v>
      </c>
      <c r="AH123" s="1">
        <v>0</v>
      </c>
      <c r="AI123" s="1">
        <v>0.15</v>
      </c>
      <c r="AJ123" s="1"/>
      <c r="AK123" s="1"/>
      <c r="AL123" s="1">
        <v>0.15</v>
      </c>
      <c r="AM123" s="1">
        <v>5</v>
      </c>
      <c r="AN123" s="1"/>
      <c r="AO123" s="1"/>
      <c r="AP123" s="1"/>
      <c r="AQ123" s="1"/>
      <c r="AR123" s="1"/>
      <c r="AS123" s="1"/>
      <c r="AT123" s="1"/>
      <c r="AU123" s="1"/>
      <c r="AV123" s="1"/>
      <c r="AW123" s="1"/>
      <c r="AX123" s="1"/>
      <c r="AY123" s="1"/>
      <c r="AZ123" s="1"/>
      <c r="BA123" s="1"/>
      <c r="BB123" s="1"/>
      <c r="BC123" s="1"/>
      <c r="BD123" s="1"/>
      <c r="BE123" s="1"/>
      <c r="BF123" s="1"/>
      <c r="BG123" s="1"/>
      <c r="BH123" s="1"/>
    </row>
    <row r="124" spans="1:60" x14ac:dyDescent="0.2">
      <c r="A124" s="3">
        <v>122</v>
      </c>
      <c r="B124" s="3" t="s">
        <v>778</v>
      </c>
      <c r="C124" s="3" t="s">
        <v>779</v>
      </c>
      <c r="D124" s="1"/>
      <c r="E124" s="1">
        <f t="shared" si="9"/>
        <v>3.4238119163116276</v>
      </c>
      <c r="F124" s="1">
        <f t="shared" si="10"/>
        <v>2.3444976076555002</v>
      </c>
      <c r="G124" s="1">
        <f t="shared" si="11"/>
        <v>5</v>
      </c>
      <c r="H124" s="1"/>
      <c r="I124" s="1">
        <v>0.25600000000000001</v>
      </c>
      <c r="J124" s="1">
        <v>2.3444976076555002</v>
      </c>
      <c r="K124" s="1"/>
      <c r="L124" s="1"/>
      <c r="M124" s="1"/>
      <c r="N124" s="1"/>
      <c r="O124" s="1"/>
      <c r="P124" s="1"/>
      <c r="Q124" s="1"/>
      <c r="R124" s="1"/>
      <c r="S124" s="1"/>
      <c r="T124" s="1"/>
      <c r="U124" s="1"/>
      <c r="V124" s="1"/>
      <c r="W124" s="1"/>
      <c r="X124" s="1"/>
      <c r="Y124" s="1"/>
      <c r="Z124" s="1"/>
      <c r="AA124" s="1"/>
      <c r="AB124" s="1"/>
      <c r="AC124" s="1"/>
      <c r="AD124" s="1"/>
      <c r="AE124" s="1"/>
      <c r="AF124" s="1"/>
      <c r="AG124" s="1"/>
      <c r="AH124" s="1">
        <v>0</v>
      </c>
      <c r="AI124" s="1">
        <v>0.01</v>
      </c>
      <c r="AJ124" s="1">
        <v>0.14000000000000001</v>
      </c>
      <c r="AK124" s="1">
        <v>0.13</v>
      </c>
      <c r="AL124" s="1">
        <v>0.13</v>
      </c>
      <c r="AM124" s="1">
        <v>5</v>
      </c>
      <c r="AN124" s="1"/>
      <c r="AO124" s="1"/>
      <c r="AP124" s="1"/>
      <c r="AQ124" s="1"/>
      <c r="AR124" s="1"/>
      <c r="AS124" s="1"/>
      <c r="AT124" s="1"/>
      <c r="AU124" s="1"/>
      <c r="AV124" s="1"/>
      <c r="AW124" s="1"/>
      <c r="AX124" s="1"/>
      <c r="AY124" s="1"/>
      <c r="AZ124" s="1"/>
      <c r="BA124" s="1"/>
      <c r="BB124" s="1"/>
      <c r="BC124" s="1"/>
      <c r="BD124" s="1"/>
      <c r="BE124" s="1"/>
      <c r="BF124" s="1"/>
      <c r="BG124" s="1"/>
      <c r="BH124" s="1"/>
    </row>
    <row r="125" spans="1:60" x14ac:dyDescent="0.2">
      <c r="A125" s="3">
        <v>123</v>
      </c>
      <c r="B125" s="3" t="s">
        <v>781</v>
      </c>
      <c r="C125" s="3" t="s">
        <v>782</v>
      </c>
      <c r="D125" s="1"/>
      <c r="E125" s="1">
        <f t="shared" si="9"/>
        <v>5.2770152503241006</v>
      </c>
      <c r="F125" s="1">
        <f t="shared" si="10"/>
        <v>9.2822966507177096</v>
      </c>
      <c r="G125" s="1">
        <f t="shared" si="11"/>
        <v>3</v>
      </c>
      <c r="H125" s="1"/>
      <c r="I125" s="1">
        <v>0.54600000000000004</v>
      </c>
      <c r="J125" s="1">
        <v>9.2822966507177096</v>
      </c>
      <c r="K125" s="1"/>
      <c r="L125" s="1"/>
      <c r="M125" s="1"/>
      <c r="N125" s="1"/>
      <c r="O125" s="1"/>
      <c r="P125" s="1"/>
      <c r="Q125" s="1"/>
      <c r="R125" s="1"/>
      <c r="S125" s="1"/>
      <c r="T125" s="1"/>
      <c r="U125" s="1"/>
      <c r="V125" s="1"/>
      <c r="W125" s="1"/>
      <c r="X125" s="1"/>
      <c r="Y125" s="1"/>
      <c r="Z125" s="1"/>
      <c r="AA125" s="1"/>
      <c r="AB125" s="1"/>
      <c r="AC125" s="1"/>
      <c r="AD125" s="1"/>
      <c r="AE125" s="1"/>
      <c r="AF125" s="1"/>
      <c r="AG125" s="1"/>
      <c r="AH125" s="1">
        <v>0</v>
      </c>
      <c r="AI125" s="1">
        <v>0.04</v>
      </c>
      <c r="AJ125" s="1">
        <v>0.03</v>
      </c>
      <c r="AK125" s="1"/>
      <c r="AL125" s="1">
        <v>0.03</v>
      </c>
      <c r="AM125" s="1">
        <v>3</v>
      </c>
      <c r="AN125" s="1"/>
      <c r="AO125" s="1"/>
      <c r="AP125" s="1"/>
      <c r="AQ125" s="1"/>
      <c r="AR125" s="1"/>
      <c r="AS125" s="1"/>
      <c r="AT125" s="1"/>
      <c r="AU125" s="1"/>
      <c r="AV125" s="1"/>
      <c r="AW125" s="1"/>
      <c r="AX125" s="1"/>
      <c r="AY125" s="1"/>
      <c r="AZ125" s="1"/>
      <c r="BA125" s="1"/>
      <c r="BB125" s="1"/>
      <c r="BC125" s="1"/>
      <c r="BD125" s="1"/>
      <c r="BE125" s="1"/>
      <c r="BF125" s="1"/>
      <c r="BG125" s="1"/>
      <c r="BH125" s="1"/>
    </row>
    <row r="126" spans="1:60" x14ac:dyDescent="0.2">
      <c r="A126" s="3">
        <v>124</v>
      </c>
      <c r="B126" s="3" t="s">
        <v>786</v>
      </c>
      <c r="C126" s="3" t="s">
        <v>787</v>
      </c>
      <c r="D126" s="1"/>
      <c r="E126" s="1">
        <f t="shared" si="9"/>
        <v>10</v>
      </c>
      <c r="F126" s="1">
        <f t="shared" si="10"/>
        <v>10</v>
      </c>
      <c r="G126" s="1">
        <f t="shared" si="11"/>
        <v>10</v>
      </c>
      <c r="H126" s="1"/>
      <c r="I126" s="1">
        <v>0.60599999999999998</v>
      </c>
      <c r="J126" s="1">
        <v>10</v>
      </c>
      <c r="K126" s="1" t="s">
        <v>786</v>
      </c>
      <c r="L126" s="1">
        <v>236</v>
      </c>
      <c r="M126" s="1" t="s">
        <v>1090</v>
      </c>
      <c r="N126" s="1">
        <v>2020</v>
      </c>
      <c r="O126" s="1">
        <v>10</v>
      </c>
      <c r="P126" s="1" t="s">
        <v>1091</v>
      </c>
      <c r="Q126" s="1">
        <v>24312523.16471</v>
      </c>
      <c r="R126" s="1">
        <v>4209997.8282599999</v>
      </c>
      <c r="S126" s="1">
        <v>17.3161699414682</v>
      </c>
      <c r="T126" s="1">
        <v>0</v>
      </c>
      <c r="U126" s="1">
        <v>0</v>
      </c>
      <c r="V126" s="1">
        <v>5801402.2188600004</v>
      </c>
      <c r="W126" s="1">
        <v>23.861785877003602</v>
      </c>
      <c r="X126" s="1">
        <v>0</v>
      </c>
      <c r="Y126" s="1">
        <v>0</v>
      </c>
      <c r="Z126" s="1">
        <v>3.5167976775075198</v>
      </c>
      <c r="AA126" s="1"/>
      <c r="AB126" s="1">
        <v>10.062413613043001</v>
      </c>
      <c r="AC126" s="1"/>
      <c r="AD126" s="1">
        <v>-6.5456159355354302</v>
      </c>
      <c r="AE126" s="1" t="s">
        <v>1094</v>
      </c>
      <c r="AF126" s="1">
        <v>3</v>
      </c>
      <c r="AG126" s="1">
        <v>10</v>
      </c>
      <c r="AH126" s="1">
        <v>0</v>
      </c>
      <c r="AI126" s="1">
        <v>0.04</v>
      </c>
      <c r="AJ126" s="1"/>
      <c r="AK126" s="1"/>
      <c r="AL126" s="1">
        <v>0.04</v>
      </c>
      <c r="AM126" s="1">
        <v>3</v>
      </c>
      <c r="AN126" s="1">
        <v>10</v>
      </c>
      <c r="AO126" s="1"/>
      <c r="AP126" s="1"/>
      <c r="AQ126" s="1"/>
      <c r="AR126" s="1"/>
      <c r="AS126" s="1"/>
      <c r="AT126" s="1"/>
      <c r="AU126" s="1"/>
      <c r="AV126" s="1"/>
      <c r="AW126" s="1"/>
      <c r="AX126" s="1"/>
      <c r="AY126" s="1"/>
      <c r="AZ126" s="1"/>
      <c r="BA126" s="1"/>
      <c r="BB126" s="1"/>
      <c r="BC126" s="1"/>
      <c r="BD126" s="1"/>
      <c r="BE126" s="1"/>
      <c r="BF126" s="1"/>
      <c r="BG126" s="1"/>
      <c r="BH126" s="1"/>
    </row>
    <row r="127" spans="1:60" x14ac:dyDescent="0.2">
      <c r="A127" s="3">
        <v>125</v>
      </c>
      <c r="B127" s="3" t="s">
        <v>793</v>
      </c>
      <c r="C127" s="3" t="s">
        <v>794</v>
      </c>
      <c r="D127" s="1"/>
      <c r="E127" s="1">
        <f t="shared" si="9"/>
        <v>9.2156513424213156</v>
      </c>
      <c r="F127" s="1">
        <f t="shared" si="10"/>
        <v>8.4928229665071804</v>
      </c>
      <c r="G127" s="1">
        <f t="shared" si="11"/>
        <v>10</v>
      </c>
      <c r="H127" s="1"/>
      <c r="I127" s="1">
        <v>0.51300000000000001</v>
      </c>
      <c r="J127" s="1">
        <v>8.4928229665071804</v>
      </c>
      <c r="K127" s="1" t="s">
        <v>793</v>
      </c>
      <c r="L127" s="1">
        <v>1102</v>
      </c>
      <c r="M127" s="1" t="s">
        <v>1090</v>
      </c>
      <c r="N127" s="1">
        <v>2020</v>
      </c>
      <c r="O127" s="1">
        <v>10</v>
      </c>
      <c r="P127" s="1" t="s">
        <v>1091</v>
      </c>
      <c r="Q127" s="1">
        <v>206131832.32881999</v>
      </c>
      <c r="R127" s="1">
        <v>15596968.656479999</v>
      </c>
      <c r="S127" s="1">
        <v>7.5665017286606302</v>
      </c>
      <c r="T127" s="1">
        <v>627764.93758000003</v>
      </c>
      <c r="U127" s="1">
        <v>0.304545363269558</v>
      </c>
      <c r="V127" s="1">
        <v>9529865.0939799994</v>
      </c>
      <c r="W127" s="1">
        <v>4.6231894347972604</v>
      </c>
      <c r="X127" s="1">
        <v>533911.59383000003</v>
      </c>
      <c r="Y127" s="1">
        <v>0.25901462563933803</v>
      </c>
      <c r="Z127" s="1">
        <v>5.5336961329699399</v>
      </c>
      <c r="AA127" s="1">
        <v>-0.69545463673044206</v>
      </c>
      <c r="AB127" s="1">
        <v>-3.4181815748672602</v>
      </c>
      <c r="AC127" s="1">
        <v>-0.74098537436066203</v>
      </c>
      <c r="AD127" s="1">
        <v>2.94331229386338</v>
      </c>
      <c r="AE127" s="1" t="s">
        <v>1094</v>
      </c>
      <c r="AF127" s="1">
        <v>4</v>
      </c>
      <c r="AG127" s="1">
        <v>10</v>
      </c>
      <c r="AH127" s="1">
        <v>10</v>
      </c>
      <c r="AI127" s="1">
        <v>0.15</v>
      </c>
      <c r="AJ127" s="1">
        <v>0.05</v>
      </c>
      <c r="AK127" s="1">
        <v>0.04</v>
      </c>
      <c r="AL127" s="1">
        <v>0.04</v>
      </c>
      <c r="AM127" s="1">
        <v>3</v>
      </c>
      <c r="AN127" s="1">
        <v>10</v>
      </c>
      <c r="AO127" s="1"/>
      <c r="AP127" s="1"/>
      <c r="AQ127" s="1"/>
      <c r="AR127" s="1"/>
      <c r="AS127" s="1"/>
      <c r="AT127" s="1"/>
      <c r="AU127" s="1"/>
      <c r="AV127" s="1"/>
      <c r="AW127" s="1"/>
      <c r="AX127" s="1"/>
      <c r="AY127" s="1"/>
      <c r="AZ127" s="1"/>
      <c r="BA127" s="1"/>
      <c r="BB127" s="1"/>
      <c r="BC127" s="1"/>
      <c r="BD127" s="1"/>
      <c r="BE127" s="1"/>
      <c r="BF127" s="1"/>
      <c r="BG127" s="1"/>
      <c r="BH127" s="1"/>
    </row>
    <row r="128" spans="1:60" x14ac:dyDescent="0.2">
      <c r="A128" s="3">
        <v>126</v>
      </c>
      <c r="B128" s="3" t="s">
        <v>801</v>
      </c>
      <c r="C128" s="3" t="s">
        <v>802</v>
      </c>
      <c r="D128" s="1"/>
      <c r="E128" s="1">
        <f t="shared" si="9"/>
        <v>4.5147286872654062</v>
      </c>
      <c r="F128" s="1">
        <f t="shared" si="10"/>
        <v>6.7942583732057402</v>
      </c>
      <c r="G128" s="1">
        <f t="shared" si="11"/>
        <v>3</v>
      </c>
      <c r="H128" s="1"/>
      <c r="I128" s="1">
        <v>0.442</v>
      </c>
      <c r="J128" s="1">
        <v>6.7942583732057402</v>
      </c>
      <c r="K128" s="1"/>
      <c r="L128" s="1"/>
      <c r="M128" s="1"/>
      <c r="N128" s="1"/>
      <c r="O128" s="1"/>
      <c r="P128" s="1"/>
      <c r="Q128" s="1"/>
      <c r="R128" s="1"/>
      <c r="S128" s="1"/>
      <c r="T128" s="1"/>
      <c r="U128" s="1"/>
      <c r="V128" s="1"/>
      <c r="W128" s="1"/>
      <c r="X128" s="1"/>
      <c r="Y128" s="1"/>
      <c r="Z128" s="1"/>
      <c r="AA128" s="1"/>
      <c r="AB128" s="1"/>
      <c r="AC128" s="1"/>
      <c r="AD128" s="1"/>
      <c r="AE128" s="1"/>
      <c r="AF128" s="1"/>
      <c r="AG128" s="1"/>
      <c r="AH128" s="1">
        <v>0</v>
      </c>
      <c r="AI128" s="1">
        <v>0.04</v>
      </c>
      <c r="AJ128" s="1">
        <v>0.03</v>
      </c>
      <c r="AK128" s="1">
        <v>0.04</v>
      </c>
      <c r="AL128" s="1">
        <v>0.04</v>
      </c>
      <c r="AM128" s="1">
        <v>3</v>
      </c>
      <c r="AN128" s="1"/>
      <c r="AO128" s="1"/>
      <c r="AP128" s="1"/>
      <c r="AQ128" s="1"/>
      <c r="AR128" s="1"/>
      <c r="AS128" s="1"/>
      <c r="AT128" s="1"/>
      <c r="AU128" s="1"/>
      <c r="AV128" s="1"/>
      <c r="AW128" s="1"/>
      <c r="AX128" s="1"/>
      <c r="AY128" s="1"/>
      <c r="AZ128" s="1"/>
      <c r="BA128" s="1"/>
      <c r="BB128" s="1"/>
      <c r="BC128" s="1"/>
      <c r="BD128" s="1"/>
      <c r="BE128" s="1"/>
      <c r="BF128" s="1"/>
      <c r="BG128" s="1"/>
      <c r="BH128" s="1"/>
    </row>
    <row r="129" spans="1:60" x14ac:dyDescent="0.2">
      <c r="A129" s="3">
        <v>127</v>
      </c>
      <c r="B129" s="3" t="s">
        <v>805</v>
      </c>
      <c r="C129" s="3" t="s">
        <v>806</v>
      </c>
      <c r="D129" s="1"/>
      <c r="E129" s="1">
        <f t="shared" si="9"/>
        <v>3</v>
      </c>
      <c r="F129" s="1">
        <f t="shared" si="10"/>
        <v>0</v>
      </c>
      <c r="G129" s="1">
        <f t="shared" si="11"/>
        <v>3</v>
      </c>
      <c r="H129" s="1"/>
      <c r="I129" s="1">
        <v>0.155</v>
      </c>
      <c r="J129" s="1">
        <v>0</v>
      </c>
      <c r="K129" s="1"/>
      <c r="L129" s="1"/>
      <c r="M129" s="1"/>
      <c r="N129" s="1"/>
      <c r="O129" s="1"/>
      <c r="P129" s="1"/>
      <c r="Q129" s="1"/>
      <c r="R129" s="1"/>
      <c r="S129" s="1"/>
      <c r="T129" s="1"/>
      <c r="U129" s="1"/>
      <c r="V129" s="1"/>
      <c r="W129" s="1"/>
      <c r="X129" s="1"/>
      <c r="Y129" s="1"/>
      <c r="Z129" s="1"/>
      <c r="AA129" s="1"/>
      <c r="AB129" s="1"/>
      <c r="AC129" s="1"/>
      <c r="AD129" s="1"/>
      <c r="AE129" s="1"/>
      <c r="AF129" s="1"/>
      <c r="AG129" s="1"/>
      <c r="AH129" s="1">
        <v>0</v>
      </c>
      <c r="AI129" s="1">
        <v>0.03</v>
      </c>
      <c r="AJ129" s="1"/>
      <c r="AK129" s="1"/>
      <c r="AL129" s="1">
        <v>0.03</v>
      </c>
      <c r="AM129" s="1">
        <v>3</v>
      </c>
      <c r="AN129" s="1"/>
      <c r="AO129" s="1"/>
      <c r="AP129" s="1"/>
      <c r="AQ129" s="1"/>
      <c r="AR129" s="1"/>
      <c r="AS129" s="1"/>
      <c r="AT129" s="1"/>
      <c r="AU129" s="1"/>
      <c r="AV129" s="1"/>
      <c r="AW129" s="1"/>
      <c r="AX129" s="1"/>
      <c r="AY129" s="1"/>
      <c r="AZ129" s="1"/>
      <c r="BA129" s="1"/>
      <c r="BB129" s="1"/>
      <c r="BC129" s="1"/>
      <c r="BD129" s="1"/>
      <c r="BE129" s="1"/>
      <c r="BF129" s="1"/>
      <c r="BG129" s="1"/>
      <c r="BH129" s="1"/>
    </row>
    <row r="130" spans="1:60" x14ac:dyDescent="0.2">
      <c r="A130" s="3">
        <v>128</v>
      </c>
      <c r="B130" s="3" t="s">
        <v>810</v>
      </c>
      <c r="C130" s="3" t="s">
        <v>811</v>
      </c>
      <c r="D130" s="1"/>
      <c r="E130" s="1">
        <f t="shared" si="9"/>
        <v>3</v>
      </c>
      <c r="F130" s="1">
        <f t="shared" si="10"/>
        <v>0</v>
      </c>
      <c r="G130" s="1">
        <f t="shared" si="11"/>
        <v>3</v>
      </c>
      <c r="H130" s="1"/>
      <c r="I130" s="1">
        <v>0.14899999999999999</v>
      </c>
      <c r="J130" s="1">
        <v>0</v>
      </c>
      <c r="K130" s="1"/>
      <c r="L130" s="1"/>
      <c r="M130" s="1"/>
      <c r="N130" s="1"/>
      <c r="O130" s="1"/>
      <c r="P130" s="1"/>
      <c r="Q130" s="1"/>
      <c r="R130" s="1"/>
      <c r="S130" s="1"/>
      <c r="T130" s="1"/>
      <c r="U130" s="1"/>
      <c r="V130" s="1"/>
      <c r="W130" s="1"/>
      <c r="X130" s="1"/>
      <c r="Y130" s="1"/>
      <c r="Z130" s="1"/>
      <c r="AA130" s="1"/>
      <c r="AB130" s="1"/>
      <c r="AC130" s="1"/>
      <c r="AD130" s="1"/>
      <c r="AE130" s="1"/>
      <c r="AF130" s="1"/>
      <c r="AG130" s="1"/>
      <c r="AH130" s="1">
        <v>0</v>
      </c>
      <c r="AI130" s="1">
        <v>0.04</v>
      </c>
      <c r="AJ130" s="1">
        <v>0.05</v>
      </c>
      <c r="AK130" s="1">
        <v>0.03</v>
      </c>
      <c r="AL130" s="1">
        <v>0.03</v>
      </c>
      <c r="AM130" s="1">
        <v>3</v>
      </c>
      <c r="AN130" s="1"/>
      <c r="AO130" s="1"/>
      <c r="AP130" s="1"/>
      <c r="AQ130" s="1"/>
      <c r="AR130" s="1"/>
      <c r="AS130" s="1"/>
      <c r="AT130" s="1"/>
      <c r="AU130" s="1"/>
      <c r="AV130" s="1"/>
      <c r="AW130" s="1"/>
      <c r="AX130" s="1"/>
      <c r="AY130" s="1"/>
      <c r="AZ130" s="1"/>
      <c r="BA130" s="1"/>
      <c r="BB130" s="1"/>
      <c r="BC130" s="1"/>
      <c r="BD130" s="1"/>
      <c r="BE130" s="1"/>
      <c r="BF130" s="1"/>
      <c r="BG130" s="1"/>
      <c r="BH130" s="1"/>
    </row>
    <row r="131" spans="1:60" x14ac:dyDescent="0.2">
      <c r="A131" s="3">
        <v>129</v>
      </c>
      <c r="B131" s="3" t="s">
        <v>814</v>
      </c>
      <c r="C131" s="3" t="s">
        <v>815</v>
      </c>
      <c r="D131" s="1"/>
      <c r="E131" s="1">
        <f t="shared" ref="E131:E162" si="12">IFERROR(GEOMEAN(F131, G131), MAX(F131, G131))</f>
        <v>5.2085685752297461</v>
      </c>
      <c r="F131" s="1">
        <f t="shared" ref="F131:F162" si="13">MAX(J131)</f>
        <v>9.0430622009569408</v>
      </c>
      <c r="G131" s="1">
        <f t="shared" ref="G131:G162" si="14">MAX(AM131, AN131)</f>
        <v>3</v>
      </c>
      <c r="H131" s="1"/>
      <c r="I131" s="1">
        <v>0.53600000000000003</v>
      </c>
      <c r="J131" s="1">
        <v>9.0430622009569408</v>
      </c>
      <c r="K131" s="1"/>
      <c r="L131" s="1"/>
      <c r="M131" s="1"/>
      <c r="N131" s="1"/>
      <c r="O131" s="1"/>
      <c r="P131" s="1"/>
      <c r="Q131" s="1"/>
      <c r="R131" s="1"/>
      <c r="S131" s="1"/>
      <c r="T131" s="1"/>
      <c r="U131" s="1"/>
      <c r="V131" s="1"/>
      <c r="W131" s="1"/>
      <c r="X131" s="1"/>
      <c r="Y131" s="1"/>
      <c r="Z131" s="1"/>
      <c r="AA131" s="1"/>
      <c r="AB131" s="1"/>
      <c r="AC131" s="1"/>
      <c r="AD131" s="1"/>
      <c r="AE131" s="1"/>
      <c r="AF131" s="1"/>
      <c r="AG131" s="1"/>
      <c r="AH131" s="1">
        <v>0</v>
      </c>
      <c r="AI131" s="1">
        <v>0.08</v>
      </c>
      <c r="AJ131" s="1">
        <v>0.05</v>
      </c>
      <c r="AK131" s="1"/>
      <c r="AL131" s="1">
        <v>0.05</v>
      </c>
      <c r="AM131" s="1">
        <v>3</v>
      </c>
      <c r="AN131" s="1"/>
      <c r="AO131" s="1"/>
      <c r="AP131" s="1"/>
      <c r="AQ131" s="1"/>
      <c r="AR131" s="1"/>
      <c r="AS131" s="1"/>
      <c r="AT131" s="1"/>
      <c r="AU131" s="1"/>
      <c r="AV131" s="1"/>
      <c r="AW131" s="1"/>
      <c r="AX131" s="1"/>
      <c r="AY131" s="1"/>
      <c r="AZ131" s="1"/>
      <c r="BA131" s="1"/>
      <c r="BB131" s="1"/>
      <c r="BC131" s="1"/>
      <c r="BD131" s="1"/>
      <c r="BE131" s="1"/>
      <c r="BF131" s="1"/>
      <c r="BG131" s="1"/>
      <c r="BH131" s="1"/>
    </row>
    <row r="132" spans="1:60" x14ac:dyDescent="0.2">
      <c r="A132" s="3">
        <v>130</v>
      </c>
      <c r="B132" s="3" t="s">
        <v>819</v>
      </c>
      <c r="C132" s="3" t="s">
        <v>820</v>
      </c>
      <c r="D132" s="1"/>
      <c r="E132" s="1">
        <f t="shared" si="12"/>
        <v>0</v>
      </c>
      <c r="F132" s="1">
        <f t="shared" si="13"/>
        <v>0</v>
      </c>
      <c r="G132" s="1">
        <f t="shared" si="14"/>
        <v>0</v>
      </c>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v>0</v>
      </c>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row>
    <row r="133" spans="1:60" x14ac:dyDescent="0.2">
      <c r="A133" s="3">
        <v>131</v>
      </c>
      <c r="B133" s="3" t="s">
        <v>821</v>
      </c>
      <c r="C133" s="3" t="s">
        <v>822</v>
      </c>
      <c r="D133" s="1"/>
      <c r="E133" s="1">
        <f t="shared" si="12"/>
        <v>2.3508117299081333</v>
      </c>
      <c r="F133" s="1">
        <f t="shared" si="13"/>
        <v>1.84210526315789</v>
      </c>
      <c r="G133" s="1">
        <f t="shared" si="14"/>
        <v>3</v>
      </c>
      <c r="H133" s="1"/>
      <c r="I133" s="1">
        <v>0.23499999999999999</v>
      </c>
      <c r="J133" s="1">
        <v>1.84210526315789</v>
      </c>
      <c r="K133" s="1"/>
      <c r="L133" s="1"/>
      <c r="M133" s="1"/>
      <c r="N133" s="1"/>
      <c r="O133" s="1"/>
      <c r="P133" s="1"/>
      <c r="Q133" s="1"/>
      <c r="R133" s="1"/>
      <c r="S133" s="1"/>
      <c r="T133" s="1"/>
      <c r="U133" s="1"/>
      <c r="V133" s="1"/>
      <c r="W133" s="1"/>
      <c r="X133" s="1"/>
      <c r="Y133" s="1"/>
      <c r="Z133" s="1"/>
      <c r="AA133" s="1"/>
      <c r="AB133" s="1"/>
      <c r="AC133" s="1"/>
      <c r="AD133" s="1"/>
      <c r="AE133" s="1"/>
      <c r="AF133" s="1"/>
      <c r="AG133" s="1"/>
      <c r="AH133" s="1">
        <v>0</v>
      </c>
      <c r="AI133" s="1">
        <v>0.04</v>
      </c>
      <c r="AJ133" s="1">
        <v>0.04</v>
      </c>
      <c r="AK133" s="1"/>
      <c r="AL133" s="1">
        <v>0.04</v>
      </c>
      <c r="AM133" s="1">
        <v>3</v>
      </c>
      <c r="AN133" s="1"/>
      <c r="AO133" s="1"/>
      <c r="AP133" s="1"/>
      <c r="AQ133" s="1"/>
      <c r="AR133" s="1"/>
      <c r="AS133" s="1"/>
      <c r="AT133" s="1"/>
      <c r="AU133" s="1"/>
      <c r="AV133" s="1"/>
      <c r="AW133" s="1"/>
      <c r="AX133" s="1"/>
      <c r="AY133" s="1"/>
      <c r="AZ133" s="1"/>
      <c r="BA133" s="1"/>
      <c r="BB133" s="1"/>
      <c r="BC133" s="1"/>
      <c r="BD133" s="1"/>
      <c r="BE133" s="1"/>
      <c r="BF133" s="1"/>
      <c r="BG133" s="1"/>
      <c r="BH133" s="1"/>
    </row>
    <row r="134" spans="1:60" x14ac:dyDescent="0.2">
      <c r="A134" s="3">
        <v>132</v>
      </c>
      <c r="B134" s="3" t="s">
        <v>825</v>
      </c>
      <c r="C134" s="3" t="s">
        <v>826</v>
      </c>
      <c r="D134" s="1"/>
      <c r="E134" s="1">
        <f t="shared" si="12"/>
        <v>3.1127150873973335</v>
      </c>
      <c r="F134" s="1">
        <f t="shared" si="13"/>
        <v>3.2296650717703299</v>
      </c>
      <c r="G134" s="1">
        <f t="shared" si="14"/>
        <v>3</v>
      </c>
      <c r="H134" s="1"/>
      <c r="I134" s="1">
        <v>0.29299999999999998</v>
      </c>
      <c r="J134" s="1">
        <v>3.2296650717703299</v>
      </c>
      <c r="K134" s="1"/>
      <c r="L134" s="1"/>
      <c r="M134" s="1"/>
      <c r="N134" s="1"/>
      <c r="O134" s="1"/>
      <c r="P134" s="1"/>
      <c r="Q134" s="1"/>
      <c r="R134" s="1"/>
      <c r="S134" s="1"/>
      <c r="T134" s="1"/>
      <c r="U134" s="1"/>
      <c r="V134" s="1"/>
      <c r="W134" s="1"/>
      <c r="X134" s="1"/>
      <c r="Y134" s="1"/>
      <c r="Z134" s="1"/>
      <c r="AA134" s="1"/>
      <c r="AB134" s="1"/>
      <c r="AC134" s="1"/>
      <c r="AD134" s="1"/>
      <c r="AE134" s="1"/>
      <c r="AF134" s="1"/>
      <c r="AG134" s="1"/>
      <c r="AH134" s="1">
        <v>0</v>
      </c>
      <c r="AI134" s="1">
        <v>0.02</v>
      </c>
      <c r="AJ134" s="1">
        <v>0.03</v>
      </c>
      <c r="AK134" s="1"/>
      <c r="AL134" s="1">
        <v>0.03</v>
      </c>
      <c r="AM134" s="1">
        <v>3</v>
      </c>
      <c r="AN134" s="1"/>
      <c r="AO134" s="1"/>
      <c r="AP134" s="1"/>
      <c r="AQ134" s="1"/>
      <c r="AR134" s="1"/>
      <c r="AS134" s="1"/>
      <c r="AT134" s="1"/>
      <c r="AU134" s="1"/>
      <c r="AV134" s="1"/>
      <c r="AW134" s="1"/>
      <c r="AX134" s="1"/>
      <c r="AY134" s="1"/>
      <c r="AZ134" s="1"/>
      <c r="BA134" s="1"/>
      <c r="BB134" s="1"/>
      <c r="BC134" s="1"/>
      <c r="BD134" s="1"/>
      <c r="BE134" s="1"/>
      <c r="BF134" s="1"/>
      <c r="BG134" s="1"/>
      <c r="BH134" s="1"/>
    </row>
    <row r="135" spans="1:60" x14ac:dyDescent="0.2">
      <c r="A135" s="3">
        <v>133</v>
      </c>
      <c r="B135" s="3" t="s">
        <v>829</v>
      </c>
      <c r="C135" s="3" t="s">
        <v>830</v>
      </c>
      <c r="D135" s="1"/>
      <c r="E135" s="1">
        <f t="shared" si="12"/>
        <v>5.7562115398815958</v>
      </c>
      <c r="F135" s="1">
        <f t="shared" si="13"/>
        <v>6.6267942583732102</v>
      </c>
      <c r="G135" s="1">
        <f t="shared" si="14"/>
        <v>5</v>
      </c>
      <c r="H135" s="1"/>
      <c r="I135" s="1">
        <v>0.435</v>
      </c>
      <c r="J135" s="1">
        <v>6.6267942583732102</v>
      </c>
      <c r="K135" s="1"/>
      <c r="L135" s="1"/>
      <c r="M135" s="1"/>
      <c r="N135" s="1"/>
      <c r="O135" s="1"/>
      <c r="P135" s="1"/>
      <c r="Q135" s="1"/>
      <c r="R135" s="1"/>
      <c r="S135" s="1"/>
      <c r="T135" s="1"/>
      <c r="U135" s="1"/>
      <c r="V135" s="1"/>
      <c r="W135" s="1"/>
      <c r="X135" s="1"/>
      <c r="Y135" s="1"/>
      <c r="Z135" s="1"/>
      <c r="AA135" s="1"/>
      <c r="AB135" s="1"/>
      <c r="AC135" s="1"/>
      <c r="AD135" s="1"/>
      <c r="AE135" s="1"/>
      <c r="AF135" s="1"/>
      <c r="AG135" s="1"/>
      <c r="AH135" s="1">
        <v>0</v>
      </c>
      <c r="AI135" s="1">
        <v>0.12</v>
      </c>
      <c r="AJ135" s="1">
        <v>0.12</v>
      </c>
      <c r="AK135" s="1">
        <v>0.15</v>
      </c>
      <c r="AL135" s="1">
        <v>0.15</v>
      </c>
      <c r="AM135" s="1">
        <v>5</v>
      </c>
      <c r="AN135" s="1"/>
      <c r="AO135" s="1"/>
      <c r="AP135" s="1"/>
      <c r="AQ135" s="1"/>
      <c r="AR135" s="1"/>
      <c r="AS135" s="1"/>
      <c r="AT135" s="1"/>
      <c r="AU135" s="1"/>
      <c r="AV135" s="1"/>
      <c r="AW135" s="1"/>
      <c r="AX135" s="1"/>
      <c r="AY135" s="1"/>
      <c r="AZ135" s="1"/>
      <c r="BA135" s="1"/>
      <c r="BB135" s="1"/>
      <c r="BC135" s="1"/>
      <c r="BD135" s="1"/>
      <c r="BE135" s="1"/>
      <c r="BF135" s="1"/>
      <c r="BG135" s="1"/>
      <c r="BH135" s="1"/>
    </row>
    <row r="136" spans="1:60" x14ac:dyDescent="0.2">
      <c r="A136" s="3">
        <v>134</v>
      </c>
      <c r="B136" s="3" t="s">
        <v>836</v>
      </c>
      <c r="C136" s="3" t="s">
        <v>837</v>
      </c>
      <c r="D136" s="1"/>
      <c r="E136" s="1">
        <f t="shared" si="12"/>
        <v>5.0956937799043098</v>
      </c>
      <c r="F136" s="1">
        <f t="shared" si="13"/>
        <v>5.0956937799043098</v>
      </c>
      <c r="G136" s="1">
        <f t="shared" si="14"/>
        <v>0</v>
      </c>
      <c r="H136" s="1"/>
      <c r="I136" s="1">
        <v>0.371</v>
      </c>
      <c r="J136" s="1">
        <v>5.0956937799043098</v>
      </c>
      <c r="K136" s="1"/>
      <c r="L136" s="1"/>
      <c r="M136" s="1"/>
      <c r="N136" s="1"/>
      <c r="O136" s="1"/>
      <c r="P136" s="1"/>
      <c r="Q136" s="1"/>
      <c r="R136" s="1"/>
      <c r="S136" s="1"/>
      <c r="T136" s="1"/>
      <c r="U136" s="1"/>
      <c r="V136" s="1"/>
      <c r="W136" s="1"/>
      <c r="X136" s="1"/>
      <c r="Y136" s="1"/>
      <c r="Z136" s="1"/>
      <c r="AA136" s="1"/>
      <c r="AB136" s="1"/>
      <c r="AC136" s="1"/>
      <c r="AD136" s="1"/>
      <c r="AE136" s="1"/>
      <c r="AF136" s="1"/>
      <c r="AG136" s="1"/>
      <c r="AH136" s="1">
        <v>0</v>
      </c>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row>
    <row r="137" spans="1:60" x14ac:dyDescent="0.2">
      <c r="A137" s="3">
        <v>135</v>
      </c>
      <c r="B137" s="3" t="s">
        <v>840</v>
      </c>
      <c r="C137" s="3" t="s">
        <v>841</v>
      </c>
      <c r="D137" s="1"/>
      <c r="E137" s="1">
        <f t="shared" si="12"/>
        <v>2.5788985446017998</v>
      </c>
      <c r="F137" s="1">
        <f t="shared" si="13"/>
        <v>6.6507177033492804</v>
      </c>
      <c r="G137" s="1">
        <f t="shared" si="14"/>
        <v>1</v>
      </c>
      <c r="H137" s="1"/>
      <c r="I137" s="1">
        <v>0.436</v>
      </c>
      <c r="J137" s="1">
        <v>6.6507177033492804</v>
      </c>
      <c r="K137" s="1"/>
      <c r="L137" s="1"/>
      <c r="M137" s="1"/>
      <c r="N137" s="1"/>
      <c r="O137" s="1"/>
      <c r="P137" s="1"/>
      <c r="Q137" s="1"/>
      <c r="R137" s="1"/>
      <c r="S137" s="1"/>
      <c r="T137" s="1"/>
      <c r="U137" s="1"/>
      <c r="V137" s="1"/>
      <c r="W137" s="1"/>
      <c r="X137" s="1"/>
      <c r="Y137" s="1"/>
      <c r="Z137" s="1"/>
      <c r="AA137" s="1"/>
      <c r="AB137" s="1"/>
      <c r="AC137" s="1"/>
      <c r="AD137" s="1"/>
      <c r="AE137" s="1"/>
      <c r="AF137" s="1"/>
      <c r="AG137" s="1"/>
      <c r="AH137" s="1">
        <v>0</v>
      </c>
      <c r="AI137" s="1">
        <v>0.02</v>
      </c>
      <c r="AJ137" s="1">
        <v>0.02</v>
      </c>
      <c r="AK137" s="1">
        <v>0.02</v>
      </c>
      <c r="AL137" s="1">
        <v>0.02</v>
      </c>
      <c r="AM137" s="1">
        <v>1</v>
      </c>
      <c r="AN137" s="1"/>
      <c r="AO137" s="1"/>
      <c r="AP137" s="1"/>
      <c r="AQ137" s="1"/>
      <c r="AR137" s="1"/>
      <c r="AS137" s="1"/>
      <c r="AT137" s="1"/>
      <c r="AU137" s="1"/>
      <c r="AV137" s="1"/>
      <c r="AW137" s="1"/>
      <c r="AX137" s="1"/>
      <c r="AY137" s="1"/>
      <c r="AZ137" s="1"/>
      <c r="BA137" s="1"/>
      <c r="BB137" s="1"/>
      <c r="BC137" s="1"/>
      <c r="BD137" s="1"/>
      <c r="BE137" s="1"/>
      <c r="BF137" s="1"/>
      <c r="BG137" s="1"/>
      <c r="BH137" s="1"/>
    </row>
    <row r="138" spans="1:60" x14ac:dyDescent="0.2">
      <c r="A138" s="3">
        <v>136</v>
      </c>
      <c r="B138" s="3" t="s">
        <v>844</v>
      </c>
      <c r="C138" s="3" t="s">
        <v>845</v>
      </c>
      <c r="D138" s="1"/>
      <c r="E138" s="1">
        <f t="shared" si="12"/>
        <v>4.6478888555339957</v>
      </c>
      <c r="F138" s="1">
        <f t="shared" si="13"/>
        <v>7.2009569377990399</v>
      </c>
      <c r="G138" s="1">
        <f t="shared" si="14"/>
        <v>3</v>
      </c>
      <c r="H138" s="1"/>
      <c r="I138" s="1">
        <v>0.45900000000000002</v>
      </c>
      <c r="J138" s="1">
        <v>7.2009569377990399</v>
      </c>
      <c r="K138" s="1"/>
      <c r="L138" s="1"/>
      <c r="M138" s="1"/>
      <c r="N138" s="1"/>
      <c r="O138" s="1"/>
      <c r="P138" s="1"/>
      <c r="Q138" s="1"/>
      <c r="R138" s="1"/>
      <c r="S138" s="1"/>
      <c r="T138" s="1"/>
      <c r="U138" s="1"/>
      <c r="V138" s="1"/>
      <c r="W138" s="1"/>
      <c r="X138" s="1"/>
      <c r="Y138" s="1"/>
      <c r="Z138" s="1"/>
      <c r="AA138" s="1"/>
      <c r="AB138" s="1"/>
      <c r="AC138" s="1"/>
      <c r="AD138" s="1"/>
      <c r="AE138" s="1"/>
      <c r="AF138" s="1"/>
      <c r="AG138" s="1"/>
      <c r="AH138" s="1">
        <v>0</v>
      </c>
      <c r="AI138" s="1">
        <v>0.03</v>
      </c>
      <c r="AJ138" s="1">
        <v>0.03</v>
      </c>
      <c r="AK138" s="1">
        <v>0.03</v>
      </c>
      <c r="AL138" s="1">
        <v>0.03</v>
      </c>
      <c r="AM138" s="1">
        <v>3</v>
      </c>
      <c r="AN138" s="1"/>
      <c r="AO138" s="1"/>
      <c r="AP138" s="1"/>
      <c r="AQ138" s="1"/>
      <c r="AR138" s="1"/>
      <c r="AS138" s="1"/>
      <c r="AT138" s="1"/>
      <c r="AU138" s="1"/>
      <c r="AV138" s="1"/>
      <c r="AW138" s="1"/>
      <c r="AX138" s="1"/>
      <c r="AY138" s="1"/>
      <c r="AZ138" s="1"/>
      <c r="BA138" s="1"/>
      <c r="BB138" s="1"/>
      <c r="BC138" s="1"/>
      <c r="BD138" s="1"/>
      <c r="BE138" s="1"/>
      <c r="BF138" s="1"/>
      <c r="BG138" s="1"/>
      <c r="BH138" s="1"/>
    </row>
    <row r="139" spans="1:60" x14ac:dyDescent="0.2">
      <c r="A139" s="3">
        <v>137</v>
      </c>
      <c r="B139" s="3" t="s">
        <v>849</v>
      </c>
      <c r="C139" s="3" t="s">
        <v>850</v>
      </c>
      <c r="D139" s="1"/>
      <c r="E139" s="1">
        <f t="shared" si="12"/>
        <v>0</v>
      </c>
      <c r="F139" s="1">
        <f t="shared" si="13"/>
        <v>0</v>
      </c>
      <c r="G139" s="1">
        <f t="shared" si="14"/>
        <v>0</v>
      </c>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v>0</v>
      </c>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row>
    <row r="140" spans="1:60" x14ac:dyDescent="0.2">
      <c r="A140" s="3">
        <v>138</v>
      </c>
      <c r="B140" s="3" t="s">
        <v>852</v>
      </c>
      <c r="C140" s="3" t="s">
        <v>853</v>
      </c>
      <c r="D140" s="1"/>
      <c r="E140" s="1">
        <f t="shared" si="12"/>
        <v>10</v>
      </c>
      <c r="F140" s="1">
        <f t="shared" si="13"/>
        <v>10</v>
      </c>
      <c r="G140" s="1">
        <f t="shared" si="14"/>
        <v>0</v>
      </c>
      <c r="H140" s="1"/>
      <c r="I140" s="1">
        <v>0.60699999999999998</v>
      </c>
      <c r="J140" s="1">
        <v>10</v>
      </c>
      <c r="K140" s="1"/>
      <c r="L140" s="1"/>
      <c r="M140" s="1"/>
      <c r="N140" s="1"/>
      <c r="O140" s="1"/>
      <c r="P140" s="1"/>
      <c r="Q140" s="1"/>
      <c r="R140" s="1"/>
      <c r="S140" s="1"/>
      <c r="T140" s="1"/>
      <c r="U140" s="1"/>
      <c r="V140" s="1"/>
      <c r="W140" s="1"/>
      <c r="X140" s="1"/>
      <c r="Y140" s="1"/>
      <c r="Z140" s="1"/>
      <c r="AA140" s="1"/>
      <c r="AB140" s="1"/>
      <c r="AC140" s="1"/>
      <c r="AD140" s="1"/>
      <c r="AE140" s="1"/>
      <c r="AF140" s="1"/>
      <c r="AG140" s="1"/>
      <c r="AH140" s="1">
        <v>0</v>
      </c>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row>
    <row r="141" spans="1:60" x14ac:dyDescent="0.2">
      <c r="A141" s="3">
        <v>139</v>
      </c>
      <c r="B141" s="3" t="s">
        <v>856</v>
      </c>
      <c r="C141" s="3" t="s">
        <v>857</v>
      </c>
      <c r="D141" s="1"/>
      <c r="E141" s="1">
        <f t="shared" si="12"/>
        <v>1.9867985355975655</v>
      </c>
      <c r="F141" s="1">
        <f t="shared" si="13"/>
        <v>0.78947368421052599</v>
      </c>
      <c r="G141" s="1">
        <f t="shared" si="14"/>
        <v>5</v>
      </c>
      <c r="H141" s="1"/>
      <c r="I141" s="1">
        <v>0.191</v>
      </c>
      <c r="J141" s="1">
        <v>0.78947368421052599</v>
      </c>
      <c r="K141" s="1"/>
      <c r="L141" s="1"/>
      <c r="M141" s="1"/>
      <c r="N141" s="1"/>
      <c r="O141" s="1"/>
      <c r="P141" s="1"/>
      <c r="Q141" s="1"/>
      <c r="R141" s="1"/>
      <c r="S141" s="1"/>
      <c r="T141" s="1"/>
      <c r="U141" s="1"/>
      <c r="V141" s="1"/>
      <c r="W141" s="1"/>
      <c r="X141" s="1"/>
      <c r="Y141" s="1"/>
      <c r="Z141" s="1"/>
      <c r="AA141" s="1"/>
      <c r="AB141" s="1"/>
      <c r="AC141" s="1"/>
      <c r="AD141" s="1"/>
      <c r="AE141" s="1"/>
      <c r="AF141" s="1"/>
      <c r="AG141" s="1"/>
      <c r="AH141" s="1">
        <v>0</v>
      </c>
      <c r="AI141" s="1">
        <v>7.0000000000000007E-2</v>
      </c>
      <c r="AJ141" s="1">
        <v>0.06</v>
      </c>
      <c r="AK141" s="1">
        <v>0.06</v>
      </c>
      <c r="AL141" s="1">
        <v>0.06</v>
      </c>
      <c r="AM141" s="1">
        <v>5</v>
      </c>
      <c r="AN141" s="1"/>
      <c r="AO141" s="1"/>
      <c r="AP141" s="1"/>
      <c r="AQ141" s="1"/>
      <c r="AR141" s="1"/>
      <c r="AS141" s="1"/>
      <c r="AT141" s="1"/>
      <c r="AU141" s="1"/>
      <c r="AV141" s="1"/>
      <c r="AW141" s="1"/>
      <c r="AX141" s="1"/>
      <c r="AY141" s="1"/>
      <c r="AZ141" s="1"/>
      <c r="BA141" s="1"/>
      <c r="BB141" s="1"/>
      <c r="BC141" s="1"/>
      <c r="BD141" s="1"/>
      <c r="BE141" s="1"/>
      <c r="BF141" s="1"/>
      <c r="BG141" s="1"/>
      <c r="BH141" s="1"/>
    </row>
    <row r="142" spans="1:60" x14ac:dyDescent="0.2">
      <c r="A142" s="3">
        <v>140</v>
      </c>
      <c r="B142" s="3" t="s">
        <v>860</v>
      </c>
      <c r="C142" s="3" t="s">
        <v>861</v>
      </c>
      <c r="D142" s="1"/>
      <c r="E142" s="1">
        <f t="shared" si="12"/>
        <v>8.6363636363636402</v>
      </c>
      <c r="F142" s="1">
        <f t="shared" si="13"/>
        <v>8.6363636363636402</v>
      </c>
      <c r="G142" s="1">
        <f t="shared" si="14"/>
        <v>0</v>
      </c>
      <c r="H142" s="1"/>
      <c r="I142" s="1">
        <v>0.51900000000000002</v>
      </c>
      <c r="J142" s="1">
        <v>8.6363636363636402</v>
      </c>
      <c r="K142" s="1"/>
      <c r="L142" s="1"/>
      <c r="M142" s="1"/>
      <c r="N142" s="1"/>
      <c r="O142" s="1"/>
      <c r="P142" s="1"/>
      <c r="Q142" s="1"/>
      <c r="R142" s="1"/>
      <c r="S142" s="1"/>
      <c r="T142" s="1"/>
      <c r="U142" s="1"/>
      <c r="V142" s="1"/>
      <c r="W142" s="1"/>
      <c r="X142" s="1"/>
      <c r="Y142" s="1"/>
      <c r="Z142" s="1"/>
      <c r="AA142" s="1"/>
      <c r="AB142" s="1"/>
      <c r="AC142" s="1"/>
      <c r="AD142" s="1"/>
      <c r="AE142" s="1"/>
      <c r="AF142" s="1"/>
      <c r="AG142" s="1"/>
      <c r="AH142" s="1">
        <v>0</v>
      </c>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row>
    <row r="143" spans="1:60" x14ac:dyDescent="0.2">
      <c r="A143" s="3">
        <v>141</v>
      </c>
      <c r="B143" s="3" t="s">
        <v>862</v>
      </c>
      <c r="C143" s="3" t="s">
        <v>863</v>
      </c>
      <c r="D143" s="1"/>
      <c r="E143" s="1">
        <f t="shared" si="12"/>
        <v>3</v>
      </c>
      <c r="F143" s="1">
        <f t="shared" si="13"/>
        <v>0</v>
      </c>
      <c r="G143" s="1">
        <f t="shared" si="14"/>
        <v>3</v>
      </c>
      <c r="H143" s="1"/>
      <c r="I143" s="1">
        <v>0.158</v>
      </c>
      <c r="J143" s="1">
        <v>0</v>
      </c>
      <c r="K143" s="1"/>
      <c r="L143" s="1"/>
      <c r="M143" s="1"/>
      <c r="N143" s="1"/>
      <c r="O143" s="1"/>
      <c r="P143" s="1"/>
      <c r="Q143" s="1"/>
      <c r="R143" s="1"/>
      <c r="S143" s="1"/>
      <c r="T143" s="1"/>
      <c r="U143" s="1"/>
      <c r="V143" s="1"/>
      <c r="W143" s="1"/>
      <c r="X143" s="1"/>
      <c r="Y143" s="1"/>
      <c r="Z143" s="1"/>
      <c r="AA143" s="1"/>
      <c r="AB143" s="1"/>
      <c r="AC143" s="1"/>
      <c r="AD143" s="1"/>
      <c r="AE143" s="1"/>
      <c r="AF143" s="1"/>
      <c r="AG143" s="1"/>
      <c r="AH143" s="1">
        <v>0</v>
      </c>
      <c r="AI143" s="1">
        <v>0.04</v>
      </c>
      <c r="AJ143" s="1">
        <v>0.02</v>
      </c>
      <c r="AK143" s="1">
        <v>0.03</v>
      </c>
      <c r="AL143" s="1">
        <v>0.03</v>
      </c>
      <c r="AM143" s="1">
        <v>3</v>
      </c>
      <c r="AN143" s="1"/>
      <c r="AO143" s="1"/>
      <c r="AP143" s="1"/>
      <c r="AQ143" s="1"/>
      <c r="AR143" s="1"/>
      <c r="AS143" s="1"/>
      <c r="AT143" s="1"/>
      <c r="AU143" s="1"/>
      <c r="AV143" s="1"/>
      <c r="AW143" s="1"/>
      <c r="AX143" s="1"/>
      <c r="AY143" s="1"/>
      <c r="AZ143" s="1"/>
      <c r="BA143" s="1"/>
      <c r="BB143" s="1"/>
      <c r="BC143" s="1"/>
      <c r="BD143" s="1"/>
      <c r="BE143" s="1"/>
      <c r="BF143" s="1"/>
      <c r="BG143" s="1"/>
      <c r="BH143" s="1"/>
    </row>
    <row r="144" spans="1:60" x14ac:dyDescent="0.2">
      <c r="A144" s="3">
        <v>142</v>
      </c>
      <c r="B144" s="3" t="s">
        <v>865</v>
      </c>
      <c r="C144" s="3" t="s">
        <v>866</v>
      </c>
      <c r="D144" s="1"/>
      <c r="E144" s="1">
        <f t="shared" si="12"/>
        <v>2.2993654210918542</v>
      </c>
      <c r="F144" s="1">
        <f t="shared" si="13"/>
        <v>5.2870813397129197</v>
      </c>
      <c r="G144" s="1">
        <f t="shared" si="14"/>
        <v>1</v>
      </c>
      <c r="H144" s="1"/>
      <c r="I144" s="1">
        <v>0.379</v>
      </c>
      <c r="J144" s="1">
        <v>5.2870813397129197</v>
      </c>
      <c r="K144" s="1"/>
      <c r="L144" s="1"/>
      <c r="M144" s="1"/>
      <c r="N144" s="1"/>
      <c r="O144" s="1"/>
      <c r="P144" s="1"/>
      <c r="Q144" s="1"/>
      <c r="R144" s="1"/>
      <c r="S144" s="1"/>
      <c r="T144" s="1"/>
      <c r="U144" s="1"/>
      <c r="V144" s="1"/>
      <c r="W144" s="1"/>
      <c r="X144" s="1"/>
      <c r="Y144" s="1"/>
      <c r="Z144" s="1"/>
      <c r="AA144" s="1"/>
      <c r="AB144" s="1"/>
      <c r="AC144" s="1"/>
      <c r="AD144" s="1"/>
      <c r="AE144" s="1"/>
      <c r="AF144" s="1"/>
      <c r="AG144" s="1"/>
      <c r="AH144" s="1">
        <v>0</v>
      </c>
      <c r="AI144" s="1">
        <v>0.02</v>
      </c>
      <c r="AJ144" s="1">
        <v>-0.01</v>
      </c>
      <c r="AK144" s="1">
        <v>-0.02</v>
      </c>
      <c r="AL144" s="1">
        <v>-0.02</v>
      </c>
      <c r="AM144" s="1">
        <v>1</v>
      </c>
      <c r="AN144" s="1"/>
      <c r="AO144" s="1"/>
      <c r="AP144" s="1"/>
      <c r="AQ144" s="1"/>
      <c r="AR144" s="1"/>
      <c r="AS144" s="1"/>
      <c r="AT144" s="1"/>
      <c r="AU144" s="1"/>
      <c r="AV144" s="1"/>
      <c r="AW144" s="1"/>
      <c r="AX144" s="1"/>
      <c r="AY144" s="1"/>
      <c r="AZ144" s="1"/>
      <c r="BA144" s="1"/>
      <c r="BB144" s="1"/>
      <c r="BC144" s="1"/>
      <c r="BD144" s="1"/>
      <c r="BE144" s="1"/>
      <c r="BF144" s="1"/>
      <c r="BG144" s="1"/>
      <c r="BH144" s="1"/>
    </row>
    <row r="145" spans="1:60" x14ac:dyDescent="0.2">
      <c r="A145" s="3">
        <v>143</v>
      </c>
      <c r="B145" s="3" t="s">
        <v>870</v>
      </c>
      <c r="C145" s="3" t="s">
        <v>871</v>
      </c>
      <c r="D145" s="1"/>
      <c r="E145" s="1">
        <f t="shared" si="12"/>
        <v>1</v>
      </c>
      <c r="F145" s="1">
        <f t="shared" si="13"/>
        <v>0</v>
      </c>
      <c r="G145" s="1">
        <f t="shared" si="14"/>
        <v>1</v>
      </c>
      <c r="H145" s="1"/>
      <c r="I145" s="1">
        <v>0.11899999999999999</v>
      </c>
      <c r="J145" s="1">
        <v>0</v>
      </c>
      <c r="K145" s="1"/>
      <c r="L145" s="1"/>
      <c r="M145" s="1"/>
      <c r="N145" s="1"/>
      <c r="O145" s="1"/>
      <c r="P145" s="1"/>
      <c r="Q145" s="1"/>
      <c r="R145" s="1"/>
      <c r="S145" s="1"/>
      <c r="T145" s="1"/>
      <c r="U145" s="1"/>
      <c r="V145" s="1"/>
      <c r="W145" s="1"/>
      <c r="X145" s="1"/>
      <c r="Y145" s="1"/>
      <c r="Z145" s="1"/>
      <c r="AA145" s="1"/>
      <c r="AB145" s="1"/>
      <c r="AC145" s="1"/>
      <c r="AD145" s="1"/>
      <c r="AE145" s="1"/>
      <c r="AF145" s="1"/>
      <c r="AG145" s="1"/>
      <c r="AH145" s="1">
        <v>0</v>
      </c>
      <c r="AI145" s="1">
        <v>0.01</v>
      </c>
      <c r="AJ145" s="1">
        <v>0</v>
      </c>
      <c r="AK145" s="1">
        <v>-0.01</v>
      </c>
      <c r="AL145" s="1">
        <v>-0.01</v>
      </c>
      <c r="AM145" s="1">
        <v>1</v>
      </c>
      <c r="AN145" s="1"/>
      <c r="AO145" s="1"/>
      <c r="AP145" s="1"/>
      <c r="AQ145" s="1"/>
      <c r="AR145" s="1"/>
      <c r="AS145" s="1"/>
      <c r="AT145" s="1"/>
      <c r="AU145" s="1"/>
      <c r="AV145" s="1"/>
      <c r="AW145" s="1"/>
      <c r="AX145" s="1"/>
      <c r="AY145" s="1"/>
      <c r="AZ145" s="1"/>
      <c r="BA145" s="1"/>
      <c r="BB145" s="1"/>
      <c r="BC145" s="1"/>
      <c r="BD145" s="1"/>
      <c r="BE145" s="1"/>
      <c r="BF145" s="1"/>
      <c r="BG145" s="1"/>
      <c r="BH145" s="1"/>
    </row>
    <row r="146" spans="1:60" x14ac:dyDescent="0.2">
      <c r="A146" s="3">
        <v>144</v>
      </c>
      <c r="B146" s="3" t="s">
        <v>873</v>
      </c>
      <c r="C146" s="3" t="s">
        <v>874</v>
      </c>
      <c r="D146" s="1"/>
      <c r="E146" s="1">
        <f t="shared" si="12"/>
        <v>2.7188866283108735</v>
      </c>
      <c r="F146" s="1">
        <f t="shared" si="13"/>
        <v>2.4641148325358899</v>
      </c>
      <c r="G146" s="1">
        <f t="shared" si="14"/>
        <v>3</v>
      </c>
      <c r="H146" s="1"/>
      <c r="I146" s="1">
        <v>0.26100000000000001</v>
      </c>
      <c r="J146" s="1">
        <v>2.4641148325358899</v>
      </c>
      <c r="K146" s="1"/>
      <c r="L146" s="1"/>
      <c r="M146" s="1"/>
      <c r="N146" s="1"/>
      <c r="O146" s="1"/>
      <c r="P146" s="1"/>
      <c r="Q146" s="1"/>
      <c r="R146" s="1"/>
      <c r="S146" s="1"/>
      <c r="T146" s="1"/>
      <c r="U146" s="1"/>
      <c r="V146" s="1"/>
      <c r="W146" s="1"/>
      <c r="X146" s="1"/>
      <c r="Y146" s="1"/>
      <c r="Z146" s="1"/>
      <c r="AA146" s="1"/>
      <c r="AB146" s="1"/>
      <c r="AC146" s="1"/>
      <c r="AD146" s="1"/>
      <c r="AE146" s="1"/>
      <c r="AF146" s="1"/>
      <c r="AG146" s="1"/>
      <c r="AH146" s="1">
        <v>0</v>
      </c>
      <c r="AI146" s="1">
        <v>0.06</v>
      </c>
      <c r="AJ146" s="1">
        <v>0.05</v>
      </c>
      <c r="AK146" s="1">
        <v>0.05</v>
      </c>
      <c r="AL146" s="1">
        <v>0.05</v>
      </c>
      <c r="AM146" s="1">
        <v>3</v>
      </c>
      <c r="AN146" s="1"/>
      <c r="AO146" s="1"/>
      <c r="AP146" s="1"/>
      <c r="AQ146" s="1"/>
      <c r="AR146" s="1"/>
      <c r="AS146" s="1"/>
      <c r="AT146" s="1"/>
      <c r="AU146" s="1"/>
      <c r="AV146" s="1"/>
      <c r="AW146" s="1"/>
      <c r="AX146" s="1"/>
      <c r="AY146" s="1"/>
      <c r="AZ146" s="1"/>
      <c r="BA146" s="1"/>
      <c r="BB146" s="1"/>
      <c r="BC146" s="1"/>
      <c r="BD146" s="1"/>
      <c r="BE146" s="1"/>
      <c r="BF146" s="1"/>
      <c r="BG146" s="1"/>
      <c r="BH146" s="1"/>
    </row>
    <row r="147" spans="1:60" x14ac:dyDescent="0.2">
      <c r="A147" s="3">
        <v>145</v>
      </c>
      <c r="B147" s="3" t="s">
        <v>877</v>
      </c>
      <c r="C147" s="3" t="s">
        <v>878</v>
      </c>
      <c r="D147" s="1"/>
      <c r="E147" s="1">
        <f t="shared" si="12"/>
        <v>2.784097012003858</v>
      </c>
      <c r="F147" s="1">
        <f t="shared" si="13"/>
        <v>2.5837320574162699</v>
      </c>
      <c r="G147" s="1">
        <f t="shared" si="14"/>
        <v>3</v>
      </c>
      <c r="H147" s="1"/>
      <c r="I147" s="1">
        <v>0.26600000000000001</v>
      </c>
      <c r="J147" s="1">
        <v>2.5837320574162699</v>
      </c>
      <c r="K147" s="1"/>
      <c r="L147" s="1"/>
      <c r="M147" s="1"/>
      <c r="N147" s="1"/>
      <c r="O147" s="1"/>
      <c r="P147" s="1"/>
      <c r="Q147" s="1"/>
      <c r="R147" s="1"/>
      <c r="S147" s="1"/>
      <c r="T147" s="1"/>
      <c r="U147" s="1"/>
      <c r="V147" s="1"/>
      <c r="W147" s="1"/>
      <c r="X147" s="1"/>
      <c r="Y147" s="1"/>
      <c r="Z147" s="1"/>
      <c r="AA147" s="1"/>
      <c r="AB147" s="1"/>
      <c r="AC147" s="1"/>
      <c r="AD147" s="1"/>
      <c r="AE147" s="1"/>
      <c r="AF147" s="1"/>
      <c r="AG147" s="1"/>
      <c r="AH147" s="1">
        <v>0</v>
      </c>
      <c r="AI147" s="1">
        <v>0.04</v>
      </c>
      <c r="AJ147" s="1"/>
      <c r="AK147" s="1">
        <v>0.04</v>
      </c>
      <c r="AL147" s="1">
        <v>0.04</v>
      </c>
      <c r="AM147" s="1">
        <v>3</v>
      </c>
      <c r="AN147" s="1"/>
      <c r="AO147" s="1"/>
      <c r="AP147" s="1"/>
      <c r="AQ147" s="1"/>
      <c r="AR147" s="1"/>
      <c r="AS147" s="1"/>
      <c r="AT147" s="1"/>
      <c r="AU147" s="1"/>
      <c r="AV147" s="1"/>
      <c r="AW147" s="1"/>
      <c r="AX147" s="1"/>
      <c r="AY147" s="1"/>
      <c r="AZ147" s="1"/>
      <c r="BA147" s="1"/>
      <c r="BB147" s="1"/>
      <c r="BC147" s="1"/>
      <c r="BD147" s="1"/>
      <c r="BE147" s="1"/>
      <c r="BF147" s="1"/>
      <c r="BG147" s="1"/>
      <c r="BH147" s="1"/>
    </row>
    <row r="148" spans="1:60" x14ac:dyDescent="0.2">
      <c r="A148" s="3">
        <v>146</v>
      </c>
      <c r="B148" s="3" t="s">
        <v>881</v>
      </c>
      <c r="C148" s="3" t="s">
        <v>882</v>
      </c>
      <c r="D148" s="1"/>
      <c r="E148" s="1">
        <f t="shared" si="12"/>
        <v>6.7331217299010051</v>
      </c>
      <c r="F148" s="1">
        <f t="shared" si="13"/>
        <v>9.0669856459330198</v>
      </c>
      <c r="G148" s="1">
        <f t="shared" si="14"/>
        <v>5</v>
      </c>
      <c r="H148" s="1"/>
      <c r="I148" s="1">
        <v>0.53700000000000003</v>
      </c>
      <c r="J148" s="1">
        <v>9.0669856459330198</v>
      </c>
      <c r="K148" s="1"/>
      <c r="L148" s="1"/>
      <c r="M148" s="1"/>
      <c r="N148" s="1"/>
      <c r="O148" s="1"/>
      <c r="P148" s="1"/>
      <c r="Q148" s="1"/>
      <c r="R148" s="1"/>
      <c r="S148" s="1"/>
      <c r="T148" s="1"/>
      <c r="U148" s="1"/>
      <c r="V148" s="1"/>
      <c r="W148" s="1"/>
      <c r="X148" s="1"/>
      <c r="Y148" s="1"/>
      <c r="Z148" s="1"/>
      <c r="AA148" s="1"/>
      <c r="AB148" s="1"/>
      <c r="AC148" s="1"/>
      <c r="AD148" s="1"/>
      <c r="AE148" s="1"/>
      <c r="AF148" s="1"/>
      <c r="AG148" s="1"/>
      <c r="AH148" s="1">
        <v>0</v>
      </c>
      <c r="AI148" s="1">
        <v>0.19</v>
      </c>
      <c r="AJ148" s="1">
        <v>0.14000000000000001</v>
      </c>
      <c r="AK148" s="1">
        <v>0.14000000000000001</v>
      </c>
      <c r="AL148" s="1">
        <v>0.14000000000000001</v>
      </c>
      <c r="AM148" s="1">
        <v>5</v>
      </c>
      <c r="AN148" s="1"/>
      <c r="AO148" s="1"/>
      <c r="AP148" s="1"/>
      <c r="AQ148" s="1"/>
      <c r="AR148" s="1"/>
      <c r="AS148" s="1"/>
      <c r="AT148" s="1"/>
      <c r="AU148" s="1"/>
      <c r="AV148" s="1"/>
      <c r="AW148" s="1"/>
      <c r="AX148" s="1"/>
      <c r="AY148" s="1"/>
      <c r="AZ148" s="1"/>
      <c r="BA148" s="1"/>
      <c r="BB148" s="1"/>
      <c r="BC148" s="1"/>
      <c r="BD148" s="1"/>
      <c r="BE148" s="1"/>
      <c r="BF148" s="1"/>
      <c r="BG148" s="1"/>
      <c r="BH148" s="1"/>
    </row>
    <row r="149" spans="1:60" x14ac:dyDescent="0.2">
      <c r="A149" s="3">
        <v>147</v>
      </c>
      <c r="B149" s="3" t="s">
        <v>884</v>
      </c>
      <c r="C149" s="3" t="s">
        <v>885</v>
      </c>
      <c r="D149" s="1"/>
      <c r="E149" s="1">
        <f t="shared" si="12"/>
        <v>3.4585723193303766</v>
      </c>
      <c r="F149" s="1">
        <f t="shared" si="13"/>
        <v>2.39234449760766</v>
      </c>
      <c r="G149" s="1">
        <f t="shared" si="14"/>
        <v>5</v>
      </c>
      <c r="H149" s="1"/>
      <c r="I149" s="1">
        <v>0.25800000000000001</v>
      </c>
      <c r="J149" s="1">
        <v>2.39234449760766</v>
      </c>
      <c r="K149" s="1"/>
      <c r="L149" s="1"/>
      <c r="M149" s="1"/>
      <c r="N149" s="1"/>
      <c r="O149" s="1"/>
      <c r="P149" s="1"/>
      <c r="Q149" s="1"/>
      <c r="R149" s="1"/>
      <c r="S149" s="1"/>
      <c r="T149" s="1"/>
      <c r="U149" s="1"/>
      <c r="V149" s="1"/>
      <c r="W149" s="1"/>
      <c r="X149" s="1"/>
      <c r="Y149" s="1"/>
      <c r="Z149" s="1"/>
      <c r="AA149" s="1"/>
      <c r="AB149" s="1"/>
      <c r="AC149" s="1"/>
      <c r="AD149" s="1"/>
      <c r="AE149" s="1"/>
      <c r="AF149" s="1"/>
      <c r="AG149" s="1"/>
      <c r="AH149" s="1">
        <v>0</v>
      </c>
      <c r="AI149" s="1">
        <v>0.06</v>
      </c>
      <c r="AJ149" s="1">
        <v>7.0000000000000007E-2</v>
      </c>
      <c r="AK149" s="1">
        <v>7.0000000000000007E-2</v>
      </c>
      <c r="AL149" s="1">
        <v>7.0000000000000007E-2</v>
      </c>
      <c r="AM149" s="1">
        <v>5</v>
      </c>
      <c r="AN149" s="1"/>
      <c r="AO149" s="1"/>
      <c r="AP149" s="1"/>
      <c r="AQ149" s="1"/>
      <c r="AR149" s="1"/>
      <c r="AS149" s="1"/>
      <c r="AT149" s="1"/>
      <c r="AU149" s="1"/>
      <c r="AV149" s="1"/>
      <c r="AW149" s="1"/>
      <c r="AX149" s="1"/>
      <c r="AY149" s="1"/>
      <c r="AZ149" s="1"/>
      <c r="BA149" s="1"/>
      <c r="BB149" s="1"/>
      <c r="BC149" s="1"/>
      <c r="BD149" s="1"/>
      <c r="BE149" s="1"/>
      <c r="BF149" s="1"/>
      <c r="BG149" s="1"/>
      <c r="BH149" s="1"/>
    </row>
    <row r="150" spans="1:60" x14ac:dyDescent="0.2">
      <c r="A150" s="3">
        <v>148</v>
      </c>
      <c r="B150" s="3" t="s">
        <v>887</v>
      </c>
      <c r="C150" s="3" t="s">
        <v>888</v>
      </c>
      <c r="D150" s="1"/>
      <c r="E150" s="1">
        <f t="shared" si="12"/>
        <v>10</v>
      </c>
      <c r="F150" s="1">
        <f t="shared" si="13"/>
        <v>10</v>
      </c>
      <c r="G150" s="1">
        <f t="shared" si="14"/>
        <v>10</v>
      </c>
      <c r="H150" s="1"/>
      <c r="I150" s="1">
        <v>0.57599999999999996</v>
      </c>
      <c r="J150" s="1">
        <v>10</v>
      </c>
      <c r="K150" s="1" t="s">
        <v>887</v>
      </c>
      <c r="L150" s="1">
        <v>624</v>
      </c>
      <c r="M150" s="1" t="s">
        <v>1090</v>
      </c>
      <c r="N150" s="1">
        <v>2020</v>
      </c>
      <c r="O150" s="1">
        <v>10</v>
      </c>
      <c r="P150" s="1" t="s">
        <v>1091</v>
      </c>
      <c r="Q150" s="1">
        <v>45255925.532690004</v>
      </c>
      <c r="R150" s="1">
        <v>9343038.2501899991</v>
      </c>
      <c r="S150" s="1">
        <v>20.644894873360101</v>
      </c>
      <c r="T150" s="1">
        <v>575858.875</v>
      </c>
      <c r="U150" s="1">
        <v>1.2724496697875201</v>
      </c>
      <c r="V150" s="1">
        <v>4397108.1562900003</v>
      </c>
      <c r="W150" s="1">
        <v>9.7160937590676593</v>
      </c>
      <c r="X150" s="1">
        <v>0</v>
      </c>
      <c r="Y150" s="1">
        <v>0</v>
      </c>
      <c r="Z150" s="1">
        <v>7.9439081145366002</v>
      </c>
      <c r="AA150" s="1"/>
      <c r="AB150" s="1">
        <v>-4.5144440157880101</v>
      </c>
      <c r="AC150" s="1"/>
      <c r="AD150" s="1">
        <v>10.928801114292501</v>
      </c>
      <c r="AE150" s="1" t="s">
        <v>1094</v>
      </c>
      <c r="AF150" s="1">
        <v>4</v>
      </c>
      <c r="AG150" s="1">
        <v>10</v>
      </c>
      <c r="AH150" s="1">
        <v>10</v>
      </c>
      <c r="AI150" s="1"/>
      <c r="AJ150" s="1"/>
      <c r="AK150" s="1"/>
      <c r="AL150" s="1"/>
      <c r="AM150" s="1"/>
      <c r="AN150" s="1">
        <v>10</v>
      </c>
      <c r="AO150" s="1"/>
      <c r="AP150" s="1"/>
      <c r="AQ150" s="1"/>
      <c r="AR150" s="1"/>
      <c r="AS150" s="1"/>
      <c r="AT150" s="1"/>
      <c r="AU150" s="1"/>
      <c r="AV150" s="1"/>
      <c r="AW150" s="1"/>
      <c r="AX150" s="1"/>
      <c r="AY150" s="1"/>
      <c r="AZ150" s="1"/>
      <c r="BA150" s="1"/>
      <c r="BB150" s="1"/>
      <c r="BC150" s="1"/>
      <c r="BD150" s="1"/>
      <c r="BE150" s="1"/>
      <c r="BF150" s="1"/>
      <c r="BG150" s="1"/>
      <c r="BH150" s="1"/>
    </row>
    <row r="151" spans="1:60" x14ac:dyDescent="0.2">
      <c r="A151" s="3">
        <v>149</v>
      </c>
      <c r="B151" s="3" t="s">
        <v>894</v>
      </c>
      <c r="C151" s="3" t="s">
        <v>895</v>
      </c>
      <c r="D151" s="1"/>
      <c r="E151" s="1">
        <f t="shared" si="12"/>
        <v>2.7188866283108717</v>
      </c>
      <c r="F151" s="1">
        <f t="shared" si="13"/>
        <v>7.3923444976076604</v>
      </c>
      <c r="G151" s="1">
        <f t="shared" si="14"/>
        <v>1</v>
      </c>
      <c r="H151" s="1"/>
      <c r="I151" s="1">
        <v>0.46700000000000003</v>
      </c>
      <c r="J151" s="1">
        <v>7.3923444976076604</v>
      </c>
      <c r="K151" s="1"/>
      <c r="L151" s="1"/>
      <c r="M151" s="1"/>
      <c r="N151" s="1"/>
      <c r="O151" s="1"/>
      <c r="P151" s="1"/>
      <c r="Q151" s="1"/>
      <c r="R151" s="1"/>
      <c r="S151" s="1"/>
      <c r="T151" s="1"/>
      <c r="U151" s="1"/>
      <c r="V151" s="1"/>
      <c r="W151" s="1"/>
      <c r="X151" s="1"/>
      <c r="Y151" s="1"/>
      <c r="Z151" s="1"/>
      <c r="AA151" s="1"/>
      <c r="AB151" s="1"/>
      <c r="AC151" s="1"/>
      <c r="AD151" s="1"/>
      <c r="AE151" s="1"/>
      <c r="AF151" s="1"/>
      <c r="AG151" s="1"/>
      <c r="AH151" s="1">
        <v>0</v>
      </c>
      <c r="AI151" s="1">
        <v>0.04</v>
      </c>
      <c r="AJ151" s="1">
        <v>0.03</v>
      </c>
      <c r="AK151" s="1">
        <v>0.02</v>
      </c>
      <c r="AL151" s="1">
        <v>0.02</v>
      </c>
      <c r="AM151" s="1">
        <v>1</v>
      </c>
      <c r="AN151" s="1"/>
      <c r="AO151" s="1"/>
      <c r="AP151" s="1"/>
      <c r="AQ151" s="1"/>
      <c r="AR151" s="1"/>
      <c r="AS151" s="1"/>
      <c r="AT151" s="1"/>
      <c r="AU151" s="1"/>
      <c r="AV151" s="1"/>
      <c r="AW151" s="1"/>
      <c r="AX151" s="1"/>
      <c r="AY151" s="1"/>
      <c r="AZ151" s="1"/>
      <c r="BA151" s="1"/>
      <c r="BB151" s="1"/>
      <c r="BC151" s="1"/>
      <c r="BD151" s="1"/>
      <c r="BE151" s="1"/>
      <c r="BF151" s="1"/>
      <c r="BG151" s="1"/>
      <c r="BH151" s="1"/>
    </row>
    <row r="152" spans="1:60" x14ac:dyDescent="0.2">
      <c r="A152" s="3">
        <v>150</v>
      </c>
      <c r="B152" s="3" t="s">
        <v>899</v>
      </c>
      <c r="C152" s="3" t="s">
        <v>900</v>
      </c>
      <c r="D152" s="1"/>
      <c r="E152" s="1">
        <f t="shared" si="12"/>
        <v>1</v>
      </c>
      <c r="F152" s="1">
        <f t="shared" si="13"/>
        <v>0</v>
      </c>
      <c r="G152" s="1">
        <f t="shared" si="14"/>
        <v>1</v>
      </c>
      <c r="H152" s="1"/>
      <c r="I152" s="1">
        <v>0.10100000000000001</v>
      </c>
      <c r="J152" s="1">
        <v>0</v>
      </c>
      <c r="K152" s="1"/>
      <c r="L152" s="1"/>
      <c r="M152" s="1"/>
      <c r="N152" s="1"/>
      <c r="O152" s="1"/>
      <c r="P152" s="1"/>
      <c r="Q152" s="1"/>
      <c r="R152" s="1"/>
      <c r="S152" s="1"/>
      <c r="T152" s="1"/>
      <c r="U152" s="1"/>
      <c r="V152" s="1"/>
      <c r="W152" s="1"/>
      <c r="X152" s="1"/>
      <c r="Y152" s="1"/>
      <c r="Z152" s="1"/>
      <c r="AA152" s="1"/>
      <c r="AB152" s="1"/>
      <c r="AC152" s="1"/>
      <c r="AD152" s="1"/>
      <c r="AE152" s="1"/>
      <c r="AF152" s="1"/>
      <c r="AG152" s="1"/>
      <c r="AH152" s="1">
        <v>0</v>
      </c>
      <c r="AI152" s="1">
        <v>0.03</v>
      </c>
      <c r="AJ152" s="1">
        <v>0.02</v>
      </c>
      <c r="AK152" s="1"/>
      <c r="AL152" s="1">
        <v>0.02</v>
      </c>
      <c r="AM152" s="1">
        <v>1</v>
      </c>
      <c r="AN152" s="1"/>
      <c r="AO152" s="1"/>
      <c r="AP152" s="1"/>
      <c r="AQ152" s="1"/>
      <c r="AR152" s="1"/>
      <c r="AS152" s="1"/>
      <c r="AT152" s="1"/>
      <c r="AU152" s="1"/>
      <c r="AV152" s="1"/>
      <c r="AW152" s="1"/>
      <c r="AX152" s="1"/>
      <c r="AY152" s="1"/>
      <c r="AZ152" s="1"/>
      <c r="BA152" s="1"/>
      <c r="BB152" s="1"/>
      <c r="BC152" s="1"/>
      <c r="BD152" s="1"/>
      <c r="BE152" s="1"/>
      <c r="BF152" s="1"/>
      <c r="BG152" s="1"/>
      <c r="BH152" s="1"/>
    </row>
    <row r="153" spans="1:60" x14ac:dyDescent="0.2">
      <c r="A153" s="3">
        <v>151</v>
      </c>
      <c r="B153" s="3" t="s">
        <v>902</v>
      </c>
      <c r="C153" s="3" t="s">
        <v>903</v>
      </c>
      <c r="D153" s="1"/>
      <c r="E153" s="1">
        <f t="shared" si="12"/>
        <v>9.1387559808612497</v>
      </c>
      <c r="F153" s="1">
        <f t="shared" si="13"/>
        <v>9.1387559808612497</v>
      </c>
      <c r="G153" s="1">
        <f t="shared" si="14"/>
        <v>0</v>
      </c>
      <c r="H153" s="1"/>
      <c r="I153" s="1">
        <v>0.54</v>
      </c>
      <c r="J153" s="1">
        <v>9.1387559808612497</v>
      </c>
      <c r="K153" s="1"/>
      <c r="L153" s="1"/>
      <c r="M153" s="1"/>
      <c r="N153" s="1"/>
      <c r="O153" s="1"/>
      <c r="P153" s="1"/>
      <c r="Q153" s="1"/>
      <c r="R153" s="1"/>
      <c r="S153" s="1"/>
      <c r="T153" s="1"/>
      <c r="U153" s="1"/>
      <c r="V153" s="1"/>
      <c r="W153" s="1"/>
      <c r="X153" s="1"/>
      <c r="Y153" s="1"/>
      <c r="Z153" s="1"/>
      <c r="AA153" s="1"/>
      <c r="AB153" s="1"/>
      <c r="AC153" s="1"/>
      <c r="AD153" s="1"/>
      <c r="AE153" s="1"/>
      <c r="AF153" s="1"/>
      <c r="AG153" s="1"/>
      <c r="AH153" s="1">
        <v>0</v>
      </c>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row>
    <row r="154" spans="1:60" x14ac:dyDescent="0.2">
      <c r="A154" s="3">
        <v>152</v>
      </c>
      <c r="B154" s="3" t="s">
        <v>905</v>
      </c>
      <c r="C154" s="3" t="s">
        <v>906</v>
      </c>
      <c r="D154" s="1"/>
      <c r="E154" s="1">
        <f t="shared" si="12"/>
        <v>9.8189349347874035</v>
      </c>
      <c r="F154" s="1">
        <f t="shared" si="13"/>
        <v>9.6411483253588504</v>
      </c>
      <c r="G154" s="1">
        <f t="shared" si="14"/>
        <v>10</v>
      </c>
      <c r="H154" s="1"/>
      <c r="I154" s="1">
        <v>0.56100000000000005</v>
      </c>
      <c r="J154" s="1">
        <v>9.6411483253588504</v>
      </c>
      <c r="K154" s="1"/>
      <c r="L154" s="1"/>
      <c r="M154" s="1"/>
      <c r="N154" s="1"/>
      <c r="O154" s="1"/>
      <c r="P154" s="1"/>
      <c r="Q154" s="1"/>
      <c r="R154" s="1"/>
      <c r="S154" s="1"/>
      <c r="T154" s="1"/>
      <c r="U154" s="1"/>
      <c r="V154" s="1"/>
      <c r="W154" s="1"/>
      <c r="X154" s="1"/>
      <c r="Y154" s="1"/>
      <c r="Z154" s="1"/>
      <c r="AA154" s="1"/>
      <c r="AB154" s="1"/>
      <c r="AC154" s="1"/>
      <c r="AD154" s="1"/>
      <c r="AE154" s="1"/>
      <c r="AF154" s="1"/>
      <c r="AG154" s="1"/>
      <c r="AH154" s="1">
        <v>0</v>
      </c>
      <c r="AI154" s="1">
        <v>0.11</v>
      </c>
      <c r="AJ154" s="1">
        <v>0.17</v>
      </c>
      <c r="AK154" s="1"/>
      <c r="AL154" s="1">
        <v>0.17</v>
      </c>
      <c r="AM154" s="1">
        <v>5</v>
      </c>
      <c r="AN154" s="1">
        <v>10</v>
      </c>
      <c r="AO154" s="1"/>
      <c r="AP154" s="1"/>
      <c r="AQ154" s="1"/>
      <c r="AR154" s="1"/>
      <c r="AS154" s="1"/>
      <c r="AT154" s="1"/>
      <c r="AU154" s="1"/>
      <c r="AV154" s="1"/>
      <c r="AW154" s="1"/>
      <c r="AX154" s="1"/>
      <c r="AY154" s="1"/>
      <c r="AZ154" s="1"/>
      <c r="BA154" s="1"/>
      <c r="BB154" s="1"/>
      <c r="BC154" s="1"/>
      <c r="BD154" s="1"/>
      <c r="BE154" s="1"/>
      <c r="BF154" s="1"/>
      <c r="BG154" s="1"/>
      <c r="BH154" s="1"/>
    </row>
    <row r="155" spans="1:60" x14ac:dyDescent="0.2">
      <c r="A155" s="3">
        <v>153</v>
      </c>
      <c r="B155" s="3" t="s">
        <v>910</v>
      </c>
      <c r="C155" s="3" t="s">
        <v>911</v>
      </c>
      <c r="D155" s="1"/>
      <c r="E155" s="1">
        <f t="shared" si="12"/>
        <v>3.8637067260691205</v>
      </c>
      <c r="F155" s="1">
        <f t="shared" si="13"/>
        <v>4.9760765550239201</v>
      </c>
      <c r="G155" s="1">
        <f t="shared" si="14"/>
        <v>3</v>
      </c>
      <c r="H155" s="1"/>
      <c r="I155" s="1">
        <v>0.36599999999999999</v>
      </c>
      <c r="J155" s="1">
        <v>4.9760765550239201</v>
      </c>
      <c r="K155" s="1"/>
      <c r="L155" s="1"/>
      <c r="M155" s="1"/>
      <c r="N155" s="1"/>
      <c r="O155" s="1"/>
      <c r="P155" s="1"/>
      <c r="Q155" s="1"/>
      <c r="R155" s="1"/>
      <c r="S155" s="1"/>
      <c r="T155" s="1"/>
      <c r="U155" s="1"/>
      <c r="V155" s="1"/>
      <c r="W155" s="1"/>
      <c r="X155" s="1"/>
      <c r="Y155" s="1"/>
      <c r="Z155" s="1"/>
      <c r="AA155" s="1"/>
      <c r="AB155" s="1"/>
      <c r="AC155" s="1"/>
      <c r="AD155" s="1"/>
      <c r="AE155" s="1"/>
      <c r="AF155" s="1"/>
      <c r="AG155" s="1"/>
      <c r="AH155" s="1">
        <v>0</v>
      </c>
      <c r="AI155" s="1">
        <v>0.02</v>
      </c>
      <c r="AJ155" s="1">
        <v>0.02</v>
      </c>
      <c r="AK155" s="1">
        <v>0.03</v>
      </c>
      <c r="AL155" s="1">
        <v>0.03</v>
      </c>
      <c r="AM155" s="1">
        <v>3</v>
      </c>
      <c r="AN155" s="1"/>
      <c r="AO155" s="1"/>
      <c r="AP155" s="1"/>
      <c r="AQ155" s="1"/>
      <c r="AR155" s="1"/>
      <c r="AS155" s="1"/>
      <c r="AT155" s="1"/>
      <c r="AU155" s="1"/>
      <c r="AV155" s="1"/>
      <c r="AW155" s="1"/>
      <c r="AX155" s="1"/>
      <c r="AY155" s="1"/>
      <c r="AZ155" s="1"/>
      <c r="BA155" s="1"/>
      <c r="BB155" s="1"/>
      <c r="BC155" s="1"/>
      <c r="BD155" s="1"/>
      <c r="BE155" s="1"/>
      <c r="BF155" s="1"/>
      <c r="BG155" s="1"/>
      <c r="BH155" s="1"/>
    </row>
    <row r="156" spans="1:60" x14ac:dyDescent="0.2">
      <c r="A156" s="3">
        <v>154</v>
      </c>
      <c r="B156" s="3" t="s">
        <v>915</v>
      </c>
      <c r="C156" s="3" t="s">
        <v>916</v>
      </c>
      <c r="D156" s="1"/>
      <c r="E156" s="1">
        <f t="shared" si="12"/>
        <v>10</v>
      </c>
      <c r="F156" s="1">
        <f t="shared" si="13"/>
        <v>10</v>
      </c>
      <c r="G156" s="1">
        <f t="shared" si="14"/>
        <v>10</v>
      </c>
      <c r="H156" s="1"/>
      <c r="I156" s="1">
        <v>0.77500000000000002</v>
      </c>
      <c r="J156" s="1">
        <v>10</v>
      </c>
      <c r="K156" s="1" t="s">
        <v>915</v>
      </c>
      <c r="L156" s="1">
        <v>0</v>
      </c>
      <c r="M156" s="1" t="s">
        <v>1090</v>
      </c>
      <c r="N156" s="1">
        <v>2020</v>
      </c>
      <c r="O156" s="1">
        <v>10</v>
      </c>
      <c r="P156" s="1" t="s">
        <v>1091</v>
      </c>
      <c r="Q156" s="1">
        <v>12372753.03379</v>
      </c>
      <c r="R156" s="1">
        <v>4334461.8888800004</v>
      </c>
      <c r="S156" s="1">
        <v>35.032315581201502</v>
      </c>
      <c r="T156" s="1">
        <v>0</v>
      </c>
      <c r="U156" s="1">
        <v>0</v>
      </c>
      <c r="V156" s="1">
        <v>2650527.9435800002</v>
      </c>
      <c r="W156" s="1">
        <v>21.422297336263</v>
      </c>
      <c r="X156" s="1">
        <v>0</v>
      </c>
      <c r="Y156" s="1">
        <v>0</v>
      </c>
      <c r="Z156" s="1">
        <v>-20.084354669841801</v>
      </c>
      <c r="AA156" s="1"/>
      <c r="AB156" s="1">
        <v>2.5958873951726802</v>
      </c>
      <c r="AC156" s="1"/>
      <c r="AD156" s="1">
        <v>13.6100182449385</v>
      </c>
      <c r="AE156" s="1" t="s">
        <v>1092</v>
      </c>
      <c r="AF156" s="1">
        <v>3</v>
      </c>
      <c r="AG156" s="1">
        <v>7</v>
      </c>
      <c r="AH156" s="1">
        <v>0</v>
      </c>
      <c r="AI156" s="1">
        <v>0.08</v>
      </c>
      <c r="AJ156" s="1">
        <v>0.06</v>
      </c>
      <c r="AK156" s="1"/>
      <c r="AL156" s="1">
        <v>0.06</v>
      </c>
      <c r="AM156" s="1">
        <v>5</v>
      </c>
      <c r="AN156" s="1">
        <v>10</v>
      </c>
      <c r="AO156" s="1"/>
      <c r="AP156" s="1"/>
      <c r="AQ156" s="1"/>
      <c r="AR156" s="1"/>
      <c r="AS156" s="1"/>
      <c r="AT156" s="1"/>
      <c r="AU156" s="1"/>
      <c r="AV156" s="1"/>
      <c r="AW156" s="1"/>
      <c r="AX156" s="1"/>
      <c r="AY156" s="1"/>
      <c r="AZ156" s="1"/>
      <c r="BA156" s="1"/>
      <c r="BB156" s="1"/>
      <c r="BC156" s="1"/>
      <c r="BD156" s="1"/>
      <c r="BE156" s="1"/>
      <c r="BF156" s="1"/>
      <c r="BG156" s="1"/>
      <c r="BH156" s="1"/>
    </row>
    <row r="157" spans="1:60" x14ac:dyDescent="0.2">
      <c r="A157" s="3">
        <v>155</v>
      </c>
      <c r="B157" s="3" t="s">
        <v>919</v>
      </c>
      <c r="C157" s="3" t="s">
        <v>920</v>
      </c>
      <c r="D157" s="1"/>
      <c r="E157" s="1">
        <f t="shared" si="12"/>
        <v>3.4203164463688798</v>
      </c>
      <c r="F157" s="1">
        <f t="shared" si="13"/>
        <v>3.8995215311004801</v>
      </c>
      <c r="G157" s="1">
        <f t="shared" si="14"/>
        <v>3</v>
      </c>
      <c r="H157" s="1"/>
      <c r="I157" s="1">
        <v>0.32100000000000001</v>
      </c>
      <c r="J157" s="1">
        <v>3.8995215311004801</v>
      </c>
      <c r="K157" s="1"/>
      <c r="L157" s="1"/>
      <c r="M157" s="1"/>
      <c r="N157" s="1"/>
      <c r="O157" s="1"/>
      <c r="P157" s="1"/>
      <c r="Q157" s="1"/>
      <c r="R157" s="1"/>
      <c r="S157" s="1"/>
      <c r="T157" s="1"/>
      <c r="U157" s="1"/>
      <c r="V157" s="1"/>
      <c r="W157" s="1"/>
      <c r="X157" s="1"/>
      <c r="Y157" s="1"/>
      <c r="Z157" s="1"/>
      <c r="AA157" s="1"/>
      <c r="AB157" s="1"/>
      <c r="AC157" s="1"/>
      <c r="AD157" s="1"/>
      <c r="AE157" s="1"/>
      <c r="AF157" s="1"/>
      <c r="AG157" s="1"/>
      <c r="AH157" s="1">
        <v>0</v>
      </c>
      <c r="AI157" s="1">
        <v>0</v>
      </c>
      <c r="AJ157" s="1">
        <v>0.02</v>
      </c>
      <c r="AK157" s="1">
        <v>0.04</v>
      </c>
      <c r="AL157" s="1">
        <v>0.04</v>
      </c>
      <c r="AM157" s="1">
        <v>3</v>
      </c>
      <c r="AN157" s="1"/>
      <c r="AO157" s="1"/>
      <c r="AP157" s="1"/>
      <c r="AQ157" s="1"/>
      <c r="AR157" s="1"/>
      <c r="AS157" s="1"/>
      <c r="AT157" s="1"/>
      <c r="AU157" s="1"/>
      <c r="AV157" s="1"/>
      <c r="AW157" s="1"/>
      <c r="AX157" s="1"/>
      <c r="AY157" s="1"/>
      <c r="AZ157" s="1"/>
      <c r="BA157" s="1"/>
      <c r="BB157" s="1"/>
      <c r="BC157" s="1"/>
      <c r="BD157" s="1"/>
      <c r="BE157" s="1"/>
      <c r="BF157" s="1"/>
      <c r="BG157" s="1"/>
      <c r="BH157" s="1"/>
    </row>
    <row r="158" spans="1:60" x14ac:dyDescent="0.2">
      <c r="A158" s="3">
        <v>156</v>
      </c>
      <c r="B158" s="3" t="s">
        <v>923</v>
      </c>
      <c r="C158" s="3" t="s">
        <v>924</v>
      </c>
      <c r="D158" s="1"/>
      <c r="E158" s="1">
        <f t="shared" si="12"/>
        <v>10</v>
      </c>
      <c r="F158" s="1">
        <f t="shared" si="13"/>
        <v>10</v>
      </c>
      <c r="G158" s="1">
        <f t="shared" si="14"/>
        <v>10</v>
      </c>
      <c r="H158" s="1"/>
      <c r="I158" s="1">
        <v>0.752</v>
      </c>
      <c r="J158" s="1">
        <v>10</v>
      </c>
      <c r="K158" s="1" t="s">
        <v>923</v>
      </c>
      <c r="L158" s="1">
        <v>74</v>
      </c>
      <c r="M158" s="1" t="s">
        <v>1090</v>
      </c>
      <c r="N158" s="1">
        <v>2020</v>
      </c>
      <c r="O158" s="1">
        <v>10</v>
      </c>
      <c r="P158" s="1" t="s">
        <v>1091</v>
      </c>
      <c r="Q158" s="1">
        <v>14183489.806399999</v>
      </c>
      <c r="R158" s="1">
        <v>0</v>
      </c>
      <c r="S158" s="1">
        <v>0</v>
      </c>
      <c r="T158" s="1">
        <v>0</v>
      </c>
      <c r="U158" s="1">
        <v>0</v>
      </c>
      <c r="V158" s="1">
        <v>0</v>
      </c>
      <c r="W158" s="1">
        <v>0</v>
      </c>
      <c r="X158" s="1">
        <v>0</v>
      </c>
      <c r="Y158" s="1">
        <v>0</v>
      </c>
      <c r="Z158" s="1">
        <v>-92.948068445618503</v>
      </c>
      <c r="AA158" s="1">
        <v>-1</v>
      </c>
      <c r="AB158" s="1">
        <v>-96.691122625207299</v>
      </c>
      <c r="AC158" s="1">
        <v>-1</v>
      </c>
      <c r="AD158" s="1">
        <v>0</v>
      </c>
      <c r="AE158" s="1" t="s">
        <v>1092</v>
      </c>
      <c r="AF158" s="1">
        <v>5</v>
      </c>
      <c r="AG158" s="1">
        <v>9</v>
      </c>
      <c r="AH158" s="1">
        <v>10</v>
      </c>
      <c r="AI158" s="1">
        <v>0.47</v>
      </c>
      <c r="AJ158" s="1"/>
      <c r="AK158" s="1"/>
      <c r="AL158" s="1">
        <v>0.47</v>
      </c>
      <c r="AM158" s="1">
        <v>7</v>
      </c>
      <c r="AN158" s="1">
        <v>10</v>
      </c>
      <c r="AO158" s="1"/>
      <c r="AP158" s="1"/>
      <c r="AQ158" s="1"/>
      <c r="AR158" s="1"/>
      <c r="AS158" s="1"/>
      <c r="AT158" s="1"/>
      <c r="AU158" s="1"/>
      <c r="AV158" s="1"/>
      <c r="AW158" s="1"/>
      <c r="AX158" s="1"/>
      <c r="AY158" s="1"/>
      <c r="AZ158" s="1"/>
      <c r="BA158" s="1"/>
      <c r="BB158" s="1"/>
      <c r="BC158" s="1"/>
      <c r="BD158" s="1"/>
      <c r="BE158" s="1"/>
      <c r="BF158" s="1"/>
      <c r="BG158" s="1"/>
      <c r="BH158" s="1"/>
    </row>
    <row r="159" spans="1:60" x14ac:dyDescent="0.2">
      <c r="A159" s="3">
        <v>157</v>
      </c>
      <c r="B159" s="3" t="s">
        <v>930</v>
      </c>
      <c r="C159" s="3" t="s">
        <v>931</v>
      </c>
      <c r="D159" s="1"/>
      <c r="E159" s="1">
        <f t="shared" si="12"/>
        <v>8.2057416267942607</v>
      </c>
      <c r="F159" s="1">
        <f t="shared" si="13"/>
        <v>8.2057416267942607</v>
      </c>
      <c r="G159" s="1">
        <f t="shared" si="14"/>
        <v>0</v>
      </c>
      <c r="H159" s="1"/>
      <c r="I159" s="1">
        <v>0.501</v>
      </c>
      <c r="J159" s="1">
        <v>8.2057416267942607</v>
      </c>
      <c r="K159" s="1"/>
      <c r="L159" s="1"/>
      <c r="M159" s="1"/>
      <c r="N159" s="1"/>
      <c r="O159" s="1"/>
      <c r="P159" s="1"/>
      <c r="Q159" s="1"/>
      <c r="R159" s="1"/>
      <c r="S159" s="1"/>
      <c r="T159" s="1"/>
      <c r="U159" s="1"/>
      <c r="V159" s="1"/>
      <c r="W159" s="1"/>
      <c r="X159" s="1"/>
      <c r="Y159" s="1"/>
      <c r="Z159" s="1"/>
      <c r="AA159" s="1"/>
      <c r="AB159" s="1"/>
      <c r="AC159" s="1"/>
      <c r="AD159" s="1"/>
      <c r="AE159" s="1"/>
      <c r="AF159" s="1"/>
      <c r="AG159" s="1"/>
      <c r="AH159" s="1">
        <v>0</v>
      </c>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row>
    <row r="160" spans="1:60" x14ac:dyDescent="0.2">
      <c r="A160" s="3">
        <v>158</v>
      </c>
      <c r="B160" s="3" t="s">
        <v>933</v>
      </c>
      <c r="C160" s="3" t="s">
        <v>934</v>
      </c>
      <c r="D160" s="1"/>
      <c r="E160" s="1">
        <f t="shared" si="12"/>
        <v>6.219663216470467</v>
      </c>
      <c r="F160" s="1">
        <f t="shared" si="13"/>
        <v>5.5263157894736796</v>
      </c>
      <c r="G160" s="1">
        <f t="shared" si="14"/>
        <v>7</v>
      </c>
      <c r="H160" s="1"/>
      <c r="I160" s="1">
        <v>0.38900000000000001</v>
      </c>
      <c r="J160" s="1">
        <v>5.5263157894736796</v>
      </c>
      <c r="K160" s="1"/>
      <c r="L160" s="1"/>
      <c r="M160" s="1"/>
      <c r="N160" s="1"/>
      <c r="O160" s="1"/>
      <c r="P160" s="1"/>
      <c r="Q160" s="1"/>
      <c r="R160" s="1"/>
      <c r="S160" s="1"/>
      <c r="T160" s="1"/>
      <c r="U160" s="1"/>
      <c r="V160" s="1"/>
      <c r="W160" s="1"/>
      <c r="X160" s="1"/>
      <c r="Y160" s="1"/>
      <c r="Z160" s="1"/>
      <c r="AA160" s="1"/>
      <c r="AB160" s="1"/>
      <c r="AC160" s="1"/>
      <c r="AD160" s="1"/>
      <c r="AE160" s="1"/>
      <c r="AF160" s="1"/>
      <c r="AG160" s="1"/>
      <c r="AH160" s="1">
        <v>0</v>
      </c>
      <c r="AI160" s="1">
        <v>0.36</v>
      </c>
      <c r="AJ160" s="1">
        <v>0.44</v>
      </c>
      <c r="AK160" s="1"/>
      <c r="AL160" s="1">
        <v>0.44</v>
      </c>
      <c r="AM160" s="1">
        <v>7</v>
      </c>
      <c r="AN160" s="1"/>
      <c r="AO160" s="1"/>
      <c r="AP160" s="1"/>
      <c r="AQ160" s="1"/>
      <c r="AR160" s="1"/>
      <c r="AS160" s="1"/>
      <c r="AT160" s="1"/>
      <c r="AU160" s="1"/>
      <c r="AV160" s="1"/>
      <c r="AW160" s="1"/>
      <c r="AX160" s="1"/>
      <c r="AY160" s="1"/>
      <c r="AZ160" s="1"/>
      <c r="BA160" s="1"/>
      <c r="BB160" s="1"/>
      <c r="BC160" s="1"/>
      <c r="BD160" s="1"/>
      <c r="BE160" s="1"/>
      <c r="BF160" s="1"/>
      <c r="BG160" s="1"/>
      <c r="BH160" s="1"/>
    </row>
    <row r="161" spans="1:60" x14ac:dyDescent="0.2">
      <c r="A161" s="3">
        <v>159</v>
      </c>
      <c r="B161" s="3" t="s">
        <v>939</v>
      </c>
      <c r="C161" s="3" t="s">
        <v>940</v>
      </c>
      <c r="D161" s="1"/>
      <c r="E161" s="1">
        <f t="shared" si="12"/>
        <v>1.6073991593304595</v>
      </c>
      <c r="F161" s="1">
        <f t="shared" si="13"/>
        <v>0.86124401913875603</v>
      </c>
      <c r="G161" s="1">
        <f t="shared" si="14"/>
        <v>3</v>
      </c>
      <c r="H161" s="1"/>
      <c r="I161" s="1">
        <v>0.19400000000000001</v>
      </c>
      <c r="J161" s="1">
        <v>0.86124401913875603</v>
      </c>
      <c r="K161" s="1"/>
      <c r="L161" s="1"/>
      <c r="M161" s="1"/>
      <c r="N161" s="1"/>
      <c r="O161" s="1"/>
      <c r="P161" s="1"/>
      <c r="Q161" s="1"/>
      <c r="R161" s="1"/>
      <c r="S161" s="1"/>
      <c r="T161" s="1"/>
      <c r="U161" s="1"/>
      <c r="V161" s="1"/>
      <c r="W161" s="1"/>
      <c r="X161" s="1"/>
      <c r="Y161" s="1"/>
      <c r="Z161" s="1"/>
      <c r="AA161" s="1"/>
      <c r="AB161" s="1"/>
      <c r="AC161" s="1"/>
      <c r="AD161" s="1"/>
      <c r="AE161" s="1"/>
      <c r="AF161" s="1"/>
      <c r="AG161" s="1"/>
      <c r="AH161" s="1">
        <v>0</v>
      </c>
      <c r="AI161" s="1">
        <v>0.04</v>
      </c>
      <c r="AJ161" s="1">
        <v>0.05</v>
      </c>
      <c r="AK161" s="1">
        <v>0.03</v>
      </c>
      <c r="AL161" s="1">
        <v>0.03</v>
      </c>
      <c r="AM161" s="1">
        <v>3</v>
      </c>
      <c r="AN161" s="1"/>
      <c r="AO161" s="1"/>
      <c r="AP161" s="1"/>
      <c r="AQ161" s="1"/>
      <c r="AR161" s="1"/>
      <c r="AS161" s="1"/>
      <c r="AT161" s="1"/>
      <c r="AU161" s="1"/>
      <c r="AV161" s="1"/>
      <c r="AW161" s="1"/>
      <c r="AX161" s="1"/>
      <c r="AY161" s="1"/>
      <c r="AZ161" s="1"/>
      <c r="BA161" s="1"/>
      <c r="BB161" s="1"/>
      <c r="BC161" s="1"/>
      <c r="BD161" s="1"/>
      <c r="BE161" s="1"/>
      <c r="BF161" s="1"/>
      <c r="BG161" s="1"/>
      <c r="BH161" s="1"/>
    </row>
    <row r="162" spans="1:60" x14ac:dyDescent="0.2">
      <c r="A162" s="3">
        <v>160</v>
      </c>
      <c r="B162" s="3" t="s">
        <v>943</v>
      </c>
      <c r="C162" s="3" t="s">
        <v>944</v>
      </c>
      <c r="D162" s="1"/>
      <c r="E162" s="1">
        <f t="shared" si="12"/>
        <v>0.80369957966523164</v>
      </c>
      <c r="F162" s="1">
        <f t="shared" si="13"/>
        <v>0.21531100478469001</v>
      </c>
      <c r="G162" s="1">
        <f t="shared" si="14"/>
        <v>3</v>
      </c>
      <c r="H162" s="1"/>
      <c r="I162" s="1">
        <v>0.16700000000000001</v>
      </c>
      <c r="J162" s="1">
        <v>0.21531100478469001</v>
      </c>
      <c r="K162" s="1"/>
      <c r="L162" s="1"/>
      <c r="M162" s="1"/>
      <c r="N162" s="1"/>
      <c r="O162" s="1"/>
      <c r="P162" s="1"/>
      <c r="Q162" s="1"/>
      <c r="R162" s="1"/>
      <c r="S162" s="1"/>
      <c r="T162" s="1"/>
      <c r="U162" s="1"/>
      <c r="V162" s="1"/>
      <c r="W162" s="1"/>
      <c r="X162" s="1"/>
      <c r="Y162" s="1"/>
      <c r="Z162" s="1"/>
      <c r="AA162" s="1"/>
      <c r="AB162" s="1"/>
      <c r="AC162" s="1"/>
      <c r="AD162" s="1"/>
      <c r="AE162" s="1"/>
      <c r="AF162" s="1"/>
      <c r="AG162" s="1"/>
      <c r="AH162" s="1">
        <v>0</v>
      </c>
      <c r="AI162" s="1">
        <v>0.05</v>
      </c>
      <c r="AJ162" s="1">
        <v>0.05</v>
      </c>
      <c r="AK162" s="1">
        <v>0.03</v>
      </c>
      <c r="AL162" s="1">
        <v>0.03</v>
      </c>
      <c r="AM162" s="1">
        <v>3</v>
      </c>
      <c r="AN162" s="1"/>
      <c r="AO162" s="1"/>
      <c r="AP162" s="1"/>
      <c r="AQ162" s="1"/>
      <c r="AR162" s="1"/>
      <c r="AS162" s="1"/>
      <c r="AT162" s="1"/>
      <c r="AU162" s="1"/>
      <c r="AV162" s="1"/>
      <c r="AW162" s="1"/>
      <c r="AX162" s="1"/>
      <c r="AY162" s="1"/>
      <c r="AZ162" s="1"/>
      <c r="BA162" s="1"/>
      <c r="BB162" s="1"/>
      <c r="BC162" s="1"/>
      <c r="BD162" s="1"/>
      <c r="BE162" s="1"/>
      <c r="BF162" s="1"/>
      <c r="BG162" s="1"/>
      <c r="BH162" s="1"/>
    </row>
    <row r="163" spans="1:60" x14ac:dyDescent="0.2">
      <c r="A163" s="3">
        <v>161</v>
      </c>
      <c r="B163" s="3" t="s">
        <v>946</v>
      </c>
      <c r="C163" s="3" t="s">
        <v>947</v>
      </c>
      <c r="D163" s="1"/>
      <c r="E163" s="1">
        <f t="shared" ref="E163:E194" si="15">IFERROR(GEOMEAN(F163, G163), MAX(F163, G163))</f>
        <v>2.1598777211534244</v>
      </c>
      <c r="F163" s="1">
        <f t="shared" ref="F163:F192" si="16">MAX(J163)</f>
        <v>1.5550239234449701</v>
      </c>
      <c r="G163" s="1">
        <f t="shared" ref="G163:G192" si="17">MAX(AM163, AN163)</f>
        <v>3</v>
      </c>
      <c r="H163" s="1"/>
      <c r="I163" s="1">
        <v>0.223</v>
      </c>
      <c r="J163" s="1">
        <v>1.5550239234449701</v>
      </c>
      <c r="K163" s="1"/>
      <c r="L163" s="1"/>
      <c r="M163" s="1"/>
      <c r="N163" s="1"/>
      <c r="O163" s="1"/>
      <c r="P163" s="1"/>
      <c r="Q163" s="1"/>
      <c r="R163" s="1"/>
      <c r="S163" s="1"/>
      <c r="T163" s="1"/>
      <c r="U163" s="1"/>
      <c r="V163" s="1"/>
      <c r="W163" s="1"/>
      <c r="X163" s="1"/>
      <c r="Y163" s="1"/>
      <c r="Z163" s="1"/>
      <c r="AA163" s="1"/>
      <c r="AB163" s="1"/>
      <c r="AC163" s="1"/>
      <c r="AD163" s="1"/>
      <c r="AE163" s="1"/>
      <c r="AF163" s="1"/>
      <c r="AG163" s="1"/>
      <c r="AH163" s="1">
        <v>0</v>
      </c>
      <c r="AI163" s="1">
        <v>0.04</v>
      </c>
      <c r="AJ163" s="1">
        <v>0.04</v>
      </c>
      <c r="AK163" s="1">
        <v>0.03</v>
      </c>
      <c r="AL163" s="1">
        <v>0.03</v>
      </c>
      <c r="AM163" s="1">
        <v>3</v>
      </c>
      <c r="AN163" s="1"/>
      <c r="AO163" s="1"/>
      <c r="AP163" s="1"/>
      <c r="AQ163" s="1"/>
      <c r="AR163" s="1"/>
      <c r="AS163" s="1"/>
      <c r="AT163" s="1"/>
      <c r="AU163" s="1"/>
      <c r="AV163" s="1"/>
      <c r="AW163" s="1"/>
      <c r="AX163" s="1"/>
      <c r="AY163" s="1"/>
      <c r="AZ163" s="1"/>
      <c r="BA163" s="1"/>
      <c r="BB163" s="1"/>
      <c r="BC163" s="1"/>
      <c r="BD163" s="1"/>
      <c r="BE163" s="1"/>
      <c r="BF163" s="1"/>
      <c r="BG163" s="1"/>
      <c r="BH163" s="1"/>
    </row>
    <row r="164" spans="1:60" x14ac:dyDescent="0.2">
      <c r="A164" s="3">
        <v>162</v>
      </c>
      <c r="B164" s="3" t="s">
        <v>951</v>
      </c>
      <c r="C164" s="3" t="s">
        <v>952</v>
      </c>
      <c r="D164" s="1"/>
      <c r="E164" s="1">
        <f t="shared" si="15"/>
        <v>7.9186602870813401</v>
      </c>
      <c r="F164" s="1">
        <f t="shared" si="16"/>
        <v>7.9186602870813401</v>
      </c>
      <c r="G164" s="1">
        <f t="shared" si="17"/>
        <v>0</v>
      </c>
      <c r="H164" s="1"/>
      <c r="I164" s="1">
        <v>0.48899999999999999</v>
      </c>
      <c r="J164" s="1">
        <v>7.9186602870813401</v>
      </c>
      <c r="K164" s="1"/>
      <c r="L164" s="1"/>
      <c r="M164" s="1"/>
      <c r="N164" s="1"/>
      <c r="O164" s="1"/>
      <c r="P164" s="1"/>
      <c r="Q164" s="1"/>
      <c r="R164" s="1"/>
      <c r="S164" s="1"/>
      <c r="T164" s="1"/>
      <c r="U164" s="1"/>
      <c r="V164" s="1"/>
      <c r="W164" s="1"/>
      <c r="X164" s="1"/>
      <c r="Y164" s="1"/>
      <c r="Z164" s="1"/>
      <c r="AA164" s="1"/>
      <c r="AB164" s="1"/>
      <c r="AC164" s="1"/>
      <c r="AD164" s="1"/>
      <c r="AE164" s="1"/>
      <c r="AF164" s="1"/>
      <c r="AG164" s="1"/>
      <c r="AH164" s="1">
        <v>0</v>
      </c>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row>
    <row r="165" spans="1:60" x14ac:dyDescent="0.2">
      <c r="A165" s="3">
        <v>163</v>
      </c>
      <c r="B165" s="3" t="s">
        <v>956</v>
      </c>
      <c r="C165" s="3" t="s">
        <v>957</v>
      </c>
      <c r="D165" s="1"/>
      <c r="E165" s="1">
        <f t="shared" si="15"/>
        <v>2.5696051862877924</v>
      </c>
      <c r="F165" s="1">
        <f t="shared" si="16"/>
        <v>2.2009569377990399</v>
      </c>
      <c r="G165" s="1">
        <f t="shared" si="17"/>
        <v>3</v>
      </c>
      <c r="H165" s="1"/>
      <c r="I165" s="1">
        <v>0.25</v>
      </c>
      <c r="J165" s="1">
        <v>2.2009569377990399</v>
      </c>
      <c r="K165" s="1"/>
      <c r="L165" s="1"/>
      <c r="M165" s="1"/>
      <c r="N165" s="1"/>
      <c r="O165" s="1"/>
      <c r="P165" s="1"/>
      <c r="Q165" s="1"/>
      <c r="R165" s="1"/>
      <c r="S165" s="1"/>
      <c r="T165" s="1"/>
      <c r="U165" s="1"/>
      <c r="V165" s="1"/>
      <c r="W165" s="1"/>
      <c r="X165" s="1"/>
      <c r="Y165" s="1"/>
      <c r="Z165" s="1"/>
      <c r="AA165" s="1"/>
      <c r="AB165" s="1"/>
      <c r="AC165" s="1"/>
      <c r="AD165" s="1"/>
      <c r="AE165" s="1"/>
      <c r="AF165" s="1"/>
      <c r="AG165" s="1"/>
      <c r="AH165" s="1">
        <v>0</v>
      </c>
      <c r="AI165" s="1">
        <v>0.01</v>
      </c>
      <c r="AJ165" s="1">
        <v>0.01</v>
      </c>
      <c r="AK165" s="1">
        <v>0.03</v>
      </c>
      <c r="AL165" s="1">
        <v>0.03</v>
      </c>
      <c r="AM165" s="1">
        <v>3</v>
      </c>
      <c r="AN165" s="1"/>
      <c r="AO165" s="1"/>
      <c r="AP165" s="1"/>
      <c r="AQ165" s="1"/>
      <c r="AR165" s="1"/>
      <c r="AS165" s="1"/>
      <c r="AT165" s="1"/>
      <c r="AU165" s="1"/>
      <c r="AV165" s="1"/>
      <c r="AW165" s="1"/>
      <c r="AX165" s="1"/>
      <c r="AY165" s="1"/>
      <c r="AZ165" s="1"/>
      <c r="BA165" s="1"/>
      <c r="BB165" s="1"/>
      <c r="BC165" s="1"/>
      <c r="BD165" s="1"/>
      <c r="BE165" s="1"/>
      <c r="BF165" s="1"/>
      <c r="BG165" s="1"/>
      <c r="BH165" s="1"/>
    </row>
    <row r="166" spans="1:60" x14ac:dyDescent="0.2">
      <c r="A166" s="3">
        <v>164</v>
      </c>
      <c r="B166" s="3" t="s">
        <v>960</v>
      </c>
      <c r="C166" s="3" t="s">
        <v>961</v>
      </c>
      <c r="D166" s="1"/>
      <c r="E166" s="1">
        <f t="shared" si="15"/>
        <v>7.8563660835196254</v>
      </c>
      <c r="F166" s="1">
        <f t="shared" si="16"/>
        <v>6.1722488038277499</v>
      </c>
      <c r="G166" s="1">
        <f t="shared" si="17"/>
        <v>10</v>
      </c>
      <c r="H166" s="1"/>
      <c r="I166" s="1">
        <v>0.41599999999999998</v>
      </c>
      <c r="J166" s="1">
        <v>6.1722488038277499</v>
      </c>
      <c r="K166" s="1"/>
      <c r="L166" s="1"/>
      <c r="M166" s="1"/>
      <c r="N166" s="1"/>
      <c r="O166" s="1"/>
      <c r="P166" s="1"/>
      <c r="Q166" s="1"/>
      <c r="R166" s="1"/>
      <c r="S166" s="1"/>
      <c r="T166" s="1"/>
      <c r="U166" s="1"/>
      <c r="V166" s="1"/>
      <c r="W166" s="1"/>
      <c r="X166" s="1"/>
      <c r="Y166" s="1"/>
      <c r="Z166" s="1"/>
      <c r="AA166" s="1"/>
      <c r="AB166" s="1"/>
      <c r="AC166" s="1"/>
      <c r="AD166" s="1"/>
      <c r="AE166" s="1"/>
      <c r="AF166" s="1"/>
      <c r="AG166" s="1"/>
      <c r="AH166" s="1">
        <v>0</v>
      </c>
      <c r="AI166" s="1"/>
      <c r="AJ166" s="1"/>
      <c r="AK166" s="1"/>
      <c r="AL166" s="1"/>
      <c r="AM166" s="1"/>
      <c r="AN166" s="1">
        <v>10</v>
      </c>
      <c r="AO166" s="1"/>
      <c r="AP166" s="1"/>
      <c r="AQ166" s="1"/>
      <c r="AR166" s="1"/>
      <c r="AS166" s="1"/>
      <c r="AT166" s="1"/>
      <c r="AU166" s="1"/>
      <c r="AV166" s="1"/>
      <c r="AW166" s="1"/>
      <c r="AX166" s="1"/>
      <c r="AY166" s="1"/>
      <c r="AZ166" s="1"/>
      <c r="BA166" s="1"/>
      <c r="BB166" s="1"/>
      <c r="BC166" s="1"/>
      <c r="BD166" s="1"/>
      <c r="BE166" s="1"/>
      <c r="BF166" s="1"/>
      <c r="BG166" s="1"/>
      <c r="BH166" s="1"/>
    </row>
    <row r="167" spans="1:60" x14ac:dyDescent="0.2">
      <c r="A167" s="3">
        <v>165</v>
      </c>
      <c r="B167" s="3" t="s">
        <v>965</v>
      </c>
      <c r="C167" s="3" t="s">
        <v>966</v>
      </c>
      <c r="D167" s="1"/>
      <c r="E167" s="1">
        <f t="shared" si="15"/>
        <v>7.0710678118654755</v>
      </c>
      <c r="F167" s="1">
        <f t="shared" si="16"/>
        <v>10</v>
      </c>
      <c r="G167" s="1">
        <f t="shared" si="17"/>
        <v>5</v>
      </c>
      <c r="H167" s="1"/>
      <c r="I167" s="1">
        <v>0.64800000000000002</v>
      </c>
      <c r="J167" s="1">
        <v>10</v>
      </c>
      <c r="K167" s="1" t="s">
        <v>965</v>
      </c>
      <c r="L167" s="1">
        <v>319</v>
      </c>
      <c r="M167" s="1" t="s">
        <v>1090</v>
      </c>
      <c r="N167" s="1">
        <v>2020</v>
      </c>
      <c r="O167" s="1">
        <v>10</v>
      </c>
      <c r="P167" s="1" t="s">
        <v>1091</v>
      </c>
      <c r="Q167" s="1">
        <v>16413356.613735</v>
      </c>
      <c r="R167" s="1">
        <v>733064.31748500001</v>
      </c>
      <c r="S167" s="1">
        <v>4.4662669235588197</v>
      </c>
      <c r="T167" s="1">
        <v>0</v>
      </c>
      <c r="U167" s="1">
        <v>0</v>
      </c>
      <c r="V167" s="1">
        <v>733064.31748500001</v>
      </c>
      <c r="W167" s="1">
        <v>4.4662669235588197</v>
      </c>
      <c r="X167" s="1">
        <v>0</v>
      </c>
      <c r="Y167" s="1">
        <v>0</v>
      </c>
      <c r="Z167" s="1">
        <v>0.68314259248574605</v>
      </c>
      <c r="AA167" s="1"/>
      <c r="AB167" s="1">
        <v>0.68314259248574605</v>
      </c>
      <c r="AC167" s="1"/>
      <c r="AD167" s="1">
        <v>0</v>
      </c>
      <c r="AE167" s="1" t="s">
        <v>1092</v>
      </c>
      <c r="AF167" s="1">
        <v>3</v>
      </c>
      <c r="AG167" s="1">
        <v>7</v>
      </c>
      <c r="AH167" s="1">
        <v>0</v>
      </c>
      <c r="AI167" s="1">
        <v>0.12</v>
      </c>
      <c r="AJ167" s="1">
        <v>0.09</v>
      </c>
      <c r="AK167" s="1"/>
      <c r="AL167" s="1">
        <v>0.09</v>
      </c>
      <c r="AM167" s="1">
        <v>5</v>
      </c>
      <c r="AN167" s="1"/>
      <c r="AO167" s="1"/>
      <c r="AP167" s="1"/>
      <c r="AQ167" s="1"/>
      <c r="AR167" s="1"/>
      <c r="AS167" s="1"/>
      <c r="AT167" s="1"/>
      <c r="AU167" s="1"/>
      <c r="AV167" s="1"/>
      <c r="AW167" s="1"/>
      <c r="AX167" s="1"/>
      <c r="AY167" s="1"/>
      <c r="AZ167" s="1"/>
      <c r="BA167" s="1"/>
      <c r="BB167" s="1"/>
      <c r="BC167" s="1"/>
      <c r="BD167" s="1"/>
      <c r="BE167" s="1"/>
      <c r="BF167" s="1"/>
      <c r="BG167" s="1"/>
      <c r="BH167" s="1"/>
    </row>
    <row r="168" spans="1:60" x14ac:dyDescent="0.2">
      <c r="A168" s="3">
        <v>166</v>
      </c>
      <c r="B168" s="3" t="s">
        <v>969</v>
      </c>
      <c r="C168" s="3" t="s">
        <v>970</v>
      </c>
      <c r="D168" s="1"/>
      <c r="E168" s="1">
        <f t="shared" si="15"/>
        <v>2.9468984587725093</v>
      </c>
      <c r="F168" s="1">
        <f t="shared" si="16"/>
        <v>8.6842105263157894</v>
      </c>
      <c r="G168" s="1">
        <f t="shared" si="17"/>
        <v>1</v>
      </c>
      <c r="H168" s="1"/>
      <c r="I168" s="1">
        <v>0.52100000000000002</v>
      </c>
      <c r="J168" s="1">
        <v>8.6842105263157894</v>
      </c>
      <c r="K168" s="1"/>
      <c r="L168" s="1"/>
      <c r="M168" s="1"/>
      <c r="N168" s="1"/>
      <c r="O168" s="1"/>
      <c r="P168" s="1"/>
      <c r="Q168" s="1"/>
      <c r="R168" s="1"/>
      <c r="S168" s="1"/>
      <c r="T168" s="1"/>
      <c r="U168" s="1"/>
      <c r="V168" s="1"/>
      <c r="W168" s="1"/>
      <c r="X168" s="1"/>
      <c r="Y168" s="1"/>
      <c r="Z168" s="1"/>
      <c r="AA168" s="1"/>
      <c r="AB168" s="1"/>
      <c r="AC168" s="1"/>
      <c r="AD168" s="1"/>
      <c r="AE168" s="1"/>
      <c r="AF168" s="1"/>
      <c r="AG168" s="1"/>
      <c r="AH168" s="1">
        <v>0</v>
      </c>
      <c r="AI168" s="1">
        <v>0.05</v>
      </c>
      <c r="AJ168" s="1">
        <v>0.02</v>
      </c>
      <c r="AK168" s="1">
        <v>-0.01</v>
      </c>
      <c r="AL168" s="1">
        <v>-0.01</v>
      </c>
      <c r="AM168" s="1">
        <v>1</v>
      </c>
      <c r="AN168" s="1"/>
      <c r="AO168" s="1"/>
      <c r="AP168" s="1"/>
      <c r="AQ168" s="1"/>
      <c r="AR168" s="1"/>
      <c r="AS168" s="1"/>
      <c r="AT168" s="1"/>
      <c r="AU168" s="1"/>
      <c r="AV168" s="1"/>
      <c r="AW168" s="1"/>
      <c r="AX168" s="1"/>
      <c r="AY168" s="1"/>
      <c r="AZ168" s="1"/>
      <c r="BA168" s="1"/>
      <c r="BB168" s="1"/>
      <c r="BC168" s="1"/>
      <c r="BD168" s="1"/>
      <c r="BE168" s="1"/>
      <c r="BF168" s="1"/>
      <c r="BG168" s="1"/>
      <c r="BH168" s="1"/>
    </row>
    <row r="169" spans="1:60" x14ac:dyDescent="0.2">
      <c r="A169" s="3">
        <v>167</v>
      </c>
      <c r="B169" s="3" t="s">
        <v>973</v>
      </c>
      <c r="C169" s="3" t="s">
        <v>974</v>
      </c>
      <c r="D169" s="1"/>
      <c r="E169" s="1">
        <f t="shared" si="15"/>
        <v>1.888013056479062</v>
      </c>
      <c r="F169" s="1">
        <f t="shared" si="16"/>
        <v>3.5645933014354099</v>
      </c>
      <c r="G169" s="1">
        <f t="shared" si="17"/>
        <v>1</v>
      </c>
      <c r="H169" s="1"/>
      <c r="I169" s="1">
        <v>0.307</v>
      </c>
      <c r="J169" s="1">
        <v>3.5645933014354099</v>
      </c>
      <c r="K169" s="1"/>
      <c r="L169" s="1"/>
      <c r="M169" s="1"/>
      <c r="N169" s="1"/>
      <c r="O169" s="1"/>
      <c r="P169" s="1"/>
      <c r="Q169" s="1"/>
      <c r="R169" s="1"/>
      <c r="S169" s="1"/>
      <c r="T169" s="1"/>
      <c r="U169" s="1"/>
      <c r="V169" s="1"/>
      <c r="W169" s="1"/>
      <c r="X169" s="1"/>
      <c r="Y169" s="1"/>
      <c r="Z169" s="1"/>
      <c r="AA169" s="1"/>
      <c r="AB169" s="1"/>
      <c r="AC169" s="1"/>
      <c r="AD169" s="1"/>
      <c r="AE169" s="1"/>
      <c r="AF169" s="1"/>
      <c r="AG169" s="1"/>
      <c r="AH169" s="1">
        <v>0</v>
      </c>
      <c r="AI169" s="1">
        <v>0.01</v>
      </c>
      <c r="AJ169" s="1">
        <v>0</v>
      </c>
      <c r="AK169" s="1">
        <v>0.01</v>
      </c>
      <c r="AL169" s="1">
        <v>0.01</v>
      </c>
      <c r="AM169" s="1">
        <v>1</v>
      </c>
      <c r="AN169" s="1"/>
      <c r="AO169" s="1"/>
      <c r="AP169" s="1"/>
      <c r="AQ169" s="1"/>
      <c r="AR169" s="1"/>
      <c r="AS169" s="1"/>
      <c r="AT169" s="1"/>
      <c r="AU169" s="1"/>
      <c r="AV169" s="1"/>
      <c r="AW169" s="1"/>
      <c r="AX169" s="1"/>
      <c r="AY169" s="1"/>
      <c r="AZ169" s="1"/>
      <c r="BA169" s="1"/>
      <c r="BB169" s="1"/>
      <c r="BC169" s="1"/>
      <c r="BD169" s="1"/>
      <c r="BE169" s="1"/>
      <c r="BF169" s="1"/>
      <c r="BG169" s="1"/>
      <c r="BH169" s="1"/>
    </row>
    <row r="170" spans="1:60" x14ac:dyDescent="0.2">
      <c r="A170" s="3">
        <v>168</v>
      </c>
      <c r="B170" s="3" t="s">
        <v>978</v>
      </c>
      <c r="C170" s="3" t="s">
        <v>979</v>
      </c>
      <c r="D170" s="1"/>
      <c r="E170" s="1">
        <f t="shared" si="15"/>
        <v>5.4355730650460901</v>
      </c>
      <c r="F170" s="1">
        <f t="shared" si="16"/>
        <v>5.9090909090909101</v>
      </c>
      <c r="G170" s="1">
        <f t="shared" si="17"/>
        <v>5</v>
      </c>
      <c r="H170" s="1"/>
      <c r="I170" s="1">
        <v>0.40500000000000003</v>
      </c>
      <c r="J170" s="1">
        <v>5.9090909090909101</v>
      </c>
      <c r="K170" s="1"/>
      <c r="L170" s="1"/>
      <c r="M170" s="1"/>
      <c r="N170" s="1"/>
      <c r="O170" s="1"/>
      <c r="P170" s="1"/>
      <c r="Q170" s="1"/>
      <c r="R170" s="1"/>
      <c r="S170" s="1"/>
      <c r="T170" s="1"/>
      <c r="U170" s="1"/>
      <c r="V170" s="1"/>
      <c r="W170" s="1"/>
      <c r="X170" s="1"/>
      <c r="Y170" s="1"/>
      <c r="Z170" s="1"/>
      <c r="AA170" s="1"/>
      <c r="AB170" s="1"/>
      <c r="AC170" s="1"/>
      <c r="AD170" s="1"/>
      <c r="AE170" s="1"/>
      <c r="AF170" s="1"/>
      <c r="AG170" s="1"/>
      <c r="AH170" s="1">
        <v>10</v>
      </c>
      <c r="AI170" s="1">
        <v>0.17</v>
      </c>
      <c r="AJ170" s="1">
        <v>0.17</v>
      </c>
      <c r="AK170" s="1"/>
      <c r="AL170" s="1">
        <v>0.17</v>
      </c>
      <c r="AM170" s="1">
        <v>5</v>
      </c>
      <c r="AN170" s="1"/>
      <c r="AO170" s="1"/>
      <c r="AP170" s="1"/>
      <c r="AQ170" s="1"/>
      <c r="AR170" s="1"/>
      <c r="AS170" s="1"/>
      <c r="AT170" s="1"/>
      <c r="AU170" s="1"/>
      <c r="AV170" s="1"/>
      <c r="AW170" s="1"/>
      <c r="AX170" s="1"/>
      <c r="AY170" s="1"/>
      <c r="AZ170" s="1"/>
      <c r="BA170" s="1"/>
      <c r="BB170" s="1"/>
      <c r="BC170" s="1"/>
      <c r="BD170" s="1"/>
      <c r="BE170" s="1"/>
      <c r="BF170" s="1"/>
      <c r="BG170" s="1"/>
      <c r="BH170" s="1"/>
    </row>
    <row r="171" spans="1:60" x14ac:dyDescent="0.2">
      <c r="A171" s="3">
        <v>169</v>
      </c>
      <c r="B171" s="3" t="s">
        <v>980</v>
      </c>
      <c r="C171" s="3" t="s">
        <v>981</v>
      </c>
      <c r="D171" s="1"/>
      <c r="E171" s="1">
        <f t="shared" si="15"/>
        <v>3.2775119617224902</v>
      </c>
      <c r="F171" s="1">
        <f t="shared" si="16"/>
        <v>3.2775119617224902</v>
      </c>
      <c r="G171" s="1">
        <f t="shared" si="17"/>
        <v>0</v>
      </c>
      <c r="H171" s="1"/>
      <c r="I171" s="1">
        <v>0.29499999999999998</v>
      </c>
      <c r="J171" s="1">
        <v>3.2775119617224902</v>
      </c>
      <c r="K171" s="1"/>
      <c r="L171" s="1"/>
      <c r="M171" s="1"/>
      <c r="N171" s="1"/>
      <c r="O171" s="1"/>
      <c r="P171" s="1"/>
      <c r="Q171" s="1"/>
      <c r="R171" s="1"/>
      <c r="S171" s="1"/>
      <c r="T171" s="1"/>
      <c r="U171" s="1"/>
      <c r="V171" s="1"/>
      <c r="W171" s="1"/>
      <c r="X171" s="1"/>
      <c r="Y171" s="1"/>
      <c r="Z171" s="1"/>
      <c r="AA171" s="1"/>
      <c r="AB171" s="1"/>
      <c r="AC171" s="1"/>
      <c r="AD171" s="1"/>
      <c r="AE171" s="1"/>
      <c r="AF171" s="1"/>
      <c r="AG171" s="1"/>
      <c r="AH171" s="1">
        <v>0</v>
      </c>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row>
    <row r="172" spans="1:60" x14ac:dyDescent="0.2">
      <c r="A172" s="3">
        <v>170</v>
      </c>
      <c r="B172" s="3" t="s">
        <v>982</v>
      </c>
      <c r="C172" s="3" t="s">
        <v>983</v>
      </c>
      <c r="D172" s="1"/>
      <c r="E172" s="1">
        <f t="shared" si="15"/>
        <v>3.0506097907949123</v>
      </c>
      <c r="F172" s="1">
        <f t="shared" si="16"/>
        <v>9.3062200956937797</v>
      </c>
      <c r="G172" s="1">
        <f t="shared" si="17"/>
        <v>1</v>
      </c>
      <c r="H172" s="1"/>
      <c r="I172" s="1">
        <v>0.54700000000000004</v>
      </c>
      <c r="J172" s="1">
        <v>9.3062200956937797</v>
      </c>
      <c r="K172" s="1"/>
      <c r="L172" s="1"/>
      <c r="M172" s="1"/>
      <c r="N172" s="1"/>
      <c r="O172" s="1"/>
      <c r="P172" s="1"/>
      <c r="Q172" s="1"/>
      <c r="R172" s="1"/>
      <c r="S172" s="1"/>
      <c r="T172" s="1"/>
      <c r="U172" s="1"/>
      <c r="V172" s="1"/>
      <c r="W172" s="1"/>
      <c r="X172" s="1"/>
      <c r="Y172" s="1"/>
      <c r="Z172" s="1"/>
      <c r="AA172" s="1"/>
      <c r="AB172" s="1"/>
      <c r="AC172" s="1"/>
      <c r="AD172" s="1"/>
      <c r="AE172" s="1"/>
      <c r="AF172" s="1"/>
      <c r="AG172" s="1"/>
      <c r="AH172" s="1">
        <v>0</v>
      </c>
      <c r="AI172" s="1">
        <v>0.01</v>
      </c>
      <c r="AJ172" s="1">
        <v>0.01</v>
      </c>
      <c r="AK172" s="1"/>
      <c r="AL172" s="1">
        <v>0.01</v>
      </c>
      <c r="AM172" s="1">
        <v>1</v>
      </c>
      <c r="AN172" s="1"/>
      <c r="AO172" s="1"/>
      <c r="AP172" s="1"/>
      <c r="AQ172" s="1"/>
      <c r="AR172" s="1"/>
      <c r="AS172" s="1"/>
      <c r="AT172" s="1"/>
      <c r="AU172" s="1"/>
      <c r="AV172" s="1"/>
      <c r="AW172" s="1"/>
      <c r="AX172" s="1"/>
      <c r="AY172" s="1"/>
      <c r="AZ172" s="1"/>
      <c r="BA172" s="1"/>
      <c r="BB172" s="1"/>
      <c r="BC172" s="1"/>
      <c r="BD172" s="1"/>
      <c r="BE172" s="1"/>
      <c r="BF172" s="1"/>
      <c r="BG172" s="1"/>
      <c r="BH172" s="1"/>
    </row>
    <row r="173" spans="1:60" x14ac:dyDescent="0.2">
      <c r="A173" s="3">
        <v>171</v>
      </c>
      <c r="B173" s="3" t="s">
        <v>984</v>
      </c>
      <c r="C173" s="3" t="s">
        <v>985</v>
      </c>
      <c r="D173" s="1"/>
      <c r="E173" s="1">
        <f t="shared" si="15"/>
        <v>4.5215311004784704</v>
      </c>
      <c r="F173" s="1">
        <f t="shared" si="16"/>
        <v>4.5215311004784704</v>
      </c>
      <c r="G173" s="1">
        <f t="shared" si="17"/>
        <v>0</v>
      </c>
      <c r="H173" s="1"/>
      <c r="I173" s="1">
        <v>0.34699999999999998</v>
      </c>
      <c r="J173" s="1">
        <v>4.5215311004784704</v>
      </c>
      <c r="K173" s="1"/>
      <c r="L173" s="1"/>
      <c r="M173" s="1"/>
      <c r="N173" s="1"/>
      <c r="O173" s="1"/>
      <c r="P173" s="1"/>
      <c r="Q173" s="1"/>
      <c r="R173" s="1"/>
      <c r="S173" s="1"/>
      <c r="T173" s="1"/>
      <c r="U173" s="1"/>
      <c r="V173" s="1"/>
      <c r="W173" s="1"/>
      <c r="X173" s="1"/>
      <c r="Y173" s="1"/>
      <c r="Z173" s="1"/>
      <c r="AA173" s="1"/>
      <c r="AB173" s="1"/>
      <c r="AC173" s="1"/>
      <c r="AD173" s="1"/>
      <c r="AE173" s="1"/>
      <c r="AF173" s="1"/>
      <c r="AG173" s="1"/>
      <c r="AH173" s="1">
        <v>0</v>
      </c>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row>
    <row r="174" spans="1:60" x14ac:dyDescent="0.2">
      <c r="A174" s="3">
        <v>172</v>
      </c>
      <c r="B174" s="3" t="s">
        <v>986</v>
      </c>
      <c r="C174" s="3" t="s">
        <v>987</v>
      </c>
      <c r="D174" s="1"/>
      <c r="E174" s="1">
        <f t="shared" si="15"/>
        <v>2.8947368421052602</v>
      </c>
      <c r="F174" s="1">
        <f t="shared" si="16"/>
        <v>2.8947368421052602</v>
      </c>
      <c r="G174" s="1">
        <f t="shared" si="17"/>
        <v>0</v>
      </c>
      <c r="H174" s="1"/>
      <c r="I174" s="1">
        <v>0.27900000000000003</v>
      </c>
      <c r="J174" s="1">
        <v>2.8947368421052602</v>
      </c>
      <c r="K174" s="1"/>
      <c r="L174" s="1"/>
      <c r="M174" s="1"/>
      <c r="N174" s="1"/>
      <c r="O174" s="1"/>
      <c r="P174" s="1"/>
      <c r="Q174" s="1"/>
      <c r="R174" s="1"/>
      <c r="S174" s="1"/>
      <c r="T174" s="1"/>
      <c r="U174" s="1"/>
      <c r="V174" s="1"/>
      <c r="W174" s="1"/>
      <c r="X174" s="1"/>
      <c r="Y174" s="1"/>
      <c r="Z174" s="1"/>
      <c r="AA174" s="1"/>
      <c r="AB174" s="1"/>
      <c r="AC174" s="1"/>
      <c r="AD174" s="1"/>
      <c r="AE174" s="1"/>
      <c r="AF174" s="1"/>
      <c r="AG174" s="1"/>
      <c r="AH174" s="1">
        <v>0</v>
      </c>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row>
    <row r="175" spans="1:60" x14ac:dyDescent="0.2">
      <c r="A175" s="3">
        <v>173</v>
      </c>
      <c r="B175" s="3" t="s">
        <v>991</v>
      </c>
      <c r="C175" s="3" t="s">
        <v>992</v>
      </c>
      <c r="D175" s="1"/>
      <c r="E175" s="1">
        <f t="shared" si="15"/>
        <v>2.4844010956018634</v>
      </c>
      <c r="F175" s="1">
        <f t="shared" si="16"/>
        <v>2.05741626794258</v>
      </c>
      <c r="G175" s="1">
        <f t="shared" si="17"/>
        <v>3</v>
      </c>
      <c r="H175" s="1"/>
      <c r="I175" s="1">
        <v>0.24399999999999999</v>
      </c>
      <c r="J175" s="1">
        <v>2.05741626794258</v>
      </c>
      <c r="K175" s="1"/>
      <c r="L175" s="1"/>
      <c r="M175" s="1"/>
      <c r="N175" s="1"/>
      <c r="O175" s="1"/>
      <c r="P175" s="1"/>
      <c r="Q175" s="1"/>
      <c r="R175" s="1"/>
      <c r="S175" s="1"/>
      <c r="T175" s="1"/>
      <c r="U175" s="1"/>
      <c r="V175" s="1"/>
      <c r="W175" s="1"/>
      <c r="X175" s="1"/>
      <c r="Y175" s="1"/>
      <c r="Z175" s="1"/>
      <c r="AA175" s="1"/>
      <c r="AB175" s="1"/>
      <c r="AC175" s="1"/>
      <c r="AD175" s="1"/>
      <c r="AE175" s="1"/>
      <c r="AF175" s="1"/>
      <c r="AG175" s="1"/>
      <c r="AH175" s="1">
        <v>0</v>
      </c>
      <c r="AI175" s="1">
        <v>0.06</v>
      </c>
      <c r="AJ175" s="1">
        <v>0.05</v>
      </c>
      <c r="AK175" s="1">
        <v>0.04</v>
      </c>
      <c r="AL175" s="1">
        <v>0.04</v>
      </c>
      <c r="AM175" s="1">
        <v>3</v>
      </c>
      <c r="AN175" s="1"/>
      <c r="AO175" s="1"/>
      <c r="AP175" s="1"/>
      <c r="AQ175" s="1"/>
      <c r="AR175" s="1"/>
      <c r="AS175" s="1"/>
      <c r="AT175" s="1"/>
      <c r="AU175" s="1"/>
      <c r="AV175" s="1"/>
      <c r="AW175" s="1"/>
      <c r="AX175" s="1"/>
      <c r="AY175" s="1"/>
      <c r="AZ175" s="1"/>
      <c r="BA175" s="1"/>
      <c r="BB175" s="1"/>
      <c r="BC175" s="1"/>
      <c r="BD175" s="1"/>
      <c r="BE175" s="1"/>
      <c r="BF175" s="1"/>
      <c r="BG175" s="1"/>
      <c r="BH175" s="1"/>
    </row>
    <row r="176" spans="1:60" x14ac:dyDescent="0.2">
      <c r="A176" s="3">
        <v>174</v>
      </c>
      <c r="B176" s="3" t="s">
        <v>995</v>
      </c>
      <c r="C176" s="3" t="s">
        <v>996</v>
      </c>
      <c r="D176" s="1"/>
      <c r="E176" s="1">
        <f t="shared" si="15"/>
        <v>1.5075567228888156</v>
      </c>
      <c r="F176" s="1">
        <f t="shared" si="16"/>
        <v>0.45454545454545298</v>
      </c>
      <c r="G176" s="1">
        <f t="shared" si="17"/>
        <v>5</v>
      </c>
      <c r="H176" s="1"/>
      <c r="I176" s="1">
        <v>0.17699999999999999</v>
      </c>
      <c r="J176" s="1">
        <v>0.45454545454545298</v>
      </c>
      <c r="K176" s="1"/>
      <c r="L176" s="1"/>
      <c r="M176" s="1"/>
      <c r="N176" s="1"/>
      <c r="O176" s="1"/>
      <c r="P176" s="1"/>
      <c r="Q176" s="1"/>
      <c r="R176" s="1"/>
      <c r="S176" s="1"/>
      <c r="T176" s="1"/>
      <c r="U176" s="1"/>
      <c r="V176" s="1"/>
      <c r="W176" s="1"/>
      <c r="X176" s="1"/>
      <c r="Y176" s="1"/>
      <c r="Z176" s="1"/>
      <c r="AA176" s="1"/>
      <c r="AB176" s="1"/>
      <c r="AC176" s="1"/>
      <c r="AD176" s="1"/>
      <c r="AE176" s="1"/>
      <c r="AF176" s="1"/>
      <c r="AG176" s="1"/>
      <c r="AH176" s="1">
        <v>0</v>
      </c>
      <c r="AI176" s="1">
        <v>0.11</v>
      </c>
      <c r="AJ176" s="1">
        <v>0.13</v>
      </c>
      <c r="AK176" s="1">
        <v>0.13</v>
      </c>
      <c r="AL176" s="1">
        <v>0.13</v>
      </c>
      <c r="AM176" s="1">
        <v>5</v>
      </c>
      <c r="AN176" s="1"/>
      <c r="AO176" s="1"/>
      <c r="AP176" s="1"/>
      <c r="AQ176" s="1"/>
      <c r="AR176" s="1"/>
      <c r="AS176" s="1"/>
      <c r="AT176" s="1"/>
      <c r="AU176" s="1"/>
      <c r="AV176" s="1"/>
      <c r="AW176" s="1"/>
      <c r="AX176" s="1"/>
      <c r="AY176" s="1"/>
      <c r="AZ176" s="1"/>
      <c r="BA176" s="1"/>
      <c r="BB176" s="1"/>
      <c r="BC176" s="1"/>
      <c r="BD176" s="1"/>
      <c r="BE176" s="1"/>
      <c r="BF176" s="1"/>
      <c r="BG176" s="1"/>
      <c r="BH176" s="1"/>
    </row>
    <row r="177" spans="1:60" x14ac:dyDescent="0.2">
      <c r="A177" s="3">
        <v>175</v>
      </c>
      <c r="B177" s="3" t="s">
        <v>1001</v>
      </c>
      <c r="C177" s="3" t="s">
        <v>1002</v>
      </c>
      <c r="D177" s="1"/>
      <c r="E177" s="1">
        <f t="shared" si="15"/>
        <v>0</v>
      </c>
      <c r="F177" s="1">
        <f t="shared" si="16"/>
        <v>0</v>
      </c>
      <c r="G177" s="1">
        <f t="shared" si="17"/>
        <v>0</v>
      </c>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v>0</v>
      </c>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row>
    <row r="178" spans="1:60" x14ac:dyDescent="0.2">
      <c r="A178" s="3">
        <v>176</v>
      </c>
      <c r="B178" s="3" t="s">
        <v>1003</v>
      </c>
      <c r="C178" s="3" t="s">
        <v>1004</v>
      </c>
      <c r="D178" s="1"/>
      <c r="E178" s="1">
        <f t="shared" si="15"/>
        <v>5.3980326027971746</v>
      </c>
      <c r="F178" s="1">
        <f t="shared" si="16"/>
        <v>9.7129186602870803</v>
      </c>
      <c r="G178" s="1">
        <f t="shared" si="17"/>
        <v>3</v>
      </c>
      <c r="H178" s="1"/>
      <c r="I178" s="1">
        <v>0.56399999999999995</v>
      </c>
      <c r="J178" s="1">
        <v>9.7129186602870803</v>
      </c>
      <c r="K178" s="1"/>
      <c r="L178" s="1"/>
      <c r="M178" s="1"/>
      <c r="N178" s="1"/>
      <c r="O178" s="1"/>
      <c r="P178" s="1"/>
      <c r="Q178" s="1"/>
      <c r="R178" s="1"/>
      <c r="S178" s="1"/>
      <c r="T178" s="1"/>
      <c r="U178" s="1"/>
      <c r="V178" s="1"/>
      <c r="W178" s="1"/>
      <c r="X178" s="1"/>
      <c r="Y178" s="1"/>
      <c r="Z178" s="1"/>
      <c r="AA178" s="1"/>
      <c r="AB178" s="1"/>
      <c r="AC178" s="1"/>
      <c r="AD178" s="1"/>
      <c r="AE178" s="1"/>
      <c r="AF178" s="1"/>
      <c r="AG178" s="1"/>
      <c r="AH178" s="1">
        <v>0</v>
      </c>
      <c r="AI178" s="1">
        <v>0.05</v>
      </c>
      <c r="AJ178" s="1">
        <v>0.04</v>
      </c>
      <c r="AK178" s="1">
        <v>0.04</v>
      </c>
      <c r="AL178" s="1">
        <v>0.04</v>
      </c>
      <c r="AM178" s="1">
        <v>3</v>
      </c>
      <c r="AN178" s="1"/>
      <c r="AO178" s="1"/>
      <c r="AP178" s="1"/>
      <c r="AQ178" s="1"/>
      <c r="AR178" s="1"/>
      <c r="AS178" s="1"/>
      <c r="AT178" s="1"/>
      <c r="AU178" s="1"/>
      <c r="AV178" s="1"/>
      <c r="AW178" s="1"/>
      <c r="AX178" s="1"/>
      <c r="AY178" s="1"/>
      <c r="AZ178" s="1"/>
      <c r="BA178" s="1"/>
      <c r="BB178" s="1"/>
      <c r="BC178" s="1"/>
      <c r="BD178" s="1"/>
      <c r="BE178" s="1"/>
      <c r="BF178" s="1"/>
      <c r="BG178" s="1"/>
      <c r="BH178" s="1"/>
    </row>
    <row r="179" spans="1:60" x14ac:dyDescent="0.2">
      <c r="A179" s="3">
        <v>177</v>
      </c>
      <c r="B179" s="3" t="s">
        <v>1007</v>
      </c>
      <c r="C179" s="3" t="s">
        <v>1008</v>
      </c>
      <c r="D179" s="1"/>
      <c r="E179" s="1">
        <f t="shared" si="15"/>
        <v>3.1622776601683795</v>
      </c>
      <c r="F179" s="1">
        <f t="shared" si="16"/>
        <v>10</v>
      </c>
      <c r="G179" s="1">
        <f t="shared" si="17"/>
        <v>1</v>
      </c>
      <c r="H179" s="1"/>
      <c r="I179" s="1">
        <v>0.59299999999999997</v>
      </c>
      <c r="J179" s="1">
        <v>10</v>
      </c>
      <c r="K179" s="1" t="s">
        <v>1007</v>
      </c>
      <c r="L179" s="1">
        <v>1201</v>
      </c>
      <c r="M179" s="1" t="s">
        <v>1090</v>
      </c>
      <c r="N179" s="1">
        <v>2020</v>
      </c>
      <c r="O179" s="1">
        <v>10</v>
      </c>
      <c r="P179" s="1" t="s">
        <v>1091</v>
      </c>
      <c r="Q179" s="1">
        <v>45562762.441890001</v>
      </c>
      <c r="R179" s="1">
        <v>885717.96880000003</v>
      </c>
      <c r="S179" s="1">
        <v>1.9439514228963399</v>
      </c>
      <c r="T179" s="1">
        <v>0</v>
      </c>
      <c r="U179" s="1">
        <v>0</v>
      </c>
      <c r="V179" s="1">
        <v>0</v>
      </c>
      <c r="W179" s="1">
        <v>0</v>
      </c>
      <c r="X179" s="1">
        <v>0</v>
      </c>
      <c r="Y179" s="1">
        <v>0</v>
      </c>
      <c r="Z179" s="1">
        <v>1.9439514228963399</v>
      </c>
      <c r="AA179" s="1"/>
      <c r="AB179" s="1">
        <v>-2.8164046280921</v>
      </c>
      <c r="AC179" s="1"/>
      <c r="AD179" s="1">
        <v>1.9439514228963399</v>
      </c>
      <c r="AE179" s="1" t="s">
        <v>1092</v>
      </c>
      <c r="AF179" s="1">
        <v>3</v>
      </c>
      <c r="AG179" s="1">
        <v>7</v>
      </c>
      <c r="AH179" s="1">
        <v>0</v>
      </c>
      <c r="AI179" s="1">
        <v>0.05</v>
      </c>
      <c r="AJ179" s="1">
        <v>0.03</v>
      </c>
      <c r="AK179" s="1">
        <v>0.02</v>
      </c>
      <c r="AL179" s="1">
        <v>0.02</v>
      </c>
      <c r="AM179" s="1">
        <v>1</v>
      </c>
      <c r="AN179" s="1"/>
      <c r="AO179" s="1"/>
      <c r="AP179" s="1"/>
      <c r="AQ179" s="1"/>
      <c r="AR179" s="1"/>
      <c r="AS179" s="1"/>
      <c r="AT179" s="1"/>
      <c r="AU179" s="1"/>
      <c r="AV179" s="1"/>
      <c r="AW179" s="1"/>
      <c r="AX179" s="1"/>
      <c r="AY179" s="1"/>
      <c r="AZ179" s="1"/>
      <c r="BA179" s="1"/>
      <c r="BB179" s="1"/>
      <c r="BC179" s="1"/>
      <c r="BD179" s="1"/>
      <c r="BE179" s="1"/>
      <c r="BF179" s="1"/>
      <c r="BG179" s="1"/>
      <c r="BH179" s="1"/>
    </row>
    <row r="180" spans="1:60" x14ac:dyDescent="0.2">
      <c r="A180" s="3">
        <v>178</v>
      </c>
      <c r="B180" s="3" t="s">
        <v>1011</v>
      </c>
      <c r="C180" s="3" t="s">
        <v>1012</v>
      </c>
      <c r="D180" s="1"/>
      <c r="E180" s="1">
        <f t="shared" si="15"/>
        <v>2.6248718355588432</v>
      </c>
      <c r="F180" s="1">
        <f t="shared" si="16"/>
        <v>2.2966507177033502</v>
      </c>
      <c r="G180" s="1">
        <f t="shared" si="17"/>
        <v>3</v>
      </c>
      <c r="H180" s="1"/>
      <c r="I180" s="1">
        <v>0.254</v>
      </c>
      <c r="J180" s="1">
        <v>2.2966507177033502</v>
      </c>
      <c r="K180" s="1"/>
      <c r="L180" s="1"/>
      <c r="M180" s="1"/>
      <c r="N180" s="1"/>
      <c r="O180" s="1"/>
      <c r="P180" s="1"/>
      <c r="Q180" s="1"/>
      <c r="R180" s="1"/>
      <c r="S180" s="1"/>
      <c r="T180" s="1"/>
      <c r="U180" s="1"/>
      <c r="V180" s="1"/>
      <c r="W180" s="1"/>
      <c r="X180" s="1"/>
      <c r="Y180" s="1"/>
      <c r="Z180" s="1"/>
      <c r="AA180" s="1"/>
      <c r="AB180" s="1"/>
      <c r="AC180" s="1"/>
      <c r="AD180" s="1"/>
      <c r="AE180" s="1"/>
      <c r="AF180" s="1"/>
      <c r="AG180" s="1"/>
      <c r="AH180" s="1">
        <v>0</v>
      </c>
      <c r="AI180" s="1">
        <v>0.03</v>
      </c>
      <c r="AJ180" s="1">
        <v>0.03</v>
      </c>
      <c r="AK180" s="1">
        <v>0.04</v>
      </c>
      <c r="AL180" s="1">
        <v>0.04</v>
      </c>
      <c r="AM180" s="1">
        <v>3</v>
      </c>
      <c r="AN180" s="1"/>
      <c r="AO180" s="1"/>
      <c r="AP180" s="1"/>
      <c r="AQ180" s="1"/>
      <c r="AR180" s="1"/>
      <c r="AS180" s="1"/>
      <c r="AT180" s="1"/>
      <c r="AU180" s="1"/>
      <c r="AV180" s="1"/>
      <c r="AW180" s="1"/>
      <c r="AX180" s="1"/>
      <c r="AY180" s="1"/>
      <c r="AZ180" s="1"/>
      <c r="BA180" s="1"/>
      <c r="BB180" s="1"/>
      <c r="BC180" s="1"/>
      <c r="BD180" s="1"/>
      <c r="BE180" s="1"/>
      <c r="BF180" s="1"/>
      <c r="BG180" s="1"/>
      <c r="BH180" s="1"/>
    </row>
    <row r="181" spans="1:60" x14ac:dyDescent="0.2">
      <c r="A181" s="3">
        <v>179</v>
      </c>
      <c r="B181" s="3" t="s">
        <v>1015</v>
      </c>
      <c r="C181" s="3" t="s">
        <v>1016</v>
      </c>
      <c r="D181" s="1"/>
      <c r="E181" s="1">
        <f t="shared" si="15"/>
        <v>3.9585169520074239</v>
      </c>
      <c r="F181" s="1">
        <f t="shared" si="16"/>
        <v>3.1339712918660299</v>
      </c>
      <c r="G181" s="1">
        <f t="shared" si="17"/>
        <v>5</v>
      </c>
      <c r="H181" s="1"/>
      <c r="I181" s="1">
        <v>0.28899999999999998</v>
      </c>
      <c r="J181" s="1">
        <v>3.1339712918660299</v>
      </c>
      <c r="K181" s="1"/>
      <c r="L181" s="1"/>
      <c r="M181" s="1"/>
      <c r="N181" s="1"/>
      <c r="O181" s="1"/>
      <c r="P181" s="1"/>
      <c r="Q181" s="1"/>
      <c r="R181" s="1"/>
      <c r="S181" s="1"/>
      <c r="T181" s="1"/>
      <c r="U181" s="1"/>
      <c r="V181" s="1"/>
      <c r="W181" s="1"/>
      <c r="X181" s="1"/>
      <c r="Y181" s="1"/>
      <c r="Z181" s="1"/>
      <c r="AA181" s="1"/>
      <c r="AB181" s="1"/>
      <c r="AC181" s="1"/>
      <c r="AD181" s="1"/>
      <c r="AE181" s="1"/>
      <c r="AF181" s="1"/>
      <c r="AG181" s="1"/>
      <c r="AH181" s="1">
        <v>0</v>
      </c>
      <c r="AI181" s="1">
        <v>0.19</v>
      </c>
      <c r="AJ181" s="1">
        <v>0.19</v>
      </c>
      <c r="AK181" s="1">
        <v>0.17</v>
      </c>
      <c r="AL181" s="1">
        <v>0.17</v>
      </c>
      <c r="AM181" s="1">
        <v>5</v>
      </c>
      <c r="AN181" s="1"/>
      <c r="AO181" s="1"/>
      <c r="AP181" s="1"/>
      <c r="AQ181" s="1"/>
      <c r="AR181" s="1"/>
      <c r="AS181" s="1"/>
      <c r="AT181" s="1"/>
      <c r="AU181" s="1"/>
      <c r="AV181" s="1"/>
      <c r="AW181" s="1"/>
      <c r="AX181" s="1"/>
      <c r="AY181" s="1"/>
      <c r="AZ181" s="1"/>
      <c r="BA181" s="1"/>
      <c r="BB181" s="1"/>
      <c r="BC181" s="1"/>
      <c r="BD181" s="1"/>
      <c r="BE181" s="1"/>
      <c r="BF181" s="1"/>
      <c r="BG181" s="1"/>
      <c r="BH181" s="1"/>
    </row>
    <row r="182" spans="1:60" x14ac:dyDescent="0.2">
      <c r="A182" s="3">
        <v>180</v>
      </c>
      <c r="B182" s="3" t="s">
        <v>1019</v>
      </c>
      <c r="C182" s="3" t="s">
        <v>1020</v>
      </c>
      <c r="D182" s="1"/>
      <c r="E182" s="1">
        <f t="shared" si="15"/>
        <v>0.75773523042408353</v>
      </c>
      <c r="F182" s="1">
        <f t="shared" si="16"/>
        <v>0.19138755980861299</v>
      </c>
      <c r="G182" s="1">
        <f t="shared" si="17"/>
        <v>3</v>
      </c>
      <c r="H182" s="1"/>
      <c r="I182" s="1">
        <v>0.16600000000000001</v>
      </c>
      <c r="J182" s="1">
        <v>0.19138755980861299</v>
      </c>
      <c r="K182" s="1"/>
      <c r="L182" s="1"/>
      <c r="M182" s="1"/>
      <c r="N182" s="1"/>
      <c r="O182" s="1"/>
      <c r="P182" s="1"/>
      <c r="Q182" s="1"/>
      <c r="R182" s="1"/>
      <c r="S182" s="1"/>
      <c r="T182" s="1"/>
      <c r="U182" s="1"/>
      <c r="V182" s="1"/>
      <c r="W182" s="1"/>
      <c r="X182" s="1"/>
      <c r="Y182" s="1"/>
      <c r="Z182" s="1"/>
      <c r="AA182" s="1"/>
      <c r="AB182" s="1"/>
      <c r="AC182" s="1"/>
      <c r="AD182" s="1"/>
      <c r="AE182" s="1"/>
      <c r="AF182" s="1"/>
      <c r="AG182" s="1"/>
      <c r="AH182" s="1">
        <v>0</v>
      </c>
      <c r="AI182" s="1">
        <v>0.04</v>
      </c>
      <c r="AJ182" s="1">
        <v>0.05</v>
      </c>
      <c r="AK182" s="1">
        <v>0.05</v>
      </c>
      <c r="AL182" s="1">
        <v>0.05</v>
      </c>
      <c r="AM182" s="1">
        <v>3</v>
      </c>
      <c r="AN182" s="1"/>
      <c r="AO182" s="1"/>
      <c r="AP182" s="1"/>
      <c r="AQ182" s="1"/>
      <c r="AR182" s="1"/>
      <c r="AS182" s="1"/>
      <c r="AT182" s="1"/>
      <c r="AU182" s="1"/>
      <c r="AV182" s="1"/>
      <c r="AW182" s="1"/>
      <c r="AX182" s="1"/>
      <c r="AY182" s="1"/>
      <c r="AZ182" s="1"/>
      <c r="BA182" s="1"/>
      <c r="BB182" s="1"/>
      <c r="BC182" s="1"/>
      <c r="BD182" s="1"/>
      <c r="BE182" s="1"/>
      <c r="BF182" s="1"/>
      <c r="BG182" s="1"/>
      <c r="BH182" s="1"/>
    </row>
    <row r="183" spans="1:60" x14ac:dyDescent="0.2">
      <c r="A183" s="3">
        <v>181</v>
      </c>
      <c r="B183" s="3" t="s">
        <v>1022</v>
      </c>
      <c r="C183" s="3" t="s">
        <v>1023</v>
      </c>
      <c r="D183" s="1"/>
      <c r="E183" s="1">
        <f t="shared" si="15"/>
        <v>3.2535885167464098</v>
      </c>
      <c r="F183" s="1">
        <f t="shared" si="16"/>
        <v>3.2535885167464098</v>
      </c>
      <c r="G183" s="1">
        <f t="shared" si="17"/>
        <v>0</v>
      </c>
      <c r="H183" s="1"/>
      <c r="I183" s="1">
        <v>0.29399999999999998</v>
      </c>
      <c r="J183" s="1">
        <v>3.2535885167464098</v>
      </c>
      <c r="K183" s="1"/>
      <c r="L183" s="1"/>
      <c r="M183" s="1"/>
      <c r="N183" s="1"/>
      <c r="O183" s="1"/>
      <c r="P183" s="1"/>
      <c r="Q183" s="1"/>
      <c r="R183" s="1"/>
      <c r="S183" s="1"/>
      <c r="T183" s="1"/>
      <c r="U183" s="1"/>
      <c r="V183" s="1"/>
      <c r="W183" s="1"/>
      <c r="X183" s="1"/>
      <c r="Y183" s="1"/>
      <c r="Z183" s="1"/>
      <c r="AA183" s="1"/>
      <c r="AB183" s="1"/>
      <c r="AC183" s="1"/>
      <c r="AD183" s="1"/>
      <c r="AE183" s="1"/>
      <c r="AF183" s="1"/>
      <c r="AG183" s="1"/>
      <c r="AH183" s="1">
        <v>0</v>
      </c>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row>
    <row r="184" spans="1:60" x14ac:dyDescent="0.2">
      <c r="A184" s="3">
        <v>182</v>
      </c>
      <c r="B184" s="3" t="s">
        <v>1026</v>
      </c>
      <c r="C184" s="3" t="s">
        <v>1027</v>
      </c>
      <c r="D184" s="1"/>
      <c r="E184" s="1">
        <f t="shared" si="15"/>
        <v>4.4736842105263204</v>
      </c>
      <c r="F184" s="1">
        <f t="shared" si="16"/>
        <v>4.4736842105263204</v>
      </c>
      <c r="G184" s="1">
        <f t="shared" si="17"/>
        <v>0</v>
      </c>
      <c r="H184" s="1"/>
      <c r="I184" s="1">
        <v>0.34499999999999997</v>
      </c>
      <c r="J184" s="1">
        <v>4.4736842105263204</v>
      </c>
      <c r="K184" s="1"/>
      <c r="L184" s="1"/>
      <c r="M184" s="1"/>
      <c r="N184" s="1"/>
      <c r="O184" s="1"/>
      <c r="P184" s="1"/>
      <c r="Q184" s="1"/>
      <c r="R184" s="1"/>
      <c r="S184" s="1"/>
      <c r="T184" s="1"/>
      <c r="U184" s="1"/>
      <c r="V184" s="1"/>
      <c r="W184" s="1"/>
      <c r="X184" s="1"/>
      <c r="Y184" s="1"/>
      <c r="Z184" s="1"/>
      <c r="AA184" s="1"/>
      <c r="AB184" s="1"/>
      <c r="AC184" s="1"/>
      <c r="AD184" s="1"/>
      <c r="AE184" s="1"/>
      <c r="AF184" s="1"/>
      <c r="AG184" s="1"/>
      <c r="AH184" s="1">
        <v>0</v>
      </c>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row>
    <row r="185" spans="1:60" x14ac:dyDescent="0.2">
      <c r="A185" s="3">
        <v>183</v>
      </c>
      <c r="B185" s="3" t="s">
        <v>1029</v>
      </c>
      <c r="C185" s="3" t="s">
        <v>1030</v>
      </c>
      <c r="D185" s="1"/>
      <c r="E185" s="1">
        <f t="shared" si="15"/>
        <v>7.1216362831362217</v>
      </c>
      <c r="F185" s="1">
        <f t="shared" si="16"/>
        <v>5.0717703349282299</v>
      </c>
      <c r="G185" s="1">
        <f t="shared" si="17"/>
        <v>10</v>
      </c>
      <c r="H185" s="1"/>
      <c r="I185" s="1">
        <v>0.37</v>
      </c>
      <c r="J185" s="1">
        <v>5.0717703349282299</v>
      </c>
      <c r="K185" s="1"/>
      <c r="L185" s="1"/>
      <c r="M185" s="1"/>
      <c r="N185" s="1"/>
      <c r="O185" s="1"/>
      <c r="P185" s="1"/>
      <c r="Q185" s="1"/>
      <c r="R185" s="1"/>
      <c r="S185" s="1"/>
      <c r="T185" s="1"/>
      <c r="U185" s="1"/>
      <c r="V185" s="1"/>
      <c r="W185" s="1"/>
      <c r="X185" s="1"/>
      <c r="Y185" s="1"/>
      <c r="Z185" s="1"/>
      <c r="AA185" s="1"/>
      <c r="AB185" s="1"/>
      <c r="AC185" s="1"/>
      <c r="AD185" s="1"/>
      <c r="AE185" s="1"/>
      <c r="AF185" s="1"/>
      <c r="AG185" s="1"/>
      <c r="AH185" s="1">
        <v>0</v>
      </c>
      <c r="AI185" s="1"/>
      <c r="AJ185" s="1"/>
      <c r="AK185" s="1"/>
      <c r="AL185" s="1"/>
      <c r="AM185" s="1"/>
      <c r="AN185" s="1">
        <v>10</v>
      </c>
      <c r="AO185" s="1"/>
      <c r="AP185" s="1"/>
      <c r="AQ185" s="1"/>
      <c r="AR185" s="1"/>
      <c r="AS185" s="1"/>
      <c r="AT185" s="1"/>
      <c r="AU185" s="1"/>
      <c r="AV185" s="1"/>
      <c r="AW185" s="1"/>
      <c r="AX185" s="1"/>
      <c r="AY185" s="1"/>
      <c r="AZ185" s="1"/>
      <c r="BA185" s="1"/>
      <c r="BB185" s="1"/>
      <c r="BC185" s="1"/>
      <c r="BD185" s="1"/>
      <c r="BE185" s="1"/>
      <c r="BF185" s="1"/>
      <c r="BG185" s="1"/>
      <c r="BH185" s="1"/>
    </row>
    <row r="186" spans="1:60" x14ac:dyDescent="0.2">
      <c r="A186" s="3">
        <v>184</v>
      </c>
      <c r="B186" s="3" t="s">
        <v>1033</v>
      </c>
      <c r="C186" s="3" t="s">
        <v>1034</v>
      </c>
      <c r="D186" s="1"/>
      <c r="E186" s="1">
        <f t="shared" si="15"/>
        <v>4.0717253552297752</v>
      </c>
      <c r="F186" s="1">
        <f t="shared" si="16"/>
        <v>5.5263157894736796</v>
      </c>
      <c r="G186" s="1">
        <f t="shared" si="17"/>
        <v>3</v>
      </c>
      <c r="H186" s="1"/>
      <c r="I186" s="1">
        <v>0.38900000000000001</v>
      </c>
      <c r="J186" s="1">
        <v>5.5263157894736796</v>
      </c>
      <c r="K186" s="1"/>
      <c r="L186" s="1"/>
      <c r="M186" s="1"/>
      <c r="N186" s="1"/>
      <c r="O186" s="1"/>
      <c r="P186" s="1"/>
      <c r="Q186" s="1"/>
      <c r="R186" s="1"/>
      <c r="S186" s="1"/>
      <c r="T186" s="1"/>
      <c r="U186" s="1"/>
      <c r="V186" s="1"/>
      <c r="W186" s="1"/>
      <c r="X186" s="1"/>
      <c r="Y186" s="1"/>
      <c r="Z186" s="1"/>
      <c r="AA186" s="1"/>
      <c r="AB186" s="1"/>
      <c r="AC186" s="1"/>
      <c r="AD186" s="1"/>
      <c r="AE186" s="1"/>
      <c r="AF186" s="1"/>
      <c r="AG186" s="1"/>
      <c r="AH186" s="1">
        <v>0</v>
      </c>
      <c r="AI186" s="1">
        <v>0.05</v>
      </c>
      <c r="AJ186" s="1">
        <v>0.05</v>
      </c>
      <c r="AK186" s="1">
        <v>0.05</v>
      </c>
      <c r="AL186" s="1">
        <v>0.05</v>
      </c>
      <c r="AM186" s="1">
        <v>3</v>
      </c>
      <c r="AN186" s="1"/>
      <c r="AO186" s="1"/>
      <c r="AP186" s="1"/>
      <c r="AQ186" s="1"/>
      <c r="AR186" s="1"/>
      <c r="AS186" s="1"/>
      <c r="AT186" s="1"/>
      <c r="AU186" s="1"/>
      <c r="AV186" s="1"/>
      <c r="AW186" s="1"/>
      <c r="AX186" s="1"/>
      <c r="AY186" s="1"/>
      <c r="AZ186" s="1"/>
      <c r="BA186" s="1"/>
      <c r="BB186" s="1"/>
      <c r="BC186" s="1"/>
      <c r="BD186" s="1"/>
      <c r="BE186" s="1"/>
      <c r="BF186" s="1"/>
      <c r="BG186" s="1"/>
      <c r="BH186" s="1"/>
    </row>
    <row r="187" spans="1:60" x14ac:dyDescent="0.2">
      <c r="A187" s="3">
        <v>185</v>
      </c>
      <c r="B187" s="3" t="s">
        <v>1035</v>
      </c>
      <c r="C187" s="3" t="s">
        <v>1036</v>
      </c>
      <c r="D187" s="1"/>
      <c r="E187" s="1">
        <f t="shared" si="15"/>
        <v>8.2296650717703397</v>
      </c>
      <c r="F187" s="1">
        <f t="shared" si="16"/>
        <v>8.2296650717703397</v>
      </c>
      <c r="G187" s="1">
        <f t="shared" si="17"/>
        <v>0</v>
      </c>
      <c r="H187" s="1"/>
      <c r="I187" s="1">
        <v>0.502</v>
      </c>
      <c r="J187" s="1">
        <v>8.2296650717703397</v>
      </c>
      <c r="K187" s="1"/>
      <c r="L187" s="1"/>
      <c r="M187" s="1"/>
      <c r="N187" s="1"/>
      <c r="O187" s="1"/>
      <c r="P187" s="1"/>
      <c r="Q187" s="1"/>
      <c r="R187" s="1"/>
      <c r="S187" s="1"/>
      <c r="T187" s="1"/>
      <c r="U187" s="1"/>
      <c r="V187" s="1"/>
      <c r="W187" s="1"/>
      <c r="X187" s="1"/>
      <c r="Y187" s="1"/>
      <c r="Z187" s="1"/>
      <c r="AA187" s="1"/>
      <c r="AB187" s="1"/>
      <c r="AC187" s="1"/>
      <c r="AD187" s="1"/>
      <c r="AE187" s="1"/>
      <c r="AF187" s="1"/>
      <c r="AG187" s="1"/>
      <c r="AH187" s="1">
        <v>0</v>
      </c>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row>
    <row r="188" spans="1:60" x14ac:dyDescent="0.2">
      <c r="A188" s="3">
        <v>186</v>
      </c>
      <c r="B188" s="3" t="s">
        <v>1037</v>
      </c>
      <c r="C188" s="3" t="s">
        <v>1038</v>
      </c>
      <c r="D188" s="1"/>
      <c r="E188" s="1">
        <f t="shared" si="15"/>
        <v>3.1011650843485867</v>
      </c>
      <c r="F188" s="1">
        <f t="shared" si="16"/>
        <v>3.2057416267942598</v>
      </c>
      <c r="G188" s="1">
        <f t="shared" si="17"/>
        <v>3</v>
      </c>
      <c r="H188" s="1"/>
      <c r="I188" s="1">
        <v>0.29199999999999998</v>
      </c>
      <c r="J188" s="1">
        <v>3.2057416267942598</v>
      </c>
      <c r="K188" s="1"/>
      <c r="L188" s="1"/>
      <c r="M188" s="1"/>
      <c r="N188" s="1"/>
      <c r="O188" s="1"/>
      <c r="P188" s="1"/>
      <c r="Q188" s="1"/>
      <c r="R188" s="1"/>
      <c r="S188" s="1"/>
      <c r="T188" s="1"/>
      <c r="U188" s="1"/>
      <c r="V188" s="1"/>
      <c r="W188" s="1"/>
      <c r="X188" s="1"/>
      <c r="Y188" s="1"/>
      <c r="Z188" s="1"/>
      <c r="AA188" s="1"/>
      <c r="AB188" s="1"/>
      <c r="AC188" s="1"/>
      <c r="AD188" s="1"/>
      <c r="AE188" s="1"/>
      <c r="AF188" s="1"/>
      <c r="AG188" s="1"/>
      <c r="AH188" s="1">
        <v>0</v>
      </c>
      <c r="AI188" s="1">
        <v>0.03</v>
      </c>
      <c r="AJ188" s="1"/>
      <c r="AK188" s="1"/>
      <c r="AL188" s="1">
        <v>0.03</v>
      </c>
      <c r="AM188" s="1">
        <v>3</v>
      </c>
      <c r="AN188" s="1"/>
      <c r="AO188" s="1"/>
      <c r="AP188" s="1"/>
      <c r="AQ188" s="1"/>
      <c r="AR188" s="1"/>
      <c r="AS188" s="1"/>
      <c r="AT188" s="1"/>
      <c r="AU188" s="1"/>
      <c r="AV188" s="1"/>
      <c r="AW188" s="1"/>
      <c r="AX188" s="1"/>
      <c r="AY188" s="1"/>
      <c r="AZ188" s="1"/>
      <c r="BA188" s="1"/>
      <c r="BB188" s="1"/>
      <c r="BC188" s="1"/>
      <c r="BD188" s="1"/>
      <c r="BE188" s="1"/>
      <c r="BF188" s="1"/>
      <c r="BG188" s="1"/>
      <c r="BH188" s="1"/>
    </row>
    <row r="189" spans="1:60" x14ac:dyDescent="0.2">
      <c r="A189" s="3">
        <v>187</v>
      </c>
      <c r="B189" s="3" t="s">
        <v>1039</v>
      </c>
      <c r="C189" s="3" t="s">
        <v>1040</v>
      </c>
      <c r="D189" s="1"/>
      <c r="E189" s="1">
        <f t="shared" si="15"/>
        <v>10</v>
      </c>
      <c r="F189" s="1">
        <f t="shared" si="16"/>
        <v>10</v>
      </c>
      <c r="G189" s="1">
        <f t="shared" si="17"/>
        <v>10</v>
      </c>
      <c r="H189" s="1"/>
      <c r="I189" s="1">
        <v>0.60399999999999998</v>
      </c>
      <c r="J189" s="1">
        <v>10</v>
      </c>
      <c r="K189" s="1" t="s">
        <v>1039</v>
      </c>
      <c r="L189" s="1">
        <v>1033</v>
      </c>
      <c r="M189" s="1" t="s">
        <v>1090</v>
      </c>
      <c r="N189" s="1">
        <v>2020</v>
      </c>
      <c r="O189" s="1">
        <v>10</v>
      </c>
      <c r="P189" s="1" t="s">
        <v>1091</v>
      </c>
      <c r="Q189" s="1">
        <v>29841393.132475998</v>
      </c>
      <c r="R189" s="1">
        <v>29701473.476176001</v>
      </c>
      <c r="S189" s="1">
        <v>99.531122237896696</v>
      </c>
      <c r="T189" s="1">
        <v>14461837.601175999</v>
      </c>
      <c r="U189" s="1">
        <v>48.462340672149701</v>
      </c>
      <c r="V189" s="1">
        <v>29701473.476176001</v>
      </c>
      <c r="W189" s="1">
        <v>99.531122237896696</v>
      </c>
      <c r="X189" s="1">
        <v>14461837.601175999</v>
      </c>
      <c r="Y189" s="1">
        <v>48.462340672149701</v>
      </c>
      <c r="Z189" s="1">
        <v>0</v>
      </c>
      <c r="AA189" s="1">
        <v>47.462340672149701</v>
      </c>
      <c r="AB189" s="1">
        <v>0</v>
      </c>
      <c r="AC189" s="1">
        <v>47.462340672149701</v>
      </c>
      <c r="AD189" s="1">
        <v>0</v>
      </c>
      <c r="AE189" s="1" t="s">
        <v>1094</v>
      </c>
      <c r="AF189" s="1">
        <v>4</v>
      </c>
      <c r="AG189" s="1">
        <v>10</v>
      </c>
      <c r="AH189" s="1">
        <v>0</v>
      </c>
      <c r="AI189" s="1"/>
      <c r="AJ189" s="1"/>
      <c r="AK189" s="1"/>
      <c r="AL189" s="1"/>
      <c r="AM189" s="1"/>
      <c r="AN189" s="1">
        <v>10</v>
      </c>
      <c r="AO189" s="1"/>
      <c r="AP189" s="1"/>
      <c r="AQ189" s="1"/>
      <c r="AR189" s="1"/>
      <c r="AS189" s="1"/>
      <c r="AT189" s="1"/>
      <c r="AU189" s="1"/>
      <c r="AV189" s="1"/>
      <c r="AW189" s="1"/>
      <c r="AX189" s="1"/>
      <c r="AY189" s="1"/>
      <c r="AZ189" s="1"/>
      <c r="BA189" s="1"/>
      <c r="BB189" s="1"/>
      <c r="BC189" s="1"/>
      <c r="BD189" s="1"/>
      <c r="BE189" s="1"/>
      <c r="BF189" s="1"/>
      <c r="BG189" s="1"/>
      <c r="BH189" s="1"/>
    </row>
    <row r="190" spans="1:60" x14ac:dyDescent="0.2">
      <c r="A190" s="3">
        <v>188</v>
      </c>
      <c r="B190" s="3" t="s">
        <v>1043</v>
      </c>
      <c r="C190" s="3" t="s">
        <v>1044</v>
      </c>
      <c r="D190" s="1"/>
      <c r="E190" s="1">
        <f t="shared" si="15"/>
        <v>4.0363183755382996</v>
      </c>
      <c r="F190" s="1">
        <f t="shared" si="16"/>
        <v>5.4306220095693796</v>
      </c>
      <c r="G190" s="1">
        <f t="shared" si="17"/>
        <v>3</v>
      </c>
      <c r="H190" s="1"/>
      <c r="I190" s="1">
        <v>0.38500000000000001</v>
      </c>
      <c r="J190" s="1">
        <v>5.4306220095693796</v>
      </c>
      <c r="K190" s="1"/>
      <c r="L190" s="1"/>
      <c r="M190" s="1"/>
      <c r="N190" s="1"/>
      <c r="O190" s="1"/>
      <c r="P190" s="1"/>
      <c r="Q190" s="1"/>
      <c r="R190" s="1"/>
      <c r="S190" s="1"/>
      <c r="T190" s="1"/>
      <c r="U190" s="1"/>
      <c r="V190" s="1"/>
      <c r="W190" s="1"/>
      <c r="X190" s="1"/>
      <c r="Y190" s="1"/>
      <c r="Z190" s="1"/>
      <c r="AA190" s="1"/>
      <c r="AB190" s="1"/>
      <c r="AC190" s="1"/>
      <c r="AD190" s="1"/>
      <c r="AE190" s="1"/>
      <c r="AF190" s="1"/>
      <c r="AG190" s="1"/>
      <c r="AH190" s="1">
        <v>0</v>
      </c>
      <c r="AI190" s="1">
        <v>0.05</v>
      </c>
      <c r="AJ190" s="1">
        <v>0.04</v>
      </c>
      <c r="AK190" s="1"/>
      <c r="AL190" s="1">
        <v>0.04</v>
      </c>
      <c r="AM190" s="1">
        <v>3</v>
      </c>
      <c r="AN190" s="1"/>
      <c r="AO190" s="1"/>
      <c r="AP190" s="1"/>
      <c r="AQ190" s="1"/>
      <c r="AR190" s="1"/>
      <c r="AS190" s="1"/>
      <c r="AT190" s="1"/>
      <c r="AU190" s="1"/>
      <c r="AV190" s="1"/>
      <c r="AW190" s="1"/>
      <c r="AX190" s="1"/>
      <c r="AY190" s="1"/>
      <c r="AZ190" s="1"/>
      <c r="BA190" s="1"/>
      <c r="BB190" s="1"/>
      <c r="BC190" s="1"/>
      <c r="BD190" s="1"/>
      <c r="BE190" s="1"/>
      <c r="BF190" s="1"/>
      <c r="BG190" s="1"/>
      <c r="BH190" s="1"/>
    </row>
    <row r="191" spans="1:60" x14ac:dyDescent="0.2">
      <c r="A191" s="3">
        <v>189</v>
      </c>
      <c r="B191" s="3" t="s">
        <v>1049</v>
      </c>
      <c r="C191" s="3" t="s">
        <v>1050</v>
      </c>
      <c r="D191" s="1"/>
      <c r="E191" s="1">
        <f t="shared" si="15"/>
        <v>6.5985354326895411</v>
      </c>
      <c r="F191" s="1">
        <f t="shared" si="16"/>
        <v>8.7081339712918702</v>
      </c>
      <c r="G191" s="1">
        <f t="shared" si="17"/>
        <v>5</v>
      </c>
      <c r="H191" s="1"/>
      <c r="I191" s="1">
        <v>0.52200000000000002</v>
      </c>
      <c r="J191" s="1">
        <v>8.7081339712918702</v>
      </c>
      <c r="K191" s="1" t="s">
        <v>1049</v>
      </c>
      <c r="L191" s="1">
        <v>481</v>
      </c>
      <c r="M191" s="1" t="s">
        <v>1090</v>
      </c>
      <c r="N191" s="1">
        <v>2020</v>
      </c>
      <c r="O191" s="1">
        <v>10</v>
      </c>
      <c r="P191" s="1" t="s">
        <v>1091</v>
      </c>
      <c r="Q191" s="1">
        <v>18888478.48934</v>
      </c>
      <c r="R191" s="1">
        <v>0</v>
      </c>
      <c r="S191" s="1">
        <v>0</v>
      </c>
      <c r="T191" s="1">
        <v>0</v>
      </c>
      <c r="U191" s="1">
        <v>0</v>
      </c>
      <c r="V191" s="1">
        <v>0</v>
      </c>
      <c r="W191" s="1">
        <v>0</v>
      </c>
      <c r="X191" s="1">
        <v>0</v>
      </c>
      <c r="Y191" s="1">
        <v>0</v>
      </c>
      <c r="Z191" s="1">
        <v>0</v>
      </c>
      <c r="AA191" s="1"/>
      <c r="AB191" s="1">
        <v>0</v>
      </c>
      <c r="AC191" s="1"/>
      <c r="AD191" s="1">
        <v>0</v>
      </c>
      <c r="AE191" s="1" t="s">
        <v>1092</v>
      </c>
      <c r="AF191" s="1" t="e">
        <v>#NUM!</v>
      </c>
      <c r="AG191" s="1"/>
      <c r="AH191" s="1">
        <v>0</v>
      </c>
      <c r="AI191" s="1">
        <v>0.17</v>
      </c>
      <c r="AJ191" s="1">
        <v>0.17</v>
      </c>
      <c r="AK191" s="1">
        <v>0.16</v>
      </c>
      <c r="AL191" s="1">
        <v>0.16</v>
      </c>
      <c r="AM191" s="1">
        <v>5</v>
      </c>
      <c r="AN191" s="1"/>
      <c r="AO191" s="1"/>
      <c r="AP191" s="1"/>
      <c r="AQ191" s="1"/>
      <c r="AR191" s="1"/>
      <c r="AS191" s="1"/>
      <c r="AT191" s="1"/>
      <c r="AU191" s="1"/>
      <c r="AV191" s="1"/>
      <c r="AW191" s="1"/>
      <c r="AX191" s="1"/>
      <c r="AY191" s="1"/>
      <c r="AZ191" s="1"/>
      <c r="BA191" s="1"/>
      <c r="BB191" s="1"/>
      <c r="BC191" s="1"/>
      <c r="BD191" s="1"/>
      <c r="BE191" s="1"/>
      <c r="BF191" s="1"/>
      <c r="BG191" s="1"/>
      <c r="BH191" s="1"/>
    </row>
    <row r="192" spans="1:60" x14ac:dyDescent="0.2">
      <c r="A192" s="3">
        <v>190</v>
      </c>
      <c r="B192" s="3" t="s">
        <v>1053</v>
      </c>
      <c r="C192" s="3" t="s">
        <v>1054</v>
      </c>
      <c r="D192" s="1"/>
      <c r="E192" s="1">
        <f t="shared" si="15"/>
        <v>10</v>
      </c>
      <c r="F192" s="1">
        <f t="shared" si="16"/>
        <v>10</v>
      </c>
      <c r="G192" s="1">
        <f t="shared" si="17"/>
        <v>10</v>
      </c>
      <c r="H192" s="1"/>
      <c r="I192" s="1">
        <v>0.58099999999999996</v>
      </c>
      <c r="J192" s="1">
        <v>10</v>
      </c>
      <c r="K192" s="1" t="s">
        <v>1053</v>
      </c>
      <c r="L192" s="1">
        <v>553</v>
      </c>
      <c r="M192" s="1" t="s">
        <v>1090</v>
      </c>
      <c r="N192" s="1">
        <v>2020</v>
      </c>
      <c r="O192" s="1">
        <v>10</v>
      </c>
      <c r="P192" s="1" t="s">
        <v>1091</v>
      </c>
      <c r="Q192" s="1">
        <v>17464726.415139999</v>
      </c>
      <c r="R192" s="1">
        <v>9210595.48508</v>
      </c>
      <c r="S192" s="1">
        <v>52.738275230555097</v>
      </c>
      <c r="T192" s="1">
        <v>0</v>
      </c>
      <c r="U192" s="1">
        <v>0</v>
      </c>
      <c r="V192" s="1">
        <v>8492619.67258</v>
      </c>
      <c r="W192" s="1">
        <v>48.627270022494201</v>
      </c>
      <c r="X192" s="1">
        <v>0</v>
      </c>
      <c r="Y192" s="1">
        <v>0</v>
      </c>
      <c r="Z192" s="1">
        <v>2.3050933660833599</v>
      </c>
      <c r="AA192" s="1"/>
      <c r="AB192" s="1">
        <v>-9.6530820742689905</v>
      </c>
      <c r="AC192" s="1"/>
      <c r="AD192" s="1">
        <v>4.1110052080609396</v>
      </c>
      <c r="AE192" s="1" t="s">
        <v>1092</v>
      </c>
      <c r="AF192" s="1">
        <v>3</v>
      </c>
      <c r="AG192" s="1">
        <v>7</v>
      </c>
      <c r="AH192" s="1">
        <v>10</v>
      </c>
      <c r="AI192" s="1">
        <v>9.8000000000000007</v>
      </c>
      <c r="AJ192" s="1">
        <v>9.5399999999999991</v>
      </c>
      <c r="AK192" s="1">
        <v>8.36</v>
      </c>
      <c r="AL192" s="1">
        <v>8.36</v>
      </c>
      <c r="AM192" s="1">
        <v>7</v>
      </c>
      <c r="AN192" s="1">
        <v>10</v>
      </c>
      <c r="AO192" s="1"/>
      <c r="AP192" s="1"/>
      <c r="AQ192" s="1"/>
      <c r="AR192" s="1"/>
      <c r="AS192" s="1"/>
      <c r="AT192" s="1"/>
      <c r="AU192" s="1"/>
      <c r="AV192" s="1"/>
      <c r="AW192" s="1"/>
      <c r="AX192" s="1"/>
      <c r="AY192" s="1"/>
      <c r="AZ192" s="1"/>
      <c r="BA192" s="1"/>
      <c r="BB192" s="1"/>
      <c r="BC192" s="1"/>
      <c r="BD192" s="1"/>
      <c r="BE192" s="1"/>
      <c r="BF192" s="1"/>
      <c r="BG192" s="1"/>
      <c r="BH192" s="1"/>
    </row>
    <row r="193" spans="1:60" x14ac:dyDescent="0.2">
      <c r="A193" s="3"/>
      <c r="B193" s="3"/>
      <c r="C193" s="3"/>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row>
    <row r="194" spans="1:60" x14ac:dyDescent="0.2">
      <c r="A194" s="3"/>
      <c r="B194" s="3"/>
      <c r="C194" s="3"/>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row>
    <row r="195" spans="1:60" x14ac:dyDescent="0.2">
      <c r="A195" s="3"/>
      <c r="B195" s="3"/>
      <c r="C195" s="3"/>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row>
    <row r="196" spans="1:60" x14ac:dyDescent="0.2">
      <c r="A196" s="3"/>
      <c r="B196" s="3"/>
      <c r="C196" s="3"/>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row>
    <row r="197" spans="1:60" x14ac:dyDescent="0.2">
      <c r="A197" s="3"/>
      <c r="B197" s="3"/>
      <c r="C197" s="3"/>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row>
    <row r="198" spans="1:60" x14ac:dyDescent="0.2">
      <c r="A198" s="3"/>
      <c r="B198" s="3"/>
      <c r="C198" s="3"/>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row>
    <row r="199" spans="1:60" x14ac:dyDescent="0.2">
      <c r="A199" s="3"/>
      <c r="B199" s="3"/>
      <c r="C199" s="3"/>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row>
    <row r="200" spans="1:60" x14ac:dyDescent="0.2">
      <c r="A200" s="3"/>
      <c r="B200" s="3"/>
      <c r="C200" s="3"/>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row>
  </sheetData>
  <conditionalFormatting sqref="E1:E192">
    <cfRule type="expression" dxfId="87" priority="12">
      <formula>E1=10</formula>
    </cfRule>
    <cfRule type="cellIs" dxfId="86" priority="11" operator="between">
      <formula>7</formula>
      <formula>9.99</formula>
    </cfRule>
    <cfRule type="cellIs" dxfId="85" priority="10" operator="between">
      <formula>0</formula>
      <formula>6.999</formula>
    </cfRule>
    <cfRule type="expression" dxfId="84" priority="9">
      <formula>E1=""</formula>
    </cfRule>
  </conditionalFormatting>
  <conditionalFormatting sqref="F1:F192">
    <cfRule type="expression" dxfId="83" priority="8">
      <formula>F1=10</formula>
    </cfRule>
    <cfRule type="cellIs" dxfId="82" priority="7" operator="between">
      <formula>7</formula>
      <formula>9.99</formula>
    </cfRule>
    <cfRule type="cellIs" dxfId="81" priority="6" operator="between">
      <formula>0</formula>
      <formula>6.999</formula>
    </cfRule>
    <cfRule type="expression" dxfId="80" priority="5">
      <formula>F1=""</formula>
    </cfRule>
  </conditionalFormatting>
  <conditionalFormatting sqref="G1:G192">
    <cfRule type="expression" dxfId="79" priority="4">
      <formula>G1=10</formula>
    </cfRule>
    <cfRule type="cellIs" dxfId="78" priority="3" operator="between">
      <formula>7</formula>
      <formula>9.99</formula>
    </cfRule>
    <cfRule type="cellIs" dxfId="77" priority="2" operator="between">
      <formula>0</formula>
      <formula>6.999</formula>
    </cfRule>
    <cfRule type="expression" dxfId="76" priority="1">
      <formula>G1=""</formula>
    </cfRule>
  </conditionalFormatting>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H200"/>
  <sheetViews>
    <sheetView topLeftCell="A2" workbookViewId="0"/>
  </sheetViews>
  <sheetFormatPr baseColWidth="10" defaultColWidth="8.7109375" defaultRowHeight="16" x14ac:dyDescent="0.2"/>
  <cols>
    <col min="1" max="1" width="3.7109375" customWidth="1"/>
    <col min="2" max="2" width="22.7109375" customWidth="1"/>
    <col min="4" max="4" width="3.7109375" customWidth="1"/>
    <col min="8" max="8" width="3.7109375" customWidth="1"/>
  </cols>
  <sheetData>
    <row r="1" spans="1:60" x14ac:dyDescent="0.2">
      <c r="A1" s="3"/>
      <c r="B1" s="3"/>
      <c r="C1" s="3"/>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row>
    <row r="2" spans="1:60" ht="57" x14ac:dyDescent="0.2">
      <c r="A2" s="4" t="s">
        <v>0</v>
      </c>
      <c r="B2" s="4" t="s">
        <v>1</v>
      </c>
      <c r="C2" s="4" t="s">
        <v>2</v>
      </c>
      <c r="D2" s="2" t="s">
        <v>3</v>
      </c>
      <c r="E2" s="2" t="s">
        <v>4</v>
      </c>
      <c r="F2" s="2" t="s">
        <v>5</v>
      </c>
      <c r="G2" s="2" t="s">
        <v>6</v>
      </c>
      <c r="H2" s="2" t="s">
        <v>7</v>
      </c>
      <c r="I2" s="2" t="s">
        <v>1095</v>
      </c>
      <c r="J2" s="2" t="s">
        <v>1096</v>
      </c>
      <c r="K2" s="2" t="s">
        <v>1097</v>
      </c>
      <c r="L2" s="2" t="s">
        <v>1098</v>
      </c>
      <c r="M2" s="2" t="s">
        <v>1099</v>
      </c>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1"/>
      <c r="BG2" s="1"/>
      <c r="BH2" s="1"/>
    </row>
    <row r="3" spans="1:60" x14ac:dyDescent="0.2">
      <c r="A3" s="3">
        <v>3</v>
      </c>
      <c r="B3" s="3" t="s">
        <v>93</v>
      </c>
      <c r="C3" s="3" t="s">
        <v>94</v>
      </c>
      <c r="D3" s="1"/>
      <c r="E3" s="1">
        <f t="shared" ref="E3:E34" si="0">IFERROR(GEOMEAN(F3, G3), MAX(F3, G3))</f>
        <v>5.4772255750516612</v>
      </c>
      <c r="F3" s="1">
        <f>MAX(3)</f>
        <v>3</v>
      </c>
      <c r="G3" s="1">
        <f t="shared" ref="G3:G34" si="1">MAX(J3, K3)</f>
        <v>10</v>
      </c>
      <c r="H3" s="1"/>
      <c r="I3" s="1">
        <v>10</v>
      </c>
      <c r="J3" s="1">
        <v>0</v>
      </c>
      <c r="K3" s="1">
        <v>10</v>
      </c>
      <c r="L3" s="1">
        <v>0</v>
      </c>
      <c r="M3" s="1">
        <v>10</v>
      </c>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row>
    <row r="4" spans="1:60" x14ac:dyDescent="0.2">
      <c r="A4" s="3">
        <v>69</v>
      </c>
      <c r="B4" s="3" t="s">
        <v>114</v>
      </c>
      <c r="C4" s="3" t="s">
        <v>115</v>
      </c>
      <c r="D4" s="1"/>
      <c r="E4" s="1">
        <f t="shared" si="0"/>
        <v>4</v>
      </c>
      <c r="F4" s="1">
        <f>MAX(4)</f>
        <v>4</v>
      </c>
      <c r="G4" s="1">
        <f t="shared" si="1"/>
        <v>0</v>
      </c>
      <c r="H4" s="1"/>
      <c r="I4" s="1">
        <v>0</v>
      </c>
      <c r="J4" s="1">
        <v>0</v>
      </c>
      <c r="K4" s="1">
        <v>0</v>
      </c>
      <c r="L4" s="1"/>
      <c r="M4" s="1">
        <v>0</v>
      </c>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row>
    <row r="5" spans="1:60" x14ac:dyDescent="0.2">
      <c r="A5" s="3">
        <v>44</v>
      </c>
      <c r="B5" s="3" t="s">
        <v>131</v>
      </c>
      <c r="C5" s="3" t="s">
        <v>132</v>
      </c>
      <c r="D5" s="1"/>
      <c r="E5" s="1">
        <f t="shared" si="0"/>
        <v>5</v>
      </c>
      <c r="F5" s="1">
        <f>MAX(5)</f>
        <v>5</v>
      </c>
      <c r="G5" s="1">
        <f t="shared" si="1"/>
        <v>0</v>
      </c>
      <c r="H5" s="1"/>
      <c r="I5" s="1">
        <v>0</v>
      </c>
      <c r="J5" s="1">
        <v>0</v>
      </c>
      <c r="K5" s="1">
        <v>0</v>
      </c>
      <c r="L5" s="1"/>
      <c r="M5" s="1">
        <v>0</v>
      </c>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x14ac:dyDescent="0.2">
      <c r="A6" s="3">
        <v>92</v>
      </c>
      <c r="B6" s="3" t="s">
        <v>142</v>
      </c>
      <c r="C6" s="3" t="s">
        <v>143</v>
      </c>
      <c r="D6" s="1"/>
      <c r="E6" s="1">
        <f t="shared" si="0"/>
        <v>6</v>
      </c>
      <c r="F6" s="1">
        <f>MAX(6)</f>
        <v>6</v>
      </c>
      <c r="G6" s="1">
        <f t="shared" si="1"/>
        <v>0</v>
      </c>
      <c r="H6" s="1"/>
      <c r="I6" s="1">
        <v>0</v>
      </c>
      <c r="J6" s="1">
        <v>0</v>
      </c>
      <c r="K6" s="1">
        <v>0</v>
      </c>
      <c r="L6" s="1"/>
      <c r="M6" s="1">
        <v>0</v>
      </c>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row>
    <row r="7" spans="1:60" x14ac:dyDescent="0.2">
      <c r="A7" s="3">
        <v>46</v>
      </c>
      <c r="B7" s="3" t="s">
        <v>150</v>
      </c>
      <c r="C7" s="3" t="s">
        <v>151</v>
      </c>
      <c r="D7" s="1"/>
      <c r="E7" s="1">
        <f t="shared" si="0"/>
        <v>7</v>
      </c>
      <c r="F7" s="1">
        <f>MAX(7)</f>
        <v>7</v>
      </c>
      <c r="G7" s="1">
        <f t="shared" si="1"/>
        <v>0</v>
      </c>
      <c r="H7" s="1"/>
      <c r="I7" s="1">
        <v>0</v>
      </c>
      <c r="J7" s="1">
        <v>0</v>
      </c>
      <c r="K7" s="1">
        <v>0</v>
      </c>
      <c r="L7" s="1">
        <v>0</v>
      </c>
      <c r="M7" s="1">
        <v>0</v>
      </c>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row>
    <row r="8" spans="1:60" x14ac:dyDescent="0.2">
      <c r="A8" s="3">
        <v>27</v>
      </c>
      <c r="B8" s="3" t="s">
        <v>158</v>
      </c>
      <c r="C8" s="3" t="s">
        <v>159</v>
      </c>
      <c r="D8" s="1"/>
      <c r="E8" s="1">
        <f t="shared" si="0"/>
        <v>8</v>
      </c>
      <c r="F8" s="1">
        <f>MAX(8)</f>
        <v>8</v>
      </c>
      <c r="G8" s="1">
        <f t="shared" si="1"/>
        <v>0</v>
      </c>
      <c r="H8" s="1"/>
      <c r="I8" s="1">
        <v>0</v>
      </c>
      <c r="J8" s="1">
        <v>0</v>
      </c>
      <c r="K8" s="1">
        <v>0</v>
      </c>
      <c r="L8" s="1"/>
      <c r="M8" s="1">
        <v>0</v>
      </c>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row>
    <row r="9" spans="1:60" x14ac:dyDescent="0.2">
      <c r="A9" s="3">
        <v>45</v>
      </c>
      <c r="B9" s="3" t="s">
        <v>164</v>
      </c>
      <c r="C9" s="3" t="s">
        <v>165</v>
      </c>
      <c r="D9" s="1"/>
      <c r="E9" s="1">
        <f t="shared" si="0"/>
        <v>9</v>
      </c>
      <c r="F9" s="1">
        <f>MAX(9)</f>
        <v>9</v>
      </c>
      <c r="G9" s="1">
        <f t="shared" si="1"/>
        <v>0</v>
      </c>
      <c r="H9" s="1"/>
      <c r="I9" s="1">
        <v>0</v>
      </c>
      <c r="J9" s="1">
        <v>0</v>
      </c>
      <c r="K9" s="1">
        <v>0</v>
      </c>
      <c r="L9" s="1"/>
      <c r="M9" s="1">
        <v>0</v>
      </c>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row>
    <row r="10" spans="1:60" x14ac:dyDescent="0.2">
      <c r="A10" s="3">
        <v>132</v>
      </c>
      <c r="B10" s="3" t="s">
        <v>170</v>
      </c>
      <c r="C10" s="3" t="s">
        <v>171</v>
      </c>
      <c r="D10" s="1"/>
      <c r="E10" s="1">
        <f t="shared" si="0"/>
        <v>10</v>
      </c>
      <c r="F10" s="1">
        <f>MAX(10)</f>
        <v>10</v>
      </c>
      <c r="G10" s="1">
        <f t="shared" si="1"/>
        <v>0</v>
      </c>
      <c r="H10" s="1"/>
      <c r="I10" s="1">
        <v>0</v>
      </c>
      <c r="J10" s="1">
        <v>0</v>
      </c>
      <c r="K10" s="1">
        <v>0</v>
      </c>
      <c r="L10" s="1"/>
      <c r="M10" s="1">
        <v>0</v>
      </c>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row>
    <row r="11" spans="1:60" x14ac:dyDescent="0.2">
      <c r="A11" s="3">
        <v>133</v>
      </c>
      <c r="B11" s="3" t="s">
        <v>179</v>
      </c>
      <c r="C11" s="3" t="s">
        <v>180</v>
      </c>
      <c r="D11" s="1"/>
      <c r="E11" s="1">
        <f t="shared" si="0"/>
        <v>11</v>
      </c>
      <c r="F11" s="1">
        <f>MAX(11)</f>
        <v>11</v>
      </c>
      <c r="G11" s="1">
        <f t="shared" si="1"/>
        <v>0</v>
      </c>
      <c r="H11" s="1"/>
      <c r="I11" s="1">
        <v>0</v>
      </c>
      <c r="J11" s="1">
        <v>0</v>
      </c>
      <c r="K11" s="1">
        <v>0</v>
      </c>
      <c r="L11" s="1">
        <v>5</v>
      </c>
      <c r="M11" s="1">
        <v>5</v>
      </c>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row>
    <row r="12" spans="1:60" x14ac:dyDescent="0.2">
      <c r="A12" s="3">
        <v>93</v>
      </c>
      <c r="B12" s="3" t="s">
        <v>187</v>
      </c>
      <c r="C12" s="3" t="s">
        <v>188</v>
      </c>
      <c r="D12" s="1"/>
      <c r="E12" s="1">
        <f t="shared" si="0"/>
        <v>10.954451150103322</v>
      </c>
      <c r="F12" s="1">
        <f>MAX(12)</f>
        <v>12</v>
      </c>
      <c r="G12" s="1">
        <f t="shared" si="1"/>
        <v>10</v>
      </c>
      <c r="H12" s="1"/>
      <c r="I12" s="1">
        <v>0</v>
      </c>
      <c r="J12" s="1">
        <v>0</v>
      </c>
      <c r="K12" s="1">
        <v>10</v>
      </c>
      <c r="L12" s="1">
        <v>10</v>
      </c>
      <c r="M12" s="1">
        <v>10</v>
      </c>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row>
    <row r="13" spans="1:60" x14ac:dyDescent="0.2">
      <c r="A13" s="3">
        <v>97</v>
      </c>
      <c r="B13" s="3" t="s">
        <v>194</v>
      </c>
      <c r="C13" s="3" t="s">
        <v>195</v>
      </c>
      <c r="D13" s="1"/>
      <c r="E13" s="1">
        <f t="shared" si="0"/>
        <v>13</v>
      </c>
      <c r="F13" s="1">
        <f>MAX(13)</f>
        <v>13</v>
      </c>
      <c r="G13" s="1">
        <f t="shared" si="1"/>
        <v>0</v>
      </c>
      <c r="H13" s="1"/>
      <c r="I13" s="1">
        <v>10</v>
      </c>
      <c r="J13" s="1">
        <v>0</v>
      </c>
      <c r="K13" s="1">
        <v>0</v>
      </c>
      <c r="L13" s="1">
        <v>0</v>
      </c>
      <c r="M13" s="1">
        <v>0</v>
      </c>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row>
    <row r="14" spans="1:60" x14ac:dyDescent="0.2">
      <c r="A14" s="3">
        <v>134</v>
      </c>
      <c r="B14" s="3" t="s">
        <v>202</v>
      </c>
      <c r="C14" s="3" t="s">
        <v>203</v>
      </c>
      <c r="D14" s="1"/>
      <c r="E14" s="1">
        <f t="shared" si="0"/>
        <v>14</v>
      </c>
      <c r="F14" s="1">
        <f>MAX(14)</f>
        <v>14</v>
      </c>
      <c r="G14" s="1">
        <f t="shared" si="1"/>
        <v>0</v>
      </c>
      <c r="H14" s="1"/>
      <c r="I14" s="1">
        <v>0</v>
      </c>
      <c r="J14" s="1">
        <v>0</v>
      </c>
      <c r="K14" s="1">
        <v>0</v>
      </c>
      <c r="L14" s="1"/>
      <c r="M14" s="1">
        <v>0</v>
      </c>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row>
    <row r="15" spans="1:60" x14ac:dyDescent="0.2">
      <c r="A15" s="3">
        <v>166</v>
      </c>
      <c r="B15" s="3" t="s">
        <v>208</v>
      </c>
      <c r="C15" s="3" t="s">
        <v>209</v>
      </c>
      <c r="D15" s="1"/>
      <c r="E15" s="1">
        <f t="shared" si="0"/>
        <v>15</v>
      </c>
      <c r="F15" s="1">
        <f>MAX(15)</f>
        <v>15</v>
      </c>
      <c r="G15" s="1">
        <f t="shared" si="1"/>
        <v>0</v>
      </c>
      <c r="H15" s="1"/>
      <c r="I15" s="1">
        <v>0</v>
      </c>
      <c r="J15" s="1">
        <v>0</v>
      </c>
      <c r="K15" s="1">
        <v>0</v>
      </c>
      <c r="L15" s="1"/>
      <c r="M15" s="1">
        <v>0</v>
      </c>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row>
    <row r="16" spans="1:60" x14ac:dyDescent="0.2">
      <c r="A16" s="3">
        <v>49</v>
      </c>
      <c r="B16" s="3" t="s">
        <v>215</v>
      </c>
      <c r="C16" s="3" t="s">
        <v>216</v>
      </c>
      <c r="D16" s="1"/>
      <c r="E16" s="1">
        <f t="shared" si="0"/>
        <v>12.649110640673518</v>
      </c>
      <c r="F16" s="1">
        <f>MAX(16)</f>
        <v>16</v>
      </c>
      <c r="G16" s="1">
        <f t="shared" si="1"/>
        <v>10</v>
      </c>
      <c r="H16" s="1"/>
      <c r="I16" s="1">
        <v>10</v>
      </c>
      <c r="J16" s="1">
        <v>10</v>
      </c>
      <c r="K16" s="1">
        <v>10</v>
      </c>
      <c r="L16" s="1">
        <v>2.6554890259999699</v>
      </c>
      <c r="M16" s="1">
        <v>10</v>
      </c>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row>
    <row r="17" spans="1:60" x14ac:dyDescent="0.2">
      <c r="A17" s="3">
        <v>95</v>
      </c>
      <c r="B17" s="3" t="s">
        <v>222</v>
      </c>
      <c r="C17" s="3" t="s">
        <v>223</v>
      </c>
      <c r="D17" s="1"/>
      <c r="E17" s="1">
        <f t="shared" si="0"/>
        <v>17</v>
      </c>
      <c r="F17" s="1">
        <f>MAX(17)</f>
        <v>17</v>
      </c>
      <c r="G17" s="1">
        <f t="shared" si="1"/>
        <v>0</v>
      </c>
      <c r="H17" s="1"/>
      <c r="I17" s="1">
        <v>0</v>
      </c>
      <c r="J17" s="1">
        <v>0</v>
      </c>
      <c r="K17" s="1">
        <v>0</v>
      </c>
      <c r="L17" s="1">
        <v>0</v>
      </c>
      <c r="M17" s="1">
        <v>0</v>
      </c>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row>
    <row r="18" spans="1:60" x14ac:dyDescent="0.2">
      <c r="A18" s="3">
        <v>75</v>
      </c>
      <c r="B18" s="3" t="s">
        <v>229</v>
      </c>
      <c r="C18" s="3" t="s">
        <v>230</v>
      </c>
      <c r="D18" s="1"/>
      <c r="E18" s="1">
        <f t="shared" si="0"/>
        <v>18</v>
      </c>
      <c r="F18" s="1">
        <f>MAX(18)</f>
        <v>18</v>
      </c>
      <c r="G18" s="1">
        <f t="shared" si="1"/>
        <v>0</v>
      </c>
      <c r="H18" s="1"/>
      <c r="I18" s="1">
        <v>0</v>
      </c>
      <c r="J18" s="1">
        <v>0</v>
      </c>
      <c r="K18" s="1">
        <v>0</v>
      </c>
      <c r="L18" s="1"/>
      <c r="M18" s="1">
        <v>0</v>
      </c>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row>
    <row r="19" spans="1:60" x14ac:dyDescent="0.2">
      <c r="A19" s="3">
        <v>94</v>
      </c>
      <c r="B19" s="3" t="s">
        <v>233</v>
      </c>
      <c r="C19" s="3" t="s">
        <v>234</v>
      </c>
      <c r="D19" s="1"/>
      <c r="E19" s="1">
        <f t="shared" si="0"/>
        <v>19</v>
      </c>
      <c r="F19" s="1">
        <f>MAX(19)</f>
        <v>19</v>
      </c>
      <c r="G19" s="1">
        <f t="shared" si="1"/>
        <v>0</v>
      </c>
      <c r="H19" s="1"/>
      <c r="I19" s="1">
        <v>0</v>
      </c>
      <c r="J19" s="1">
        <v>0</v>
      </c>
      <c r="K19" s="1">
        <v>0</v>
      </c>
      <c r="L19" s="1">
        <v>0</v>
      </c>
      <c r="M19" s="1">
        <v>0</v>
      </c>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row>
    <row r="20" spans="1:60" x14ac:dyDescent="0.2">
      <c r="A20" s="3">
        <v>70</v>
      </c>
      <c r="B20" s="3" t="s">
        <v>239</v>
      </c>
      <c r="C20" s="3" t="s">
        <v>240</v>
      </c>
      <c r="D20" s="1"/>
      <c r="E20" s="1">
        <f t="shared" si="0"/>
        <v>20</v>
      </c>
      <c r="F20" s="1">
        <f>MAX(20)</f>
        <v>20</v>
      </c>
      <c r="G20" s="1">
        <f t="shared" si="1"/>
        <v>0</v>
      </c>
      <c r="H20" s="1"/>
      <c r="I20" s="1">
        <v>0</v>
      </c>
      <c r="J20" s="1">
        <v>0</v>
      </c>
      <c r="K20" s="1">
        <v>0</v>
      </c>
      <c r="L20" s="1"/>
      <c r="M20" s="1">
        <v>0</v>
      </c>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row>
    <row r="21" spans="1:60" x14ac:dyDescent="0.2">
      <c r="A21" s="3">
        <v>72</v>
      </c>
      <c r="B21" s="3" t="s">
        <v>246</v>
      </c>
      <c r="C21" s="3" t="s">
        <v>247</v>
      </c>
      <c r="D21" s="1"/>
      <c r="E21" s="1">
        <f t="shared" si="0"/>
        <v>5.9666671103749369</v>
      </c>
      <c r="F21" s="1">
        <f>MAX(21)</f>
        <v>21</v>
      </c>
      <c r="G21" s="1">
        <f t="shared" si="1"/>
        <v>1.6952912574300001</v>
      </c>
      <c r="H21" s="1"/>
      <c r="I21" s="1">
        <v>0</v>
      </c>
      <c r="J21" s="1">
        <v>0</v>
      </c>
      <c r="K21" s="1">
        <v>1.6952912574300001</v>
      </c>
      <c r="L21" s="1">
        <v>0</v>
      </c>
      <c r="M21" s="1">
        <v>1.6952912574300001</v>
      </c>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row>
    <row r="22" spans="1:60" x14ac:dyDescent="0.2">
      <c r="A22" s="3">
        <v>18</v>
      </c>
      <c r="B22" s="3" t="s">
        <v>254</v>
      </c>
      <c r="C22" s="3" t="s">
        <v>255</v>
      </c>
      <c r="D22" s="1"/>
      <c r="E22" s="1">
        <f t="shared" si="0"/>
        <v>22</v>
      </c>
      <c r="F22" s="1">
        <f>MAX(22)</f>
        <v>22</v>
      </c>
      <c r="G22" s="1">
        <f t="shared" si="1"/>
        <v>0</v>
      </c>
      <c r="H22" s="1"/>
      <c r="I22" s="1">
        <v>0</v>
      </c>
      <c r="J22" s="1">
        <v>0</v>
      </c>
      <c r="K22" s="1">
        <v>0</v>
      </c>
      <c r="L22" s="1">
        <v>5</v>
      </c>
      <c r="M22" s="1">
        <v>5</v>
      </c>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row>
    <row r="23" spans="1:60" x14ac:dyDescent="0.2">
      <c r="A23" s="3">
        <v>71</v>
      </c>
      <c r="B23" s="3" t="s">
        <v>260</v>
      </c>
      <c r="C23" s="3" t="s">
        <v>261</v>
      </c>
      <c r="D23" s="1"/>
      <c r="E23" s="1">
        <f t="shared" si="0"/>
        <v>23</v>
      </c>
      <c r="F23" s="1">
        <f>MAX(23)</f>
        <v>23</v>
      </c>
      <c r="G23" s="1">
        <f t="shared" si="1"/>
        <v>0</v>
      </c>
      <c r="H23" s="1"/>
      <c r="I23" s="1">
        <v>0</v>
      </c>
      <c r="J23" s="1">
        <v>0</v>
      </c>
      <c r="K23" s="1">
        <v>0</v>
      </c>
      <c r="L23" s="1">
        <v>0</v>
      </c>
      <c r="M23" s="1">
        <v>0</v>
      </c>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row>
    <row r="24" spans="1:60" x14ac:dyDescent="0.2">
      <c r="A24" s="3">
        <v>48</v>
      </c>
      <c r="B24" s="3" t="s">
        <v>267</v>
      </c>
      <c r="C24" s="3" t="s">
        <v>268</v>
      </c>
      <c r="D24" s="1"/>
      <c r="E24" s="1">
        <f t="shared" si="0"/>
        <v>24</v>
      </c>
      <c r="F24" s="1">
        <f>MAX(24)</f>
        <v>24</v>
      </c>
      <c r="G24" s="1">
        <f t="shared" si="1"/>
        <v>0</v>
      </c>
      <c r="H24" s="1"/>
      <c r="I24" s="1">
        <v>0</v>
      </c>
      <c r="J24" s="1">
        <v>0</v>
      </c>
      <c r="K24" s="1">
        <v>0</v>
      </c>
      <c r="L24" s="1"/>
      <c r="M24" s="1">
        <v>0</v>
      </c>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row>
    <row r="25" spans="1:60" x14ac:dyDescent="0.2">
      <c r="A25" s="3">
        <v>19</v>
      </c>
      <c r="B25" s="3" t="s">
        <v>275</v>
      </c>
      <c r="C25" s="3" t="s">
        <v>276</v>
      </c>
      <c r="D25" s="1"/>
      <c r="E25" s="1">
        <f t="shared" si="0"/>
        <v>25</v>
      </c>
      <c r="F25" s="1">
        <f>MAX(25)</f>
        <v>25</v>
      </c>
      <c r="G25" s="1">
        <f t="shared" si="1"/>
        <v>0</v>
      </c>
      <c r="H25" s="1"/>
      <c r="I25" s="1">
        <v>0</v>
      </c>
      <c r="J25" s="1">
        <v>0</v>
      </c>
      <c r="K25" s="1">
        <v>0</v>
      </c>
      <c r="L25" s="1">
        <v>0</v>
      </c>
      <c r="M25" s="1">
        <v>0</v>
      </c>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row>
    <row r="26" spans="1:60" x14ac:dyDescent="0.2">
      <c r="A26" s="3">
        <v>47</v>
      </c>
      <c r="B26" s="3" t="s">
        <v>283</v>
      </c>
      <c r="C26" s="3" t="s">
        <v>284</v>
      </c>
      <c r="D26" s="1"/>
      <c r="E26" s="1">
        <f t="shared" si="0"/>
        <v>26</v>
      </c>
      <c r="F26" s="1">
        <f>MAX(26)</f>
        <v>26</v>
      </c>
      <c r="G26" s="1">
        <f t="shared" si="1"/>
        <v>0</v>
      </c>
      <c r="H26" s="1"/>
      <c r="I26" s="1">
        <v>0</v>
      </c>
      <c r="J26" s="1">
        <v>0</v>
      </c>
      <c r="K26" s="1">
        <v>0</v>
      </c>
      <c r="L26" s="1"/>
      <c r="M26" s="1">
        <v>0</v>
      </c>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row>
    <row r="27" spans="1:60" x14ac:dyDescent="0.2">
      <c r="A27" s="3">
        <v>74</v>
      </c>
      <c r="B27" s="3" t="s">
        <v>289</v>
      </c>
      <c r="C27" s="3" t="s">
        <v>290</v>
      </c>
      <c r="D27" s="1"/>
      <c r="E27" s="1">
        <f t="shared" si="0"/>
        <v>27</v>
      </c>
      <c r="F27" s="1">
        <f>MAX(27)</f>
        <v>27</v>
      </c>
      <c r="G27" s="1">
        <f t="shared" si="1"/>
        <v>0</v>
      </c>
      <c r="H27" s="1"/>
      <c r="I27" s="1">
        <v>0</v>
      </c>
      <c r="J27" s="1">
        <v>0</v>
      </c>
      <c r="K27" s="1"/>
      <c r="L27" s="1"/>
      <c r="M27" s="1">
        <v>0</v>
      </c>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row>
    <row r="28" spans="1:60" x14ac:dyDescent="0.2">
      <c r="A28" s="3">
        <v>96</v>
      </c>
      <c r="B28" s="3" t="s">
        <v>296</v>
      </c>
      <c r="C28" s="3" t="s">
        <v>297</v>
      </c>
      <c r="D28" s="1"/>
      <c r="E28" s="1">
        <f t="shared" si="0"/>
        <v>28</v>
      </c>
      <c r="F28" s="1">
        <f>MAX(28)</f>
        <v>28</v>
      </c>
      <c r="G28" s="1">
        <f t="shared" si="1"/>
        <v>0</v>
      </c>
      <c r="H28" s="1"/>
      <c r="I28" s="1">
        <v>0</v>
      </c>
      <c r="J28" s="1">
        <v>0</v>
      </c>
      <c r="K28" s="1">
        <v>0</v>
      </c>
      <c r="L28" s="1"/>
      <c r="M28" s="1">
        <v>0</v>
      </c>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row>
    <row r="29" spans="1:60" x14ac:dyDescent="0.2">
      <c r="A29" s="3">
        <v>73</v>
      </c>
      <c r="B29" s="3" t="s">
        <v>301</v>
      </c>
      <c r="C29" s="3" t="s">
        <v>302</v>
      </c>
      <c r="D29" s="1"/>
      <c r="E29" s="1">
        <f t="shared" si="0"/>
        <v>29</v>
      </c>
      <c r="F29" s="1">
        <f>MAX(29)</f>
        <v>29</v>
      </c>
      <c r="G29" s="1">
        <f t="shared" si="1"/>
        <v>0</v>
      </c>
      <c r="H29" s="1"/>
      <c r="I29" s="1">
        <v>0</v>
      </c>
      <c r="J29" s="1">
        <v>0</v>
      </c>
      <c r="K29" s="1">
        <v>0</v>
      </c>
      <c r="L29" s="1"/>
      <c r="M29" s="1">
        <v>0</v>
      </c>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row>
    <row r="30" spans="1:60" x14ac:dyDescent="0.2">
      <c r="A30" s="3">
        <v>10</v>
      </c>
      <c r="B30" s="3" t="s">
        <v>307</v>
      </c>
      <c r="C30" s="3" t="s">
        <v>308</v>
      </c>
      <c r="D30" s="1"/>
      <c r="E30" s="1">
        <f t="shared" si="0"/>
        <v>15.946684649838472</v>
      </c>
      <c r="F30" s="1">
        <f>MAX(30)</f>
        <v>30</v>
      </c>
      <c r="G30" s="1">
        <f t="shared" si="1"/>
        <v>8.4765583773797992</v>
      </c>
      <c r="H30" s="1"/>
      <c r="I30" s="1">
        <v>10</v>
      </c>
      <c r="J30" s="1"/>
      <c r="K30" s="1">
        <v>8.4765583773797992</v>
      </c>
      <c r="L30" s="1">
        <v>3.72045285835814</v>
      </c>
      <c r="M30" s="1">
        <v>8.4765583773797992</v>
      </c>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row>
    <row r="31" spans="1:60" x14ac:dyDescent="0.2">
      <c r="A31" s="3">
        <v>167</v>
      </c>
      <c r="B31" s="3" t="s">
        <v>314</v>
      </c>
      <c r="C31" s="3" t="s">
        <v>315</v>
      </c>
      <c r="D31" s="1"/>
      <c r="E31" s="1">
        <f t="shared" si="0"/>
        <v>31</v>
      </c>
      <c r="F31" s="1">
        <f>MAX(31)</f>
        <v>31</v>
      </c>
      <c r="G31" s="1">
        <f t="shared" si="1"/>
        <v>0</v>
      </c>
      <c r="H31" s="1"/>
      <c r="I31" s="1">
        <v>0</v>
      </c>
      <c r="J31" s="1">
        <v>0</v>
      </c>
      <c r="K31" s="1">
        <v>0</v>
      </c>
      <c r="L31" s="1"/>
      <c r="M31" s="1">
        <v>0</v>
      </c>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row>
    <row r="32" spans="1:60" x14ac:dyDescent="0.2">
      <c r="A32" s="3">
        <v>161</v>
      </c>
      <c r="B32" s="3" t="s">
        <v>320</v>
      </c>
      <c r="C32" s="3" t="s">
        <v>321</v>
      </c>
      <c r="D32" s="1"/>
      <c r="E32" s="1">
        <f t="shared" si="0"/>
        <v>32</v>
      </c>
      <c r="F32" s="1">
        <f>MAX(32)</f>
        <v>32</v>
      </c>
      <c r="G32" s="1">
        <f t="shared" si="1"/>
        <v>0</v>
      </c>
      <c r="H32" s="1"/>
      <c r="I32" s="1">
        <v>0</v>
      </c>
      <c r="J32" s="1">
        <v>0</v>
      </c>
      <c r="K32" s="1">
        <v>0</v>
      </c>
      <c r="L32" s="1"/>
      <c r="M32" s="1">
        <v>0</v>
      </c>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row>
    <row r="33" spans="1:60" x14ac:dyDescent="0.2">
      <c r="A33" s="3">
        <v>135</v>
      </c>
      <c r="B33" s="3" t="s">
        <v>325</v>
      </c>
      <c r="C33" s="3" t="s">
        <v>326</v>
      </c>
      <c r="D33" s="1"/>
      <c r="E33" s="1">
        <f t="shared" si="0"/>
        <v>33</v>
      </c>
      <c r="F33" s="1">
        <f>MAX(33)</f>
        <v>33</v>
      </c>
      <c r="G33" s="1">
        <f t="shared" si="1"/>
        <v>0</v>
      </c>
      <c r="H33" s="1"/>
      <c r="I33" s="1">
        <v>0</v>
      </c>
      <c r="J33" s="1">
        <v>0</v>
      </c>
      <c r="K33" s="1">
        <v>0</v>
      </c>
      <c r="L33" s="1"/>
      <c r="M33" s="1">
        <v>0</v>
      </c>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row>
    <row r="34" spans="1:60" x14ac:dyDescent="0.2">
      <c r="A34" s="3">
        <v>99</v>
      </c>
      <c r="B34" s="3" t="s">
        <v>331</v>
      </c>
      <c r="C34" s="3" t="s">
        <v>332</v>
      </c>
      <c r="D34" s="1"/>
      <c r="E34" s="1">
        <f t="shared" si="0"/>
        <v>34</v>
      </c>
      <c r="F34" s="1">
        <f>MAX(34)</f>
        <v>34</v>
      </c>
      <c r="G34" s="1">
        <f t="shared" si="1"/>
        <v>0</v>
      </c>
      <c r="H34" s="1"/>
      <c r="I34" s="1">
        <v>0</v>
      </c>
      <c r="J34" s="1">
        <v>0</v>
      </c>
      <c r="K34" s="1">
        <v>0</v>
      </c>
      <c r="L34" s="1">
        <v>0</v>
      </c>
      <c r="M34" s="1">
        <v>0</v>
      </c>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row>
    <row r="35" spans="1:60" x14ac:dyDescent="0.2">
      <c r="A35" s="3">
        <v>169</v>
      </c>
      <c r="B35" s="3" t="s">
        <v>337</v>
      </c>
      <c r="C35" s="3" t="s">
        <v>338</v>
      </c>
      <c r="D35" s="1"/>
      <c r="E35" s="1">
        <f t="shared" ref="E35:E66" si="2">IFERROR(GEOMEAN(F35, G35), MAX(F35, G35))</f>
        <v>35</v>
      </c>
      <c r="F35" s="1">
        <f>MAX(35)</f>
        <v>35</v>
      </c>
      <c r="G35" s="1">
        <f t="shared" ref="G35:G66" si="3">MAX(J35, K35)</f>
        <v>0</v>
      </c>
      <c r="H35" s="1"/>
      <c r="I35" s="1">
        <v>0</v>
      </c>
      <c r="J35" s="1">
        <v>0</v>
      </c>
      <c r="K35" s="1">
        <v>0</v>
      </c>
      <c r="L35" s="1">
        <v>10</v>
      </c>
      <c r="M35" s="1">
        <v>10</v>
      </c>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row>
    <row r="36" spans="1:60" x14ac:dyDescent="0.2">
      <c r="A36" s="3">
        <v>28</v>
      </c>
      <c r="B36" s="3" t="s">
        <v>343</v>
      </c>
      <c r="C36" s="3" t="s">
        <v>344</v>
      </c>
      <c r="D36" s="1"/>
      <c r="E36" s="1">
        <f t="shared" si="2"/>
        <v>18.973665961010276</v>
      </c>
      <c r="F36" s="1">
        <f>MAX(36)</f>
        <v>36</v>
      </c>
      <c r="G36" s="1">
        <f t="shared" si="3"/>
        <v>10</v>
      </c>
      <c r="H36" s="1"/>
      <c r="I36" s="1">
        <v>10</v>
      </c>
      <c r="J36" s="1">
        <v>0</v>
      </c>
      <c r="K36" s="1">
        <v>10</v>
      </c>
      <c r="L36" s="1">
        <v>0</v>
      </c>
      <c r="M36" s="1">
        <v>10</v>
      </c>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row>
    <row r="37" spans="1:60" x14ac:dyDescent="0.2">
      <c r="A37" s="3">
        <v>30</v>
      </c>
      <c r="B37" s="3" t="s">
        <v>352</v>
      </c>
      <c r="C37" s="3" t="s">
        <v>353</v>
      </c>
      <c r="D37" s="1"/>
      <c r="E37" s="1">
        <f t="shared" si="2"/>
        <v>19.235384061671343</v>
      </c>
      <c r="F37" s="1">
        <f>MAX(37)</f>
        <v>37</v>
      </c>
      <c r="G37" s="1">
        <f t="shared" si="3"/>
        <v>10</v>
      </c>
      <c r="H37" s="1"/>
      <c r="I37" s="1">
        <v>10</v>
      </c>
      <c r="J37" s="1">
        <v>0</v>
      </c>
      <c r="K37" s="1">
        <v>10</v>
      </c>
      <c r="L37" s="1">
        <v>1.7741978843945501</v>
      </c>
      <c r="M37" s="1">
        <v>10</v>
      </c>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row>
    <row r="38" spans="1:60" x14ac:dyDescent="0.2">
      <c r="A38" s="3">
        <v>101</v>
      </c>
      <c r="B38" s="3" t="s">
        <v>360</v>
      </c>
      <c r="C38" s="3" t="s">
        <v>361</v>
      </c>
      <c r="D38" s="1"/>
      <c r="E38" s="1">
        <f t="shared" si="2"/>
        <v>19.493588689617926</v>
      </c>
      <c r="F38" s="1">
        <f>MAX(38)</f>
        <v>38</v>
      </c>
      <c r="G38" s="1">
        <f t="shared" si="3"/>
        <v>10</v>
      </c>
      <c r="H38" s="1"/>
      <c r="I38" s="1">
        <v>10</v>
      </c>
      <c r="J38" s="1">
        <v>10</v>
      </c>
      <c r="K38" s="1">
        <v>10</v>
      </c>
      <c r="L38" s="1"/>
      <c r="M38" s="1">
        <v>10</v>
      </c>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row>
    <row r="39" spans="1:60" x14ac:dyDescent="0.2">
      <c r="A39" s="3">
        <v>29</v>
      </c>
      <c r="B39" s="3" t="s">
        <v>365</v>
      </c>
      <c r="C39" s="3" t="s">
        <v>366</v>
      </c>
      <c r="D39" s="1"/>
      <c r="E39" s="1">
        <f t="shared" si="2"/>
        <v>18.999755118349373</v>
      </c>
      <c r="F39" s="1">
        <f>MAX(39)</f>
        <v>39</v>
      </c>
      <c r="G39" s="1">
        <f t="shared" si="3"/>
        <v>9.2561716553139295</v>
      </c>
      <c r="H39" s="1"/>
      <c r="I39" s="1">
        <v>0</v>
      </c>
      <c r="J39" s="1">
        <v>0</v>
      </c>
      <c r="K39" s="1">
        <v>9.2561716553139295</v>
      </c>
      <c r="L39" s="1">
        <v>1.0990151880964101</v>
      </c>
      <c r="M39" s="1">
        <v>9.2561716553139295</v>
      </c>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row>
    <row r="40" spans="1:60" x14ac:dyDescent="0.2">
      <c r="A40" s="3">
        <v>100</v>
      </c>
      <c r="B40" s="3" t="s">
        <v>373</v>
      </c>
      <c r="C40" s="3" t="s">
        <v>374</v>
      </c>
      <c r="D40" s="1"/>
      <c r="E40" s="1">
        <f t="shared" si="2"/>
        <v>40</v>
      </c>
      <c r="F40" s="1">
        <f>MAX(40)</f>
        <v>40</v>
      </c>
      <c r="G40" s="1">
        <f t="shared" si="3"/>
        <v>0</v>
      </c>
      <c r="H40" s="1"/>
      <c r="I40" s="1">
        <v>10</v>
      </c>
      <c r="J40" s="1">
        <v>0</v>
      </c>
      <c r="K40" s="1">
        <v>0</v>
      </c>
      <c r="L40" s="1"/>
      <c r="M40" s="1">
        <v>0</v>
      </c>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row>
    <row r="41" spans="1:60" x14ac:dyDescent="0.2">
      <c r="A41" s="3">
        <v>20</v>
      </c>
      <c r="B41" s="3" t="s">
        <v>377</v>
      </c>
      <c r="C41" s="3" t="s">
        <v>378</v>
      </c>
      <c r="D41" s="1"/>
      <c r="E41" s="1">
        <f t="shared" si="2"/>
        <v>41</v>
      </c>
      <c r="F41" s="1">
        <f>MAX(41)</f>
        <v>41</v>
      </c>
      <c r="G41" s="1">
        <f t="shared" si="3"/>
        <v>0</v>
      </c>
      <c r="H41" s="1"/>
      <c r="I41" s="1">
        <v>0</v>
      </c>
      <c r="J41" s="1">
        <v>0</v>
      </c>
      <c r="K41" s="1">
        <v>0</v>
      </c>
      <c r="L41" s="1"/>
      <c r="M41" s="1">
        <v>0</v>
      </c>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row>
    <row r="42" spans="1:60" x14ac:dyDescent="0.2">
      <c r="A42" s="3">
        <v>168</v>
      </c>
      <c r="B42" s="3" t="s">
        <v>383</v>
      </c>
      <c r="C42" s="3" t="s">
        <v>384</v>
      </c>
      <c r="D42" s="1"/>
      <c r="E42" s="1">
        <f t="shared" si="2"/>
        <v>42</v>
      </c>
      <c r="F42" s="1">
        <f>MAX(42)</f>
        <v>42</v>
      </c>
      <c r="G42" s="1">
        <f t="shared" si="3"/>
        <v>0</v>
      </c>
      <c r="H42" s="1"/>
      <c r="I42" s="1">
        <v>0</v>
      </c>
      <c r="J42" s="1">
        <v>0</v>
      </c>
      <c r="K42" s="1">
        <v>0</v>
      </c>
      <c r="L42" s="1"/>
      <c r="M42" s="1">
        <v>0</v>
      </c>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row>
    <row r="43" spans="1:60" x14ac:dyDescent="0.2">
      <c r="A43" s="3">
        <v>136</v>
      </c>
      <c r="B43" s="3" t="s">
        <v>390</v>
      </c>
      <c r="C43" s="3" t="s">
        <v>391</v>
      </c>
      <c r="D43" s="1"/>
      <c r="E43" s="1">
        <f t="shared" si="2"/>
        <v>43</v>
      </c>
      <c r="F43" s="1">
        <f>MAX(43)</f>
        <v>43</v>
      </c>
      <c r="G43" s="1">
        <f t="shared" si="3"/>
        <v>0</v>
      </c>
      <c r="H43" s="1"/>
      <c r="I43" s="1">
        <v>0</v>
      </c>
      <c r="J43" s="1">
        <v>0</v>
      </c>
      <c r="K43" s="1">
        <v>0</v>
      </c>
      <c r="L43" s="1"/>
      <c r="M43" s="1">
        <v>0</v>
      </c>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row>
    <row r="44" spans="1:60" x14ac:dyDescent="0.2">
      <c r="A44" s="3">
        <v>76</v>
      </c>
      <c r="B44" s="3" t="s">
        <v>394</v>
      </c>
      <c r="C44" s="3" t="s">
        <v>395</v>
      </c>
      <c r="D44" s="1"/>
      <c r="E44" s="1">
        <f t="shared" si="2"/>
        <v>44</v>
      </c>
      <c r="F44" s="1">
        <f>MAX(44)</f>
        <v>44</v>
      </c>
      <c r="G44" s="1">
        <f t="shared" si="3"/>
        <v>0</v>
      </c>
      <c r="H44" s="1"/>
      <c r="I44" s="1">
        <v>0</v>
      </c>
      <c r="J44" s="1">
        <v>0</v>
      </c>
      <c r="K44" s="1"/>
      <c r="L44" s="1"/>
      <c r="M44" s="1">
        <v>0</v>
      </c>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row>
    <row r="45" spans="1:60" x14ac:dyDescent="0.2">
      <c r="A45" s="3">
        <v>137</v>
      </c>
      <c r="B45" s="3" t="s">
        <v>401</v>
      </c>
      <c r="C45" s="3" t="s">
        <v>402</v>
      </c>
      <c r="D45" s="1"/>
      <c r="E45" s="1">
        <f t="shared" si="2"/>
        <v>45</v>
      </c>
      <c r="F45" s="1">
        <f>MAX(45)</f>
        <v>45</v>
      </c>
      <c r="G45" s="1">
        <f t="shared" si="3"/>
        <v>0</v>
      </c>
      <c r="H45" s="1"/>
      <c r="I45" s="1">
        <v>0</v>
      </c>
      <c r="J45" s="1">
        <v>0</v>
      </c>
      <c r="K45" s="1">
        <v>0</v>
      </c>
      <c r="L45" s="1"/>
      <c r="M45" s="1">
        <v>0</v>
      </c>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row>
    <row r="46" spans="1:60" x14ac:dyDescent="0.2">
      <c r="A46" s="3">
        <v>105</v>
      </c>
      <c r="B46" s="3" t="s">
        <v>406</v>
      </c>
      <c r="C46" s="3" t="s">
        <v>407</v>
      </c>
      <c r="D46" s="1"/>
      <c r="E46" s="1">
        <f t="shared" si="2"/>
        <v>46</v>
      </c>
      <c r="F46" s="1">
        <f>MAX(46)</f>
        <v>46</v>
      </c>
      <c r="G46" s="1">
        <f t="shared" si="3"/>
        <v>0</v>
      </c>
      <c r="H46" s="1"/>
      <c r="I46" s="1">
        <v>0</v>
      </c>
      <c r="J46" s="1">
        <v>0</v>
      </c>
      <c r="K46" s="1">
        <v>0</v>
      </c>
      <c r="L46" s="1">
        <v>0</v>
      </c>
      <c r="M46" s="1">
        <v>0</v>
      </c>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row>
    <row r="47" spans="1:60" x14ac:dyDescent="0.2">
      <c r="A47" s="3">
        <v>77</v>
      </c>
      <c r="B47" s="3" t="s">
        <v>412</v>
      </c>
      <c r="C47" s="3" t="s">
        <v>413</v>
      </c>
      <c r="D47" s="1"/>
      <c r="E47" s="1">
        <f t="shared" si="2"/>
        <v>47</v>
      </c>
      <c r="F47" s="1">
        <f>MAX(47)</f>
        <v>47</v>
      </c>
      <c r="G47" s="1">
        <f t="shared" si="3"/>
        <v>0</v>
      </c>
      <c r="H47" s="1"/>
      <c r="I47" s="1">
        <v>0</v>
      </c>
      <c r="J47" s="1">
        <v>0</v>
      </c>
      <c r="K47" s="1">
        <v>0</v>
      </c>
      <c r="L47" s="1">
        <v>0</v>
      </c>
      <c r="M47" s="1">
        <v>0</v>
      </c>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row>
    <row r="48" spans="1:60" x14ac:dyDescent="0.2">
      <c r="A48" s="3">
        <v>50</v>
      </c>
      <c r="B48" s="3" t="s">
        <v>416</v>
      </c>
      <c r="C48" s="3" t="s">
        <v>417</v>
      </c>
      <c r="D48" s="1"/>
      <c r="E48" s="1">
        <f t="shared" si="2"/>
        <v>48</v>
      </c>
      <c r="F48" s="1">
        <f>MAX(48)</f>
        <v>48</v>
      </c>
      <c r="G48" s="1">
        <f t="shared" si="3"/>
        <v>0</v>
      </c>
      <c r="H48" s="1"/>
      <c r="I48" s="1">
        <v>0</v>
      </c>
      <c r="J48" s="1">
        <v>0</v>
      </c>
      <c r="K48" s="1">
        <v>0</v>
      </c>
      <c r="L48" s="1"/>
      <c r="M48" s="1">
        <v>0</v>
      </c>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row>
    <row r="49" spans="1:60" x14ac:dyDescent="0.2">
      <c r="A49" s="3">
        <v>170</v>
      </c>
      <c r="B49" s="3" t="s">
        <v>421</v>
      </c>
      <c r="C49" s="3" t="s">
        <v>422</v>
      </c>
      <c r="D49" s="1"/>
      <c r="E49" s="1">
        <f t="shared" si="2"/>
        <v>49</v>
      </c>
      <c r="F49" s="1">
        <f>MAX(49)</f>
        <v>49</v>
      </c>
      <c r="G49" s="1">
        <f t="shared" si="3"/>
        <v>0</v>
      </c>
      <c r="H49" s="1"/>
      <c r="I49" s="1">
        <v>0</v>
      </c>
      <c r="J49" s="1">
        <v>0</v>
      </c>
      <c r="K49" s="1">
        <v>0</v>
      </c>
      <c r="L49" s="1"/>
      <c r="M49" s="1">
        <v>0</v>
      </c>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row>
    <row r="50" spans="1:60" x14ac:dyDescent="0.2">
      <c r="A50" s="3">
        <v>138</v>
      </c>
      <c r="B50" s="3" t="s">
        <v>427</v>
      </c>
      <c r="C50" s="3" t="s">
        <v>428</v>
      </c>
      <c r="D50" s="1"/>
      <c r="E50" s="1">
        <f t="shared" si="2"/>
        <v>50</v>
      </c>
      <c r="F50" s="1">
        <f>MAX(50)</f>
        <v>50</v>
      </c>
      <c r="G50" s="1">
        <f t="shared" si="3"/>
        <v>0</v>
      </c>
      <c r="H50" s="1"/>
      <c r="I50" s="1">
        <v>0</v>
      </c>
      <c r="J50" s="1">
        <v>0</v>
      </c>
      <c r="K50" s="1">
        <v>0</v>
      </c>
      <c r="L50" s="1"/>
      <c r="M50" s="1">
        <v>0</v>
      </c>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row>
    <row r="51" spans="1:60" x14ac:dyDescent="0.2">
      <c r="A51" s="3">
        <v>6</v>
      </c>
      <c r="B51" s="3" t="s">
        <v>432</v>
      </c>
      <c r="C51" s="3" t="s">
        <v>433</v>
      </c>
      <c r="D51" s="1"/>
      <c r="E51" s="1">
        <f t="shared" si="2"/>
        <v>51</v>
      </c>
      <c r="F51" s="1">
        <f>MAX(51)</f>
        <v>51</v>
      </c>
      <c r="G51" s="1">
        <f t="shared" si="3"/>
        <v>0</v>
      </c>
      <c r="H51" s="1"/>
      <c r="I51" s="1">
        <v>0</v>
      </c>
      <c r="J51" s="1">
        <v>0</v>
      </c>
      <c r="K51" s="1">
        <v>0</v>
      </c>
      <c r="L51" s="1">
        <v>0</v>
      </c>
      <c r="M51" s="1">
        <v>0</v>
      </c>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row>
    <row r="52" spans="1:60" x14ac:dyDescent="0.2">
      <c r="A52" s="3">
        <v>78</v>
      </c>
      <c r="B52" s="3" t="s">
        <v>438</v>
      </c>
      <c r="C52" s="3" t="s">
        <v>439</v>
      </c>
      <c r="D52" s="1"/>
      <c r="E52" s="1">
        <f t="shared" si="2"/>
        <v>52</v>
      </c>
      <c r="F52" s="1">
        <f>MAX(52)</f>
        <v>52</v>
      </c>
      <c r="G52" s="1">
        <f t="shared" si="3"/>
        <v>0</v>
      </c>
      <c r="H52" s="1"/>
      <c r="I52" s="1">
        <v>0</v>
      </c>
      <c r="J52" s="1">
        <v>0</v>
      </c>
      <c r="K52" s="1">
        <v>0</v>
      </c>
      <c r="L52" s="1"/>
      <c r="M52" s="1">
        <v>0</v>
      </c>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row>
    <row r="53" spans="1:60" x14ac:dyDescent="0.2">
      <c r="A53" s="3">
        <v>51</v>
      </c>
      <c r="B53" s="3" t="s">
        <v>443</v>
      </c>
      <c r="C53" s="3" t="s">
        <v>444</v>
      </c>
      <c r="D53" s="1"/>
      <c r="E53" s="1">
        <f t="shared" si="2"/>
        <v>53</v>
      </c>
      <c r="F53" s="1">
        <f>MAX(53)</f>
        <v>53</v>
      </c>
      <c r="G53" s="1">
        <f t="shared" si="3"/>
        <v>0</v>
      </c>
      <c r="H53" s="1"/>
      <c r="I53" s="1">
        <v>0</v>
      </c>
      <c r="J53" s="1">
        <v>0</v>
      </c>
      <c r="K53" s="1">
        <v>0</v>
      </c>
      <c r="L53" s="1">
        <v>0</v>
      </c>
      <c r="M53" s="1">
        <v>0</v>
      </c>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row>
    <row r="54" spans="1:60" x14ac:dyDescent="0.2">
      <c r="A54" s="3">
        <v>53</v>
      </c>
      <c r="B54" s="3" t="s">
        <v>449</v>
      </c>
      <c r="C54" s="3" t="s">
        <v>450</v>
      </c>
      <c r="D54" s="1"/>
      <c r="E54" s="1">
        <f t="shared" si="2"/>
        <v>54</v>
      </c>
      <c r="F54" s="1">
        <f>MAX(54)</f>
        <v>54</v>
      </c>
      <c r="G54" s="1">
        <f t="shared" si="3"/>
        <v>0</v>
      </c>
      <c r="H54" s="1"/>
      <c r="I54" s="1">
        <v>10</v>
      </c>
      <c r="J54" s="1">
        <v>0</v>
      </c>
      <c r="K54" s="1">
        <v>0</v>
      </c>
      <c r="L54" s="1"/>
      <c r="M54" s="1">
        <v>0</v>
      </c>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row>
    <row r="55" spans="1:60" x14ac:dyDescent="0.2">
      <c r="A55" s="3">
        <v>61</v>
      </c>
      <c r="B55" s="3" t="s">
        <v>453</v>
      </c>
      <c r="C55" s="3" t="s">
        <v>454</v>
      </c>
      <c r="D55" s="1"/>
      <c r="E55" s="1">
        <f t="shared" si="2"/>
        <v>55</v>
      </c>
      <c r="F55" s="1">
        <f>MAX(55)</f>
        <v>55</v>
      </c>
      <c r="G55" s="1">
        <f t="shared" si="3"/>
        <v>0</v>
      </c>
      <c r="H55" s="1"/>
      <c r="I55" s="1">
        <v>0</v>
      </c>
      <c r="J55" s="1">
        <v>0</v>
      </c>
      <c r="K55" s="1">
        <v>0</v>
      </c>
      <c r="L55" s="1">
        <v>0</v>
      </c>
      <c r="M55" s="1">
        <v>0</v>
      </c>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row>
    <row r="56" spans="1:60" x14ac:dyDescent="0.2">
      <c r="A56" s="3">
        <v>139</v>
      </c>
      <c r="B56" s="3" t="s">
        <v>459</v>
      </c>
      <c r="C56" s="3" t="s">
        <v>460</v>
      </c>
      <c r="D56" s="1"/>
      <c r="E56" s="1">
        <f t="shared" si="2"/>
        <v>56</v>
      </c>
      <c r="F56" s="1">
        <f>MAX(56)</f>
        <v>56</v>
      </c>
      <c r="G56" s="1">
        <f t="shared" si="3"/>
        <v>0</v>
      </c>
      <c r="H56" s="1"/>
      <c r="I56" s="1">
        <v>0</v>
      </c>
      <c r="J56" s="1">
        <v>0</v>
      </c>
      <c r="K56" s="1">
        <v>0</v>
      </c>
      <c r="L56" s="1">
        <v>0</v>
      </c>
      <c r="M56" s="1">
        <v>0</v>
      </c>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row>
    <row r="57" spans="1:60" x14ac:dyDescent="0.2">
      <c r="A57" s="3">
        <v>7</v>
      </c>
      <c r="B57" s="3" t="s">
        <v>465</v>
      </c>
      <c r="C57" s="3" t="s">
        <v>466</v>
      </c>
      <c r="D57" s="1"/>
      <c r="E57" s="1">
        <f t="shared" si="2"/>
        <v>20.682829048228403</v>
      </c>
      <c r="F57" s="1">
        <f>MAX(57)</f>
        <v>57</v>
      </c>
      <c r="G57" s="1">
        <f t="shared" si="3"/>
        <v>7.5049020603200098</v>
      </c>
      <c r="H57" s="1"/>
      <c r="I57" s="1">
        <v>0</v>
      </c>
      <c r="J57" s="1">
        <v>0</v>
      </c>
      <c r="K57" s="1">
        <v>7.5049020603200098</v>
      </c>
      <c r="L57" s="1">
        <v>10</v>
      </c>
      <c r="M57" s="1">
        <v>10</v>
      </c>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row>
    <row r="58" spans="1:60" x14ac:dyDescent="0.2">
      <c r="A58" s="3">
        <v>172</v>
      </c>
      <c r="B58" s="3" t="s">
        <v>471</v>
      </c>
      <c r="C58" s="3" t="s">
        <v>472</v>
      </c>
      <c r="D58" s="1"/>
      <c r="E58" s="1">
        <f t="shared" si="2"/>
        <v>58</v>
      </c>
      <c r="F58" s="1">
        <f>MAX(58)</f>
        <v>58</v>
      </c>
      <c r="G58" s="1">
        <f t="shared" si="3"/>
        <v>0</v>
      </c>
      <c r="H58" s="1"/>
      <c r="I58" s="1">
        <v>0</v>
      </c>
      <c r="J58" s="1">
        <v>0</v>
      </c>
      <c r="K58" s="1"/>
      <c r="L58" s="1">
        <v>5</v>
      </c>
      <c r="M58" s="1">
        <v>5</v>
      </c>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row>
    <row r="59" spans="1:60" x14ac:dyDescent="0.2">
      <c r="A59" s="3">
        <v>80</v>
      </c>
      <c r="B59" s="3" t="s">
        <v>476</v>
      </c>
      <c r="C59" s="3" t="s">
        <v>477</v>
      </c>
      <c r="D59" s="1"/>
      <c r="E59" s="1">
        <f t="shared" si="2"/>
        <v>59</v>
      </c>
      <c r="F59" s="1">
        <f>MAX(59)</f>
        <v>59</v>
      </c>
      <c r="G59" s="1">
        <f t="shared" si="3"/>
        <v>0</v>
      </c>
      <c r="H59" s="1"/>
      <c r="I59" s="1">
        <v>0</v>
      </c>
      <c r="J59" s="1">
        <v>0</v>
      </c>
      <c r="K59" s="1">
        <v>0</v>
      </c>
      <c r="L59" s="1"/>
      <c r="M59" s="1">
        <v>0</v>
      </c>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row>
    <row r="60" spans="1:60" x14ac:dyDescent="0.2">
      <c r="A60" s="3">
        <v>102</v>
      </c>
      <c r="B60" s="3" t="s">
        <v>481</v>
      </c>
      <c r="C60" s="3" t="s">
        <v>482</v>
      </c>
      <c r="D60" s="1"/>
      <c r="E60" s="1">
        <f t="shared" si="2"/>
        <v>60</v>
      </c>
      <c r="F60" s="1">
        <f>MAX(60)</f>
        <v>60</v>
      </c>
      <c r="G60" s="1">
        <f t="shared" si="3"/>
        <v>0</v>
      </c>
      <c r="H60" s="1"/>
      <c r="I60" s="1">
        <v>0</v>
      </c>
      <c r="J60" s="1">
        <v>0</v>
      </c>
      <c r="K60" s="1">
        <v>0</v>
      </c>
      <c r="L60" s="1">
        <v>0</v>
      </c>
      <c r="M60" s="1">
        <v>0</v>
      </c>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row>
    <row r="61" spans="1:60" x14ac:dyDescent="0.2">
      <c r="A61" s="3">
        <v>113</v>
      </c>
      <c r="B61" s="3" t="s">
        <v>486</v>
      </c>
      <c r="C61" s="3" t="s">
        <v>487</v>
      </c>
      <c r="D61" s="1"/>
      <c r="E61" s="1">
        <f t="shared" si="2"/>
        <v>61</v>
      </c>
      <c r="F61" s="1">
        <f>MAX(61)</f>
        <v>61</v>
      </c>
      <c r="G61" s="1">
        <f t="shared" si="3"/>
        <v>0</v>
      </c>
      <c r="H61" s="1"/>
      <c r="I61" s="1">
        <v>10</v>
      </c>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row>
    <row r="62" spans="1:60" x14ac:dyDescent="0.2">
      <c r="A62" s="3">
        <v>103</v>
      </c>
      <c r="B62" s="3" t="s">
        <v>488</v>
      </c>
      <c r="C62" s="3" t="s">
        <v>489</v>
      </c>
      <c r="D62" s="1"/>
      <c r="E62" s="1">
        <f t="shared" si="2"/>
        <v>62</v>
      </c>
      <c r="F62" s="1">
        <f>MAX(62)</f>
        <v>62</v>
      </c>
      <c r="G62" s="1">
        <f t="shared" si="3"/>
        <v>0</v>
      </c>
      <c r="H62" s="1"/>
      <c r="I62" s="1">
        <v>0</v>
      </c>
      <c r="J62" s="1">
        <v>0</v>
      </c>
      <c r="K62" s="1">
        <v>0</v>
      </c>
      <c r="L62" s="1"/>
      <c r="M62" s="1">
        <v>0</v>
      </c>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row>
    <row r="63" spans="1:60" x14ac:dyDescent="0.2">
      <c r="A63" s="3">
        <v>189</v>
      </c>
      <c r="B63" s="3" t="s">
        <v>492</v>
      </c>
      <c r="C63" s="3" t="s">
        <v>493</v>
      </c>
      <c r="D63" s="1"/>
      <c r="E63" s="1">
        <f t="shared" si="2"/>
        <v>63</v>
      </c>
      <c r="F63" s="1">
        <f>MAX(63)</f>
        <v>63</v>
      </c>
      <c r="G63" s="1">
        <f t="shared" si="3"/>
        <v>0</v>
      </c>
      <c r="H63" s="1"/>
      <c r="I63" s="1">
        <v>0</v>
      </c>
      <c r="J63" s="1"/>
      <c r="K63" s="1">
        <v>0</v>
      </c>
      <c r="L63" s="1"/>
      <c r="M63" s="1">
        <v>0</v>
      </c>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row>
    <row r="64" spans="1:60" x14ac:dyDescent="0.2">
      <c r="A64" s="3">
        <v>54</v>
      </c>
      <c r="B64" s="3" t="s">
        <v>495</v>
      </c>
      <c r="C64" s="3" t="s">
        <v>496</v>
      </c>
      <c r="D64" s="1"/>
      <c r="E64" s="1">
        <f t="shared" si="2"/>
        <v>25.298221281347036</v>
      </c>
      <c r="F64" s="1">
        <f>MAX(64)</f>
        <v>64</v>
      </c>
      <c r="G64" s="1">
        <f t="shared" si="3"/>
        <v>10</v>
      </c>
      <c r="H64" s="1"/>
      <c r="I64" s="1">
        <v>0</v>
      </c>
      <c r="J64" s="1">
        <v>0</v>
      </c>
      <c r="K64" s="1">
        <v>10</v>
      </c>
      <c r="L64" s="1"/>
      <c r="M64" s="1">
        <v>10</v>
      </c>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row>
    <row r="65" spans="1:60" x14ac:dyDescent="0.2">
      <c r="A65" s="3">
        <v>173</v>
      </c>
      <c r="B65" s="3" t="s">
        <v>501</v>
      </c>
      <c r="C65" s="3" t="s">
        <v>502</v>
      </c>
      <c r="D65" s="1"/>
      <c r="E65" s="1">
        <f t="shared" si="2"/>
        <v>65</v>
      </c>
      <c r="F65" s="1">
        <f>MAX(65)</f>
        <v>65</v>
      </c>
      <c r="G65" s="1">
        <f t="shared" si="3"/>
        <v>0</v>
      </c>
      <c r="H65" s="1"/>
      <c r="I65" s="1">
        <v>0</v>
      </c>
      <c r="J65" s="1">
        <v>0</v>
      </c>
      <c r="K65" s="1">
        <v>0</v>
      </c>
      <c r="L65" s="1"/>
      <c r="M65" s="1">
        <v>0</v>
      </c>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row>
    <row r="66" spans="1:60" x14ac:dyDescent="0.2">
      <c r="A66" s="3">
        <v>32</v>
      </c>
      <c r="B66" s="3" t="s">
        <v>507</v>
      </c>
      <c r="C66" s="3" t="s">
        <v>508</v>
      </c>
      <c r="D66" s="1"/>
      <c r="E66" s="1">
        <f t="shared" si="2"/>
        <v>66</v>
      </c>
      <c r="F66" s="1">
        <f>MAX(66)</f>
        <v>66</v>
      </c>
      <c r="G66" s="1">
        <f t="shared" si="3"/>
        <v>0</v>
      </c>
      <c r="H66" s="1"/>
      <c r="I66" s="1">
        <v>0</v>
      </c>
      <c r="J66" s="1">
        <v>0</v>
      </c>
      <c r="K66" s="1">
        <v>0</v>
      </c>
      <c r="L66" s="1"/>
      <c r="M66" s="1">
        <v>0</v>
      </c>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row>
    <row r="67" spans="1:60" x14ac:dyDescent="0.2">
      <c r="A67" s="3">
        <v>104</v>
      </c>
      <c r="B67" s="3" t="s">
        <v>512</v>
      </c>
      <c r="C67" s="3" t="s">
        <v>513</v>
      </c>
      <c r="D67" s="1"/>
      <c r="E67" s="1">
        <f t="shared" ref="E67:E98" si="4">IFERROR(GEOMEAN(F67, G67), MAX(F67, G67))</f>
        <v>25.88435821108957</v>
      </c>
      <c r="F67" s="1">
        <f>MAX(67)</f>
        <v>67</v>
      </c>
      <c r="G67" s="1">
        <f t="shared" ref="G67:G98" si="5">MAX(J67, K67)</f>
        <v>10</v>
      </c>
      <c r="H67" s="1"/>
      <c r="I67" s="1">
        <v>10</v>
      </c>
      <c r="J67" s="1">
        <v>10</v>
      </c>
      <c r="K67" s="1">
        <v>0</v>
      </c>
      <c r="L67" s="1"/>
      <c r="M67" s="1">
        <v>10</v>
      </c>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row>
    <row r="68" spans="1:60" x14ac:dyDescent="0.2">
      <c r="A68" s="3">
        <v>174</v>
      </c>
      <c r="B68" s="3" t="s">
        <v>517</v>
      </c>
      <c r="C68" s="3" t="s">
        <v>518</v>
      </c>
      <c r="D68" s="1"/>
      <c r="E68" s="1">
        <f t="shared" si="4"/>
        <v>68</v>
      </c>
      <c r="F68" s="1">
        <f>MAX(68)</f>
        <v>68</v>
      </c>
      <c r="G68" s="1">
        <f t="shared" si="5"/>
        <v>0</v>
      </c>
      <c r="H68" s="1"/>
      <c r="I68" s="1">
        <v>10</v>
      </c>
      <c r="J68" s="1">
        <v>0</v>
      </c>
      <c r="K68" s="1">
        <v>0</v>
      </c>
      <c r="L68" s="1"/>
      <c r="M68" s="1">
        <v>0</v>
      </c>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row>
    <row r="69" spans="1:60" x14ac:dyDescent="0.2">
      <c r="A69" s="3">
        <v>79</v>
      </c>
      <c r="B69" s="3" t="s">
        <v>522</v>
      </c>
      <c r="C69" s="3" t="s">
        <v>523</v>
      </c>
      <c r="D69" s="1"/>
      <c r="E69" s="1">
        <f t="shared" si="4"/>
        <v>69</v>
      </c>
      <c r="F69" s="1">
        <f>MAX(69)</f>
        <v>69</v>
      </c>
      <c r="G69" s="1">
        <f t="shared" si="5"/>
        <v>0</v>
      </c>
      <c r="H69" s="1"/>
      <c r="I69" s="1">
        <v>0</v>
      </c>
      <c r="J69" s="1">
        <v>0</v>
      </c>
      <c r="K69" s="1">
        <v>0</v>
      </c>
      <c r="L69" s="1"/>
      <c r="M69" s="1">
        <v>0</v>
      </c>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row>
    <row r="70" spans="1:60" x14ac:dyDescent="0.2">
      <c r="A70" s="3">
        <v>81</v>
      </c>
      <c r="B70" s="3" t="s">
        <v>525</v>
      </c>
      <c r="C70" s="3" t="s">
        <v>526</v>
      </c>
      <c r="D70" s="1"/>
      <c r="E70" s="1">
        <f t="shared" si="4"/>
        <v>70</v>
      </c>
      <c r="F70" s="1">
        <f>MAX(70)</f>
        <v>70</v>
      </c>
      <c r="G70" s="1">
        <f t="shared" si="5"/>
        <v>0</v>
      </c>
      <c r="H70" s="1"/>
      <c r="I70" s="1">
        <v>0</v>
      </c>
      <c r="J70" s="1">
        <v>0</v>
      </c>
      <c r="K70" s="1">
        <v>0</v>
      </c>
      <c r="L70" s="1"/>
      <c r="M70" s="1">
        <v>0</v>
      </c>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row>
    <row r="71" spans="1:60" x14ac:dyDescent="0.2">
      <c r="A71" s="3">
        <v>31</v>
      </c>
      <c r="B71" s="3" t="s">
        <v>531</v>
      </c>
      <c r="C71" s="3" t="s">
        <v>532</v>
      </c>
      <c r="D71" s="1"/>
      <c r="E71" s="1">
        <f t="shared" si="4"/>
        <v>71</v>
      </c>
      <c r="F71" s="1">
        <f>MAX(71)</f>
        <v>71</v>
      </c>
      <c r="G71" s="1">
        <f t="shared" si="5"/>
        <v>0</v>
      </c>
      <c r="H71" s="1"/>
      <c r="I71" s="1">
        <v>0</v>
      </c>
      <c r="J71" s="1">
        <v>0</v>
      </c>
      <c r="K71" s="1">
        <v>0</v>
      </c>
      <c r="L71" s="1"/>
      <c r="M71" s="1">
        <v>0</v>
      </c>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row>
    <row r="72" spans="1:60" x14ac:dyDescent="0.2">
      <c r="A72" s="3">
        <v>55</v>
      </c>
      <c r="B72" s="3" t="s">
        <v>534</v>
      </c>
      <c r="C72" s="3" t="s">
        <v>535</v>
      </c>
      <c r="D72" s="1"/>
      <c r="E72" s="1">
        <f t="shared" si="4"/>
        <v>72</v>
      </c>
      <c r="F72" s="1">
        <f>MAX(72)</f>
        <v>72</v>
      </c>
      <c r="G72" s="1">
        <f t="shared" si="5"/>
        <v>0</v>
      </c>
      <c r="H72" s="1"/>
      <c r="I72" s="1">
        <v>0</v>
      </c>
      <c r="J72" s="1">
        <v>0</v>
      </c>
      <c r="K72" s="1">
        <v>0</v>
      </c>
      <c r="L72" s="1"/>
      <c r="M72" s="1">
        <v>0</v>
      </c>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row>
    <row r="73" spans="1:60" x14ac:dyDescent="0.2">
      <c r="A73" s="3">
        <v>82</v>
      </c>
      <c r="B73" s="3" t="s">
        <v>539</v>
      </c>
      <c r="C73" s="3" t="s">
        <v>540</v>
      </c>
      <c r="D73" s="1"/>
      <c r="E73" s="1">
        <f t="shared" si="4"/>
        <v>73</v>
      </c>
      <c r="F73" s="1">
        <f>MAX(73)</f>
        <v>73</v>
      </c>
      <c r="G73" s="1">
        <f t="shared" si="5"/>
        <v>0</v>
      </c>
      <c r="H73" s="1"/>
      <c r="I73" s="1">
        <v>0</v>
      </c>
      <c r="J73" s="1">
        <v>0</v>
      </c>
      <c r="K73" s="1">
        <v>0</v>
      </c>
      <c r="L73" s="1"/>
      <c r="M73" s="1">
        <v>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row>
    <row r="74" spans="1:60" x14ac:dyDescent="0.2">
      <c r="A74" s="3">
        <v>22</v>
      </c>
      <c r="B74" s="3" t="s">
        <v>543</v>
      </c>
      <c r="C74" s="3" t="s">
        <v>544</v>
      </c>
      <c r="D74" s="1"/>
      <c r="E74" s="1">
        <f t="shared" si="4"/>
        <v>27.202941017470884</v>
      </c>
      <c r="F74" s="1">
        <f>MAX(74)</f>
        <v>74</v>
      </c>
      <c r="G74" s="1">
        <f t="shared" si="5"/>
        <v>10</v>
      </c>
      <c r="H74" s="1"/>
      <c r="I74" s="1">
        <v>0</v>
      </c>
      <c r="J74" s="1">
        <v>0</v>
      </c>
      <c r="K74" s="1">
        <v>10</v>
      </c>
      <c r="L74" s="1">
        <v>0</v>
      </c>
      <c r="M74" s="1">
        <v>10</v>
      </c>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row>
    <row r="75" spans="1:60" x14ac:dyDescent="0.2">
      <c r="A75" s="3">
        <v>12</v>
      </c>
      <c r="B75" s="3" t="s">
        <v>549</v>
      </c>
      <c r="C75" s="3" t="s">
        <v>550</v>
      </c>
      <c r="D75" s="1"/>
      <c r="E75" s="1">
        <f t="shared" si="4"/>
        <v>75</v>
      </c>
      <c r="F75" s="1">
        <f>MAX(75)</f>
        <v>75</v>
      </c>
      <c r="G75" s="1">
        <f t="shared" si="5"/>
        <v>0</v>
      </c>
      <c r="H75" s="1"/>
      <c r="I75" s="1">
        <v>0</v>
      </c>
      <c r="J75" s="1">
        <v>0</v>
      </c>
      <c r="K75" s="1">
        <v>0</v>
      </c>
      <c r="L75" s="1"/>
      <c r="M75" s="1">
        <v>0</v>
      </c>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row>
    <row r="76" spans="1:60" x14ac:dyDescent="0.2">
      <c r="A76" s="3">
        <v>21</v>
      </c>
      <c r="B76" s="3" t="s">
        <v>555</v>
      </c>
      <c r="C76" s="3" t="s">
        <v>556</v>
      </c>
      <c r="D76" s="1"/>
      <c r="E76" s="1">
        <f t="shared" si="4"/>
        <v>76</v>
      </c>
      <c r="F76" s="1">
        <f>MAX(76)</f>
        <v>76</v>
      </c>
      <c r="G76" s="1">
        <f t="shared" si="5"/>
        <v>0</v>
      </c>
      <c r="H76" s="1"/>
      <c r="I76" s="1">
        <v>10</v>
      </c>
      <c r="J76" s="1">
        <v>0</v>
      </c>
      <c r="K76" s="1">
        <v>0</v>
      </c>
      <c r="L76" s="1">
        <v>2.8583260679009501</v>
      </c>
      <c r="M76" s="1">
        <v>2.8583260679009501</v>
      </c>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row>
    <row r="77" spans="1:60" x14ac:dyDescent="0.2">
      <c r="A77" s="3">
        <v>83</v>
      </c>
      <c r="B77" s="3" t="s">
        <v>562</v>
      </c>
      <c r="C77" s="3" t="s">
        <v>563</v>
      </c>
      <c r="D77" s="1"/>
      <c r="E77" s="1">
        <f t="shared" si="4"/>
        <v>77</v>
      </c>
      <c r="F77" s="1">
        <f>MAX(77)</f>
        <v>77</v>
      </c>
      <c r="G77" s="1">
        <f t="shared" si="5"/>
        <v>0</v>
      </c>
      <c r="H77" s="1"/>
      <c r="I77" s="1">
        <v>0</v>
      </c>
      <c r="J77" s="1">
        <v>0</v>
      </c>
      <c r="K77" s="1">
        <v>0</v>
      </c>
      <c r="L77" s="1"/>
      <c r="M77" s="1">
        <v>0</v>
      </c>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row>
    <row r="78" spans="1:60" x14ac:dyDescent="0.2">
      <c r="A78" s="3">
        <v>175</v>
      </c>
      <c r="B78" s="3" t="s">
        <v>567</v>
      </c>
      <c r="C78" s="3" t="s">
        <v>568</v>
      </c>
      <c r="D78" s="1"/>
      <c r="E78" s="1">
        <f t="shared" si="4"/>
        <v>78</v>
      </c>
      <c r="F78" s="1">
        <f>MAX(78)</f>
        <v>78</v>
      </c>
      <c r="G78" s="1">
        <f t="shared" si="5"/>
        <v>0</v>
      </c>
      <c r="H78" s="1"/>
      <c r="I78" s="1">
        <v>0</v>
      </c>
      <c r="J78" s="1">
        <v>0</v>
      </c>
      <c r="K78" s="1">
        <v>0</v>
      </c>
      <c r="L78" s="1"/>
      <c r="M78" s="1">
        <v>0</v>
      </c>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row>
    <row r="79" spans="1:60" x14ac:dyDescent="0.2">
      <c r="A79" s="3">
        <v>141</v>
      </c>
      <c r="B79" s="3" t="s">
        <v>571</v>
      </c>
      <c r="C79" s="3" t="s">
        <v>572</v>
      </c>
      <c r="D79" s="1"/>
      <c r="E79" s="1">
        <f t="shared" si="4"/>
        <v>79</v>
      </c>
      <c r="F79" s="1">
        <f>MAX(79)</f>
        <v>79</v>
      </c>
      <c r="G79" s="1">
        <f t="shared" si="5"/>
        <v>0</v>
      </c>
      <c r="H79" s="1"/>
      <c r="I79" s="1">
        <v>0</v>
      </c>
      <c r="J79" s="1">
        <v>0</v>
      </c>
      <c r="K79" s="1">
        <v>0</v>
      </c>
      <c r="L79" s="1">
        <v>0</v>
      </c>
      <c r="M79" s="1">
        <v>0</v>
      </c>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row>
    <row r="80" spans="1:60" x14ac:dyDescent="0.2">
      <c r="A80" s="3">
        <v>142</v>
      </c>
      <c r="B80" s="3" t="s">
        <v>577</v>
      </c>
      <c r="C80" s="3" t="s">
        <v>578</v>
      </c>
      <c r="D80" s="1"/>
      <c r="E80" s="1">
        <f t="shared" si="4"/>
        <v>80</v>
      </c>
      <c r="F80" s="1">
        <f>MAX(80)</f>
        <v>80</v>
      </c>
      <c r="G80" s="1">
        <f t="shared" si="5"/>
        <v>0</v>
      </c>
      <c r="H80" s="1"/>
      <c r="I80" s="1">
        <v>0</v>
      </c>
      <c r="J80" s="1">
        <v>0</v>
      </c>
      <c r="K80" s="1"/>
      <c r="L80" s="1">
        <v>0</v>
      </c>
      <c r="M80" s="1">
        <v>0</v>
      </c>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row>
    <row r="81" spans="1:60" x14ac:dyDescent="0.2">
      <c r="A81" s="3">
        <v>33</v>
      </c>
      <c r="B81" s="3" t="s">
        <v>581</v>
      </c>
      <c r="C81" s="3" t="s">
        <v>582</v>
      </c>
      <c r="D81" s="1"/>
      <c r="E81" s="1">
        <f t="shared" si="4"/>
        <v>81</v>
      </c>
      <c r="F81" s="1">
        <f>MAX(81)</f>
        <v>81</v>
      </c>
      <c r="G81" s="1">
        <f t="shared" si="5"/>
        <v>0</v>
      </c>
      <c r="H81" s="1"/>
      <c r="I81" s="1">
        <v>0</v>
      </c>
      <c r="J81" s="1">
        <v>0</v>
      </c>
      <c r="K81" s="1">
        <v>0</v>
      </c>
      <c r="L81" s="1">
        <v>1.45422691536203</v>
      </c>
      <c r="M81" s="1">
        <v>1.45422691536203</v>
      </c>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row>
    <row r="82" spans="1:60" x14ac:dyDescent="0.2">
      <c r="A82" s="3">
        <v>8</v>
      </c>
      <c r="B82" s="3" t="s">
        <v>588</v>
      </c>
      <c r="C82" s="3" t="s">
        <v>589</v>
      </c>
      <c r="D82" s="1"/>
      <c r="E82" s="1">
        <f t="shared" si="4"/>
        <v>28.635642126552707</v>
      </c>
      <c r="F82" s="1">
        <f>MAX(82)</f>
        <v>82</v>
      </c>
      <c r="G82" s="1">
        <f t="shared" si="5"/>
        <v>10</v>
      </c>
      <c r="H82" s="1"/>
      <c r="I82" s="1">
        <v>10</v>
      </c>
      <c r="J82" s="1">
        <v>10</v>
      </c>
      <c r="K82" s="1">
        <v>0</v>
      </c>
      <c r="L82" s="1">
        <v>0</v>
      </c>
      <c r="M82" s="1">
        <v>10</v>
      </c>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row>
    <row r="83" spans="1:60" x14ac:dyDescent="0.2">
      <c r="A83" s="3">
        <v>140</v>
      </c>
      <c r="B83" s="3" t="s">
        <v>593</v>
      </c>
      <c r="C83" s="3" t="s">
        <v>594</v>
      </c>
      <c r="D83" s="1"/>
      <c r="E83" s="1">
        <f t="shared" si="4"/>
        <v>83</v>
      </c>
      <c r="F83" s="1">
        <f>MAX(83)</f>
        <v>83</v>
      </c>
      <c r="G83" s="1">
        <f t="shared" si="5"/>
        <v>0</v>
      </c>
      <c r="H83" s="1"/>
      <c r="I83" s="1">
        <v>0</v>
      </c>
      <c r="J83" s="1">
        <v>0</v>
      </c>
      <c r="K83" s="1">
        <v>0</v>
      </c>
      <c r="L83" s="1"/>
      <c r="M83" s="1">
        <v>0</v>
      </c>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row>
    <row r="84" spans="1:60" x14ac:dyDescent="0.2">
      <c r="A84" s="3">
        <v>143</v>
      </c>
      <c r="B84" s="3" t="s">
        <v>598</v>
      </c>
      <c r="C84" s="3" t="s">
        <v>599</v>
      </c>
      <c r="D84" s="1"/>
      <c r="E84" s="1">
        <f t="shared" si="4"/>
        <v>84</v>
      </c>
      <c r="F84" s="1">
        <f>MAX(84)</f>
        <v>84</v>
      </c>
      <c r="G84" s="1">
        <f t="shared" si="5"/>
        <v>0</v>
      </c>
      <c r="H84" s="1"/>
      <c r="I84" s="1">
        <v>0</v>
      </c>
      <c r="J84" s="1">
        <v>0</v>
      </c>
      <c r="K84" s="1">
        <v>0</v>
      </c>
      <c r="L84" s="1"/>
      <c r="M84" s="1">
        <v>0</v>
      </c>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row>
    <row r="85" spans="1:60" x14ac:dyDescent="0.2">
      <c r="A85" s="3">
        <v>144</v>
      </c>
      <c r="B85" s="3" t="s">
        <v>605</v>
      </c>
      <c r="C85" s="3" t="s">
        <v>606</v>
      </c>
      <c r="D85" s="1"/>
      <c r="E85" s="1">
        <f t="shared" si="4"/>
        <v>85</v>
      </c>
      <c r="F85" s="1">
        <f>MAX(85)</f>
        <v>85</v>
      </c>
      <c r="G85" s="1">
        <f t="shared" si="5"/>
        <v>0</v>
      </c>
      <c r="H85" s="1"/>
      <c r="I85" s="1">
        <v>0</v>
      </c>
      <c r="J85" s="1">
        <v>0</v>
      </c>
      <c r="K85" s="1">
        <v>0</v>
      </c>
      <c r="L85" s="1">
        <v>0</v>
      </c>
      <c r="M85" s="1">
        <v>0</v>
      </c>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row>
    <row r="86" spans="1:60" x14ac:dyDescent="0.2">
      <c r="A86" s="3">
        <v>176</v>
      </c>
      <c r="B86" s="3" t="s">
        <v>609</v>
      </c>
      <c r="C86" s="3" t="s">
        <v>610</v>
      </c>
      <c r="D86" s="1"/>
      <c r="E86" s="1">
        <f t="shared" si="4"/>
        <v>86</v>
      </c>
      <c r="F86" s="1">
        <f>MAX(86)</f>
        <v>86</v>
      </c>
      <c r="G86" s="1">
        <f t="shared" si="5"/>
        <v>0</v>
      </c>
      <c r="H86" s="1"/>
      <c r="I86" s="1">
        <v>0</v>
      </c>
      <c r="J86" s="1">
        <v>0</v>
      </c>
      <c r="K86" s="1">
        <v>0</v>
      </c>
      <c r="L86" s="1"/>
      <c r="M86" s="1">
        <v>0</v>
      </c>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row>
    <row r="87" spans="1:60" x14ac:dyDescent="0.2">
      <c r="A87" s="3">
        <v>146</v>
      </c>
      <c r="B87" s="3" t="s">
        <v>614</v>
      </c>
      <c r="C87" s="3" t="s">
        <v>615</v>
      </c>
      <c r="D87" s="1"/>
      <c r="E87" s="1">
        <f t="shared" si="4"/>
        <v>87</v>
      </c>
      <c r="F87" s="1">
        <f>MAX(87)</f>
        <v>87</v>
      </c>
      <c r="G87" s="1">
        <f t="shared" si="5"/>
        <v>0</v>
      </c>
      <c r="H87" s="1"/>
      <c r="I87" s="1">
        <v>0</v>
      </c>
      <c r="J87" s="1">
        <v>0</v>
      </c>
      <c r="K87" s="1">
        <v>0</v>
      </c>
      <c r="L87" s="1"/>
      <c r="M87" s="1">
        <v>0</v>
      </c>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row>
    <row r="88" spans="1:60" x14ac:dyDescent="0.2">
      <c r="A88" s="3">
        <v>145</v>
      </c>
      <c r="B88" s="3" t="s">
        <v>619</v>
      </c>
      <c r="C88" s="3" t="s">
        <v>620</v>
      </c>
      <c r="D88" s="1"/>
      <c r="E88" s="1">
        <f t="shared" si="4"/>
        <v>88</v>
      </c>
      <c r="F88" s="1">
        <f>MAX(88)</f>
        <v>88</v>
      </c>
      <c r="G88" s="1">
        <f t="shared" si="5"/>
        <v>0</v>
      </c>
      <c r="H88" s="1"/>
      <c r="I88" s="1">
        <v>0</v>
      </c>
      <c r="J88" s="1">
        <v>0</v>
      </c>
      <c r="K88" s="1">
        <v>0</v>
      </c>
      <c r="L88" s="1">
        <v>0</v>
      </c>
      <c r="M88" s="1">
        <v>0</v>
      </c>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row>
    <row r="89" spans="1:60" x14ac:dyDescent="0.2">
      <c r="A89" s="3">
        <v>84</v>
      </c>
      <c r="B89" s="3" t="s">
        <v>623</v>
      </c>
      <c r="C89" s="3" t="s">
        <v>624</v>
      </c>
      <c r="D89" s="1"/>
      <c r="E89" s="1">
        <f t="shared" si="4"/>
        <v>89</v>
      </c>
      <c r="F89" s="1">
        <f>MAX(89)</f>
        <v>89</v>
      </c>
      <c r="G89" s="1">
        <f t="shared" si="5"/>
        <v>0</v>
      </c>
      <c r="H89" s="1"/>
      <c r="I89" s="1">
        <v>0</v>
      </c>
      <c r="J89" s="1">
        <v>0</v>
      </c>
      <c r="K89" s="1">
        <v>0</v>
      </c>
      <c r="L89" s="1">
        <v>0</v>
      </c>
      <c r="M89" s="1">
        <v>0</v>
      </c>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row>
    <row r="90" spans="1:60" x14ac:dyDescent="0.2">
      <c r="A90" s="3">
        <v>34</v>
      </c>
      <c r="B90" s="3" t="s">
        <v>626</v>
      </c>
      <c r="C90" s="3" t="s">
        <v>627</v>
      </c>
      <c r="D90" s="1"/>
      <c r="E90" s="1">
        <f t="shared" si="4"/>
        <v>90</v>
      </c>
      <c r="F90" s="1">
        <f>MAX(90)</f>
        <v>90</v>
      </c>
      <c r="G90" s="1">
        <f t="shared" si="5"/>
        <v>0</v>
      </c>
      <c r="H90" s="1"/>
      <c r="I90" s="1">
        <v>0</v>
      </c>
      <c r="J90" s="1">
        <v>0</v>
      </c>
      <c r="K90" s="1">
        <v>0</v>
      </c>
      <c r="L90" s="1">
        <v>0</v>
      </c>
      <c r="M90" s="1">
        <v>0</v>
      </c>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row>
    <row r="91" spans="1:60" x14ac:dyDescent="0.2">
      <c r="A91" s="3">
        <v>178</v>
      </c>
      <c r="B91" s="3" t="s">
        <v>631</v>
      </c>
      <c r="C91" s="3" t="s">
        <v>632</v>
      </c>
      <c r="D91" s="1"/>
      <c r="E91" s="1">
        <f t="shared" si="4"/>
        <v>91</v>
      </c>
      <c r="F91" s="1">
        <f>MAX(91)</f>
        <v>91</v>
      </c>
      <c r="G91" s="1">
        <f t="shared" si="5"/>
        <v>0</v>
      </c>
      <c r="H91" s="1"/>
      <c r="I91" s="1">
        <v>0</v>
      </c>
      <c r="J91" s="1">
        <v>0</v>
      </c>
      <c r="K91" s="1">
        <v>0</v>
      </c>
      <c r="L91" s="1"/>
      <c r="M91" s="1">
        <v>0</v>
      </c>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row>
    <row r="92" spans="1:60" x14ac:dyDescent="0.2">
      <c r="A92" s="3">
        <v>98</v>
      </c>
      <c r="B92" s="3" t="s">
        <v>637</v>
      </c>
      <c r="C92" s="3" t="s">
        <v>638</v>
      </c>
      <c r="D92" s="1"/>
      <c r="E92" s="1">
        <f t="shared" si="4"/>
        <v>92</v>
      </c>
      <c r="F92" s="1">
        <f>MAX(92)</f>
        <v>92</v>
      </c>
      <c r="G92" s="1">
        <f t="shared" si="5"/>
        <v>0</v>
      </c>
      <c r="H92" s="1"/>
      <c r="I92" s="1">
        <v>0</v>
      </c>
      <c r="J92" s="1">
        <v>0</v>
      </c>
      <c r="K92" s="1">
        <v>0</v>
      </c>
      <c r="L92" s="1"/>
      <c r="M92" s="1">
        <v>0</v>
      </c>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row>
    <row r="93" spans="1:60" x14ac:dyDescent="0.2">
      <c r="A93" s="3">
        <v>106</v>
      </c>
      <c r="B93" s="3" t="s">
        <v>640</v>
      </c>
      <c r="C93" s="3" t="s">
        <v>641</v>
      </c>
      <c r="D93" s="1"/>
      <c r="E93" s="1">
        <f t="shared" si="4"/>
        <v>93</v>
      </c>
      <c r="F93" s="1">
        <f>MAX(93)</f>
        <v>93</v>
      </c>
      <c r="G93" s="1">
        <f t="shared" si="5"/>
        <v>0</v>
      </c>
      <c r="H93" s="1"/>
      <c r="I93" s="1">
        <v>10</v>
      </c>
      <c r="J93" s="1">
        <v>0</v>
      </c>
      <c r="K93" s="1"/>
      <c r="L93" s="1"/>
      <c r="M93" s="1">
        <v>0</v>
      </c>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row>
    <row r="94" spans="1:60" x14ac:dyDescent="0.2">
      <c r="A94" s="3">
        <v>156</v>
      </c>
      <c r="B94" s="3" t="s">
        <v>644</v>
      </c>
      <c r="C94" s="3" t="s">
        <v>645</v>
      </c>
      <c r="D94" s="1"/>
      <c r="E94" s="1">
        <f t="shared" si="4"/>
        <v>94</v>
      </c>
      <c r="F94" s="1">
        <f>MAX(94)</f>
        <v>94</v>
      </c>
      <c r="G94" s="1">
        <f t="shared" si="5"/>
        <v>0</v>
      </c>
      <c r="H94" s="1"/>
      <c r="I94" s="1">
        <v>0</v>
      </c>
      <c r="J94" s="1">
        <v>0</v>
      </c>
      <c r="K94" s="1">
        <v>0</v>
      </c>
      <c r="L94" s="1"/>
      <c r="M94" s="1">
        <v>0</v>
      </c>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row>
    <row r="95" spans="1:60" x14ac:dyDescent="0.2">
      <c r="A95" s="3">
        <v>177</v>
      </c>
      <c r="B95" s="3" t="s">
        <v>648</v>
      </c>
      <c r="C95" s="3" t="s">
        <v>649</v>
      </c>
      <c r="D95" s="1"/>
      <c r="E95" s="1">
        <f t="shared" si="4"/>
        <v>95</v>
      </c>
      <c r="F95" s="1">
        <f>MAX(95)</f>
        <v>95</v>
      </c>
      <c r="G95" s="1">
        <f t="shared" si="5"/>
        <v>0</v>
      </c>
      <c r="H95" s="1"/>
      <c r="I95" s="1">
        <v>0</v>
      </c>
      <c r="J95" s="1">
        <v>0</v>
      </c>
      <c r="K95" s="1">
        <v>0</v>
      </c>
      <c r="L95" s="1">
        <v>0</v>
      </c>
      <c r="M95" s="1">
        <v>0</v>
      </c>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row>
    <row r="96" spans="1:60" x14ac:dyDescent="0.2">
      <c r="A96" s="3">
        <v>108</v>
      </c>
      <c r="B96" s="3" t="s">
        <v>653</v>
      </c>
      <c r="C96" s="3" t="s">
        <v>654</v>
      </c>
      <c r="D96" s="1"/>
      <c r="E96" s="1">
        <f t="shared" si="4"/>
        <v>96</v>
      </c>
      <c r="F96" s="1">
        <f>MAX(96)</f>
        <v>96</v>
      </c>
      <c r="G96" s="1">
        <f t="shared" si="5"/>
        <v>0</v>
      </c>
      <c r="H96" s="1"/>
      <c r="I96" s="1">
        <v>0</v>
      </c>
      <c r="J96" s="1">
        <v>0</v>
      </c>
      <c r="K96" s="1">
        <v>0</v>
      </c>
      <c r="L96" s="1"/>
      <c r="M96" s="1">
        <v>0</v>
      </c>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row>
    <row r="97" spans="1:60" x14ac:dyDescent="0.2">
      <c r="A97" s="3">
        <v>179</v>
      </c>
      <c r="B97" s="3" t="s">
        <v>658</v>
      </c>
      <c r="C97" s="3" t="s">
        <v>659</v>
      </c>
      <c r="D97" s="1"/>
      <c r="E97" s="1">
        <f t="shared" si="4"/>
        <v>31.144823004794873</v>
      </c>
      <c r="F97" s="1">
        <f>MAX(97)</f>
        <v>97</v>
      </c>
      <c r="G97" s="1">
        <f t="shared" si="5"/>
        <v>10</v>
      </c>
      <c r="H97" s="1"/>
      <c r="I97" s="1">
        <v>10</v>
      </c>
      <c r="J97" s="1">
        <v>10</v>
      </c>
      <c r="K97" s="1">
        <v>0</v>
      </c>
      <c r="L97" s="1"/>
      <c r="M97" s="1">
        <v>10</v>
      </c>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row>
    <row r="98" spans="1:60" x14ac:dyDescent="0.2">
      <c r="A98" s="3">
        <v>13</v>
      </c>
      <c r="B98" s="3" t="s">
        <v>661</v>
      </c>
      <c r="C98" s="3" t="s">
        <v>662</v>
      </c>
      <c r="D98" s="1"/>
      <c r="E98" s="1">
        <f t="shared" si="4"/>
        <v>98</v>
      </c>
      <c r="F98" s="1">
        <f>MAX(98)</f>
        <v>98</v>
      </c>
      <c r="G98" s="1">
        <f t="shared" si="5"/>
        <v>0</v>
      </c>
      <c r="H98" s="1"/>
      <c r="I98" s="1">
        <v>10</v>
      </c>
      <c r="J98" s="1">
        <v>0</v>
      </c>
      <c r="K98" s="1">
        <v>0</v>
      </c>
      <c r="L98" s="1">
        <v>5.2255102669502103</v>
      </c>
      <c r="M98" s="1">
        <v>5.2255102669502103</v>
      </c>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row>
    <row r="99" spans="1:60" x14ac:dyDescent="0.2">
      <c r="A99" s="3">
        <v>148</v>
      </c>
      <c r="B99" s="3" t="s">
        <v>667</v>
      </c>
      <c r="C99" s="3" t="s">
        <v>668</v>
      </c>
      <c r="D99" s="1"/>
      <c r="E99" s="1">
        <f t="shared" ref="E99:E130" si="6">IFERROR(GEOMEAN(F99, G99), MAX(F99, G99))</f>
        <v>99</v>
      </c>
      <c r="F99" s="1">
        <f>MAX(99)</f>
        <v>99</v>
      </c>
      <c r="G99" s="1">
        <f t="shared" ref="G99:G130" si="7">MAX(J99, K99)</f>
        <v>0</v>
      </c>
      <c r="H99" s="1"/>
      <c r="I99" s="1">
        <v>10</v>
      </c>
      <c r="J99" s="1">
        <v>0</v>
      </c>
      <c r="K99" s="1">
        <v>0</v>
      </c>
      <c r="L99" s="1"/>
      <c r="M99" s="1">
        <v>0</v>
      </c>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row>
    <row r="100" spans="1:60" x14ac:dyDescent="0.2">
      <c r="A100" s="3">
        <v>1</v>
      </c>
      <c r="B100" s="3" t="s">
        <v>672</v>
      </c>
      <c r="C100" s="3" t="s">
        <v>673</v>
      </c>
      <c r="D100" s="1"/>
      <c r="E100" s="1">
        <f t="shared" si="6"/>
        <v>25.343190782349467</v>
      </c>
      <c r="F100" s="1">
        <f>MAX(100)</f>
        <v>100</v>
      </c>
      <c r="G100" s="1">
        <f t="shared" si="7"/>
        <v>6.4227731903056302</v>
      </c>
      <c r="H100" s="1"/>
      <c r="I100" s="1">
        <v>10</v>
      </c>
      <c r="J100" s="1">
        <v>0</v>
      </c>
      <c r="K100" s="1">
        <v>6.4227731903056302</v>
      </c>
      <c r="L100" s="1"/>
      <c r="M100" s="1">
        <v>6.4227731903056302</v>
      </c>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row>
    <row r="101" spans="1:60" x14ac:dyDescent="0.2">
      <c r="A101" s="3">
        <v>90</v>
      </c>
      <c r="B101" s="3" t="s">
        <v>676</v>
      </c>
      <c r="C101" s="3" t="s">
        <v>677</v>
      </c>
      <c r="D101" s="1"/>
      <c r="E101" s="1">
        <f t="shared" si="6"/>
        <v>101</v>
      </c>
      <c r="F101" s="1">
        <f>MAX(101)</f>
        <v>101</v>
      </c>
      <c r="G101" s="1">
        <f t="shared" si="7"/>
        <v>0</v>
      </c>
      <c r="H101" s="1"/>
      <c r="I101" s="1">
        <v>0</v>
      </c>
      <c r="J101" s="1">
        <v>0</v>
      </c>
      <c r="K101" s="1">
        <v>0</v>
      </c>
      <c r="L101" s="1"/>
      <c r="M101" s="1">
        <v>0</v>
      </c>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row>
    <row r="102" spans="1:60" x14ac:dyDescent="0.2">
      <c r="A102" s="3">
        <v>180</v>
      </c>
      <c r="B102" s="3" t="s">
        <v>680</v>
      </c>
      <c r="C102" s="3" t="s">
        <v>681</v>
      </c>
      <c r="D102" s="1"/>
      <c r="E102" s="1">
        <f t="shared" si="6"/>
        <v>102</v>
      </c>
      <c r="F102" s="1">
        <f>MAX(102)</f>
        <v>102</v>
      </c>
      <c r="G102" s="1">
        <f t="shared" si="7"/>
        <v>0</v>
      </c>
      <c r="H102" s="1"/>
      <c r="I102" s="1">
        <v>0</v>
      </c>
      <c r="J102" s="1">
        <v>0</v>
      </c>
      <c r="K102" s="1"/>
      <c r="L102" s="1"/>
      <c r="M102" s="1">
        <v>0</v>
      </c>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row>
    <row r="103" spans="1:60" x14ac:dyDescent="0.2">
      <c r="A103" s="3">
        <v>188</v>
      </c>
      <c r="B103" s="3" t="s">
        <v>683</v>
      </c>
      <c r="C103" s="3" t="s">
        <v>684</v>
      </c>
      <c r="D103" s="1"/>
      <c r="E103" s="1">
        <f t="shared" si="6"/>
        <v>103</v>
      </c>
      <c r="F103" s="1">
        <f>MAX(103)</f>
        <v>103</v>
      </c>
      <c r="G103" s="1">
        <f t="shared" si="7"/>
        <v>0</v>
      </c>
      <c r="H103" s="1"/>
      <c r="I103" s="1">
        <v>0</v>
      </c>
      <c r="J103" s="1">
        <v>0</v>
      </c>
      <c r="K103" s="1">
        <v>0</v>
      </c>
      <c r="L103" s="1">
        <v>7.2825721468623401</v>
      </c>
      <c r="M103" s="1">
        <v>7.2825721468623401</v>
      </c>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row>
    <row r="104" spans="1:60" x14ac:dyDescent="0.2">
      <c r="A104" s="3">
        <v>56</v>
      </c>
      <c r="B104" s="3" t="s">
        <v>688</v>
      </c>
      <c r="C104" s="3" t="s">
        <v>689</v>
      </c>
      <c r="D104" s="1"/>
      <c r="E104" s="1">
        <f t="shared" si="6"/>
        <v>104</v>
      </c>
      <c r="F104" s="1">
        <f>MAX(104)</f>
        <v>104</v>
      </c>
      <c r="G104" s="1">
        <f t="shared" si="7"/>
        <v>0</v>
      </c>
      <c r="H104" s="1"/>
      <c r="I104" s="1">
        <v>0</v>
      </c>
      <c r="J104" s="1">
        <v>0</v>
      </c>
      <c r="K104" s="1">
        <v>0</v>
      </c>
      <c r="L104" s="1"/>
      <c r="M104" s="1">
        <v>0</v>
      </c>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row>
    <row r="105" spans="1:60" x14ac:dyDescent="0.2">
      <c r="A105" s="3">
        <v>149</v>
      </c>
      <c r="B105" s="3" t="s">
        <v>693</v>
      </c>
      <c r="C105" s="3" t="s">
        <v>694</v>
      </c>
      <c r="D105" s="1"/>
      <c r="E105" s="1">
        <f t="shared" si="6"/>
        <v>105</v>
      </c>
      <c r="F105" s="1">
        <f>MAX(105)</f>
        <v>105</v>
      </c>
      <c r="G105" s="1">
        <f t="shared" si="7"/>
        <v>0</v>
      </c>
      <c r="H105" s="1"/>
      <c r="I105" s="1">
        <v>0</v>
      </c>
      <c r="J105" s="1">
        <v>0</v>
      </c>
      <c r="K105" s="1">
        <v>0</v>
      </c>
      <c r="L105" s="1"/>
      <c r="M105" s="1">
        <v>0</v>
      </c>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row>
    <row r="106" spans="1:60" x14ac:dyDescent="0.2">
      <c r="A106" s="3">
        <v>109</v>
      </c>
      <c r="B106" s="3" t="s">
        <v>698</v>
      </c>
      <c r="C106" s="3" t="s">
        <v>699</v>
      </c>
      <c r="D106" s="1"/>
      <c r="E106" s="1">
        <f t="shared" si="6"/>
        <v>106</v>
      </c>
      <c r="F106" s="1">
        <f>MAX(106)</f>
        <v>106</v>
      </c>
      <c r="G106" s="1">
        <f t="shared" si="7"/>
        <v>0</v>
      </c>
      <c r="H106" s="1"/>
      <c r="I106" s="1">
        <v>0</v>
      </c>
      <c r="J106" s="1">
        <v>0</v>
      </c>
      <c r="K106" s="1"/>
      <c r="L106" s="1"/>
      <c r="M106" s="1">
        <v>0</v>
      </c>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row>
    <row r="107" spans="1:60" x14ac:dyDescent="0.2">
      <c r="A107" s="3">
        <v>147</v>
      </c>
      <c r="B107" s="3" t="s">
        <v>702</v>
      </c>
      <c r="C107" s="3" t="s">
        <v>703</v>
      </c>
      <c r="D107" s="1"/>
      <c r="E107" s="1">
        <f t="shared" si="6"/>
        <v>107</v>
      </c>
      <c r="F107" s="1">
        <f>MAX(107)</f>
        <v>107</v>
      </c>
      <c r="G107" s="1">
        <f t="shared" si="7"/>
        <v>0</v>
      </c>
      <c r="H107" s="1"/>
      <c r="I107" s="1">
        <v>0</v>
      </c>
      <c r="J107" s="1">
        <v>0</v>
      </c>
      <c r="K107" s="1">
        <v>0</v>
      </c>
      <c r="L107" s="1"/>
      <c r="M107" s="1">
        <v>0</v>
      </c>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row>
    <row r="108" spans="1:60" x14ac:dyDescent="0.2">
      <c r="A108" s="3">
        <v>116</v>
      </c>
      <c r="B108" s="3" t="s">
        <v>706</v>
      </c>
      <c r="C108" s="3" t="s">
        <v>707</v>
      </c>
      <c r="D108" s="1"/>
      <c r="E108" s="1">
        <f t="shared" si="6"/>
        <v>108</v>
      </c>
      <c r="F108" s="1">
        <f>MAX(108)</f>
        <v>108</v>
      </c>
      <c r="G108" s="1">
        <f t="shared" si="7"/>
        <v>0</v>
      </c>
      <c r="H108" s="1"/>
      <c r="I108" s="1">
        <v>0</v>
      </c>
      <c r="J108" s="1">
        <v>0</v>
      </c>
      <c r="K108" s="1">
        <v>0</v>
      </c>
      <c r="L108" s="1"/>
      <c r="M108" s="1">
        <v>0</v>
      </c>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row>
    <row r="109" spans="1:60" x14ac:dyDescent="0.2">
      <c r="A109" s="3">
        <v>114</v>
      </c>
      <c r="B109" s="3" t="s">
        <v>712</v>
      </c>
      <c r="C109" s="3" t="s">
        <v>713</v>
      </c>
      <c r="D109" s="1"/>
      <c r="E109" s="1">
        <f t="shared" si="6"/>
        <v>109</v>
      </c>
      <c r="F109" s="1">
        <f>MAX(109)</f>
        <v>109</v>
      </c>
      <c r="G109" s="1">
        <f t="shared" si="7"/>
        <v>0</v>
      </c>
      <c r="H109" s="1"/>
      <c r="I109" s="1">
        <v>0</v>
      </c>
      <c r="J109" s="1">
        <v>0</v>
      </c>
      <c r="K109" s="1">
        <v>0</v>
      </c>
      <c r="L109" s="1"/>
      <c r="M109" s="1">
        <v>0</v>
      </c>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row>
    <row r="110" spans="1:60" x14ac:dyDescent="0.2">
      <c r="A110" s="3">
        <v>110</v>
      </c>
      <c r="B110" s="3" t="s">
        <v>716</v>
      </c>
      <c r="C110" s="3" t="s">
        <v>717</v>
      </c>
      <c r="D110" s="1"/>
      <c r="E110" s="1">
        <f t="shared" si="6"/>
        <v>110</v>
      </c>
      <c r="F110" s="1">
        <f>MAX(110)</f>
        <v>110</v>
      </c>
      <c r="G110" s="1">
        <f t="shared" si="7"/>
        <v>0</v>
      </c>
      <c r="H110" s="1"/>
      <c r="I110" s="1">
        <v>0</v>
      </c>
      <c r="J110" s="1">
        <v>0</v>
      </c>
      <c r="K110" s="1">
        <v>0</v>
      </c>
      <c r="L110" s="1"/>
      <c r="M110" s="1">
        <v>0</v>
      </c>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row>
    <row r="111" spans="1:60" x14ac:dyDescent="0.2">
      <c r="A111" s="3">
        <v>14</v>
      </c>
      <c r="B111" s="3" t="s">
        <v>721</v>
      </c>
      <c r="C111" s="3" t="s">
        <v>722</v>
      </c>
      <c r="D111" s="1"/>
      <c r="E111" s="1">
        <f t="shared" si="6"/>
        <v>111</v>
      </c>
      <c r="F111" s="1">
        <f>MAX(111)</f>
        <v>111</v>
      </c>
      <c r="G111" s="1">
        <f t="shared" si="7"/>
        <v>0</v>
      </c>
      <c r="H111" s="1"/>
      <c r="I111" s="1">
        <v>0</v>
      </c>
      <c r="J111" s="1">
        <v>0</v>
      </c>
      <c r="K111" s="1">
        <v>0</v>
      </c>
      <c r="L111" s="1"/>
      <c r="M111" s="1">
        <v>0</v>
      </c>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row>
    <row r="112" spans="1:60" x14ac:dyDescent="0.2">
      <c r="A112" s="3">
        <v>112</v>
      </c>
      <c r="B112" s="3" t="s">
        <v>725</v>
      </c>
      <c r="C112" s="3" t="s">
        <v>726</v>
      </c>
      <c r="D112" s="1"/>
      <c r="E112" s="1">
        <f t="shared" si="6"/>
        <v>112</v>
      </c>
      <c r="F112" s="1">
        <f>MAX(112)</f>
        <v>112</v>
      </c>
      <c r="G112" s="1">
        <f t="shared" si="7"/>
        <v>0</v>
      </c>
      <c r="H112" s="1"/>
      <c r="I112" s="1">
        <v>0</v>
      </c>
      <c r="J112" s="1">
        <v>0</v>
      </c>
      <c r="K112" s="1">
        <v>0</v>
      </c>
      <c r="L112" s="1">
        <v>0</v>
      </c>
      <c r="M112" s="1">
        <v>0</v>
      </c>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row>
    <row r="113" spans="1:60" x14ac:dyDescent="0.2">
      <c r="A113" s="3">
        <v>181</v>
      </c>
      <c r="B113" s="3" t="s">
        <v>731</v>
      </c>
      <c r="C113" s="3" t="s">
        <v>732</v>
      </c>
      <c r="D113" s="1"/>
      <c r="E113" s="1">
        <f t="shared" si="6"/>
        <v>113</v>
      </c>
      <c r="F113" s="1">
        <f>MAX(113)</f>
        <v>113</v>
      </c>
      <c r="G113" s="1">
        <f t="shared" si="7"/>
        <v>0</v>
      </c>
      <c r="H113" s="1"/>
      <c r="I113" s="1">
        <v>10</v>
      </c>
      <c r="J113" s="1">
        <v>0</v>
      </c>
      <c r="K113" s="1">
        <v>0</v>
      </c>
      <c r="L113" s="1"/>
      <c r="M113" s="1">
        <v>0</v>
      </c>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row>
    <row r="114" spans="1:60" x14ac:dyDescent="0.2">
      <c r="A114" s="3">
        <v>152</v>
      </c>
      <c r="B114" s="3" t="s">
        <v>733</v>
      </c>
      <c r="C114" s="3" t="s">
        <v>734</v>
      </c>
      <c r="D114" s="1"/>
      <c r="E114" s="1">
        <f t="shared" si="6"/>
        <v>114</v>
      </c>
      <c r="F114" s="1">
        <f>MAX(114)</f>
        <v>114</v>
      </c>
      <c r="G114" s="1">
        <f t="shared" si="7"/>
        <v>0</v>
      </c>
      <c r="H114" s="1"/>
      <c r="I114" s="1">
        <v>0</v>
      </c>
      <c r="J114" s="1">
        <v>0</v>
      </c>
      <c r="K114" s="1">
        <v>0</v>
      </c>
      <c r="L114" s="1"/>
      <c r="M114" s="1">
        <v>0</v>
      </c>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row>
    <row r="115" spans="1:60" x14ac:dyDescent="0.2">
      <c r="A115" s="3">
        <v>36</v>
      </c>
      <c r="B115" s="3" t="s">
        <v>737</v>
      </c>
      <c r="C115" s="3" t="s">
        <v>738</v>
      </c>
      <c r="D115" s="1"/>
      <c r="E115" s="1">
        <f t="shared" si="6"/>
        <v>33.911649915626342</v>
      </c>
      <c r="F115" s="1">
        <f>MAX(115)</f>
        <v>115</v>
      </c>
      <c r="G115" s="1">
        <f t="shared" si="7"/>
        <v>10</v>
      </c>
      <c r="H115" s="1"/>
      <c r="I115" s="1">
        <v>10</v>
      </c>
      <c r="J115" s="1">
        <v>0</v>
      </c>
      <c r="K115" s="1">
        <v>10</v>
      </c>
      <c r="L115" s="1">
        <v>0</v>
      </c>
      <c r="M115" s="1">
        <v>10</v>
      </c>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row>
    <row r="116" spans="1:60" x14ac:dyDescent="0.2">
      <c r="A116" s="3">
        <v>111</v>
      </c>
      <c r="B116" s="3" t="s">
        <v>742</v>
      </c>
      <c r="C116" s="3" t="s">
        <v>743</v>
      </c>
      <c r="D116" s="1"/>
      <c r="E116" s="1">
        <f t="shared" si="6"/>
        <v>116</v>
      </c>
      <c r="F116" s="1">
        <f>MAX(116)</f>
        <v>116</v>
      </c>
      <c r="G116" s="1">
        <f t="shared" si="7"/>
        <v>0</v>
      </c>
      <c r="H116" s="1"/>
      <c r="I116" s="1">
        <v>0</v>
      </c>
      <c r="J116" s="1">
        <v>0</v>
      </c>
      <c r="K116" s="1">
        <v>0</v>
      </c>
      <c r="L116" s="1"/>
      <c r="M116" s="1">
        <v>0</v>
      </c>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row>
    <row r="117" spans="1:60" x14ac:dyDescent="0.2">
      <c r="A117" s="3">
        <v>58</v>
      </c>
      <c r="B117" s="3" t="s">
        <v>746</v>
      </c>
      <c r="C117" s="3" t="s">
        <v>747</v>
      </c>
      <c r="D117" s="1"/>
      <c r="E117" s="1">
        <f t="shared" si="6"/>
        <v>34.205262752974136</v>
      </c>
      <c r="F117" s="1">
        <f>MAX(117)</f>
        <v>117</v>
      </c>
      <c r="G117" s="1">
        <f t="shared" si="7"/>
        <v>10</v>
      </c>
      <c r="H117" s="1"/>
      <c r="I117" s="1">
        <v>10</v>
      </c>
      <c r="J117" s="1">
        <v>10</v>
      </c>
      <c r="K117" s="1">
        <v>0</v>
      </c>
      <c r="L117" s="1">
        <v>0</v>
      </c>
      <c r="M117" s="1">
        <v>10</v>
      </c>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row>
    <row r="118" spans="1:60" x14ac:dyDescent="0.2">
      <c r="A118" s="3">
        <v>37</v>
      </c>
      <c r="B118" s="3" t="s">
        <v>751</v>
      </c>
      <c r="C118" s="3" t="s">
        <v>752</v>
      </c>
      <c r="D118" s="1"/>
      <c r="E118" s="1">
        <f t="shared" si="6"/>
        <v>118</v>
      </c>
      <c r="F118" s="1">
        <f>MAX(118)</f>
        <v>118</v>
      </c>
      <c r="G118" s="1">
        <f t="shared" si="7"/>
        <v>0</v>
      </c>
      <c r="H118" s="1"/>
      <c r="I118" s="1">
        <v>0</v>
      </c>
      <c r="J118" s="1">
        <v>0</v>
      </c>
      <c r="K118" s="1">
        <v>0</v>
      </c>
      <c r="L118" s="1"/>
      <c r="M118" s="1">
        <v>0</v>
      </c>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row>
    <row r="119" spans="1:60" x14ac:dyDescent="0.2">
      <c r="A119" s="3">
        <v>115</v>
      </c>
      <c r="B119" s="3" t="s">
        <v>754</v>
      </c>
      <c r="C119" s="3" t="s">
        <v>755</v>
      </c>
      <c r="D119" s="1"/>
      <c r="E119" s="1">
        <f t="shared" si="6"/>
        <v>119</v>
      </c>
      <c r="F119" s="1">
        <f>MAX(119)</f>
        <v>119</v>
      </c>
      <c r="G119" s="1">
        <f t="shared" si="7"/>
        <v>0</v>
      </c>
      <c r="H119" s="1"/>
      <c r="I119" s="1">
        <v>0</v>
      </c>
      <c r="J119" s="1">
        <v>0</v>
      </c>
      <c r="K119" s="1">
        <v>0</v>
      </c>
      <c r="L119" s="1"/>
      <c r="M119" s="1">
        <v>0</v>
      </c>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row>
    <row r="120" spans="1:60" x14ac:dyDescent="0.2">
      <c r="A120" s="3">
        <v>4</v>
      </c>
      <c r="B120" s="3" t="s">
        <v>759</v>
      </c>
      <c r="C120" s="3" t="s">
        <v>760</v>
      </c>
      <c r="D120" s="1"/>
      <c r="E120" s="1">
        <f t="shared" si="6"/>
        <v>34.641016151377549</v>
      </c>
      <c r="F120" s="1">
        <f>MAX(120)</f>
        <v>120</v>
      </c>
      <c r="G120" s="1">
        <f t="shared" si="7"/>
        <v>10</v>
      </c>
      <c r="H120" s="1"/>
      <c r="I120" s="1">
        <v>10</v>
      </c>
      <c r="J120" s="1">
        <v>0</v>
      </c>
      <c r="K120" s="1">
        <v>10</v>
      </c>
      <c r="L120" s="1">
        <v>8.3436018546376793</v>
      </c>
      <c r="M120" s="1">
        <v>10</v>
      </c>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row>
    <row r="121" spans="1:60" x14ac:dyDescent="0.2">
      <c r="A121" s="3">
        <v>15</v>
      </c>
      <c r="B121" s="3" t="s">
        <v>764</v>
      </c>
      <c r="C121" s="3" t="s">
        <v>765</v>
      </c>
      <c r="D121" s="1"/>
      <c r="E121" s="1">
        <f t="shared" si="6"/>
        <v>121</v>
      </c>
      <c r="F121" s="1">
        <f>MAX(121)</f>
        <v>121</v>
      </c>
      <c r="G121" s="1">
        <f t="shared" si="7"/>
        <v>0</v>
      </c>
      <c r="H121" s="1"/>
      <c r="I121" s="1">
        <v>0</v>
      </c>
      <c r="J121" s="1">
        <v>0</v>
      </c>
      <c r="K121" s="1">
        <v>0</v>
      </c>
      <c r="L121" s="1"/>
      <c r="M121" s="1">
        <v>0</v>
      </c>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row>
    <row r="122" spans="1:60" x14ac:dyDescent="0.2">
      <c r="A122" s="3">
        <v>57</v>
      </c>
      <c r="B122" s="3" t="s">
        <v>768</v>
      </c>
      <c r="C122" s="3" t="s">
        <v>769</v>
      </c>
      <c r="D122" s="1"/>
      <c r="E122" s="1">
        <f t="shared" si="6"/>
        <v>122</v>
      </c>
      <c r="F122" s="1">
        <f>MAX(122)</f>
        <v>122</v>
      </c>
      <c r="G122" s="1">
        <f t="shared" si="7"/>
        <v>0</v>
      </c>
      <c r="H122" s="1"/>
      <c r="I122" s="1">
        <v>0</v>
      </c>
      <c r="J122" s="1">
        <v>0</v>
      </c>
      <c r="K122" s="1">
        <v>0</v>
      </c>
      <c r="L122" s="1"/>
      <c r="M122" s="1">
        <v>0</v>
      </c>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row>
    <row r="123" spans="1:60" x14ac:dyDescent="0.2">
      <c r="A123" s="3">
        <v>35</v>
      </c>
      <c r="B123" s="3" t="s">
        <v>774</v>
      </c>
      <c r="C123" s="3" t="s">
        <v>775</v>
      </c>
      <c r="D123" s="1"/>
      <c r="E123" s="1">
        <f t="shared" si="6"/>
        <v>123</v>
      </c>
      <c r="F123" s="1">
        <f>MAX(123)</f>
        <v>123</v>
      </c>
      <c r="G123" s="1">
        <f t="shared" si="7"/>
        <v>0</v>
      </c>
      <c r="H123" s="1"/>
      <c r="I123" s="1">
        <v>0</v>
      </c>
      <c r="J123" s="1">
        <v>0</v>
      </c>
      <c r="K123" s="1">
        <v>0</v>
      </c>
      <c r="L123" s="1"/>
      <c r="M123" s="1">
        <v>0</v>
      </c>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row>
    <row r="124" spans="1:60" x14ac:dyDescent="0.2">
      <c r="A124" s="3">
        <v>85</v>
      </c>
      <c r="B124" s="3" t="s">
        <v>778</v>
      </c>
      <c r="C124" s="3" t="s">
        <v>779</v>
      </c>
      <c r="D124" s="1"/>
      <c r="E124" s="1">
        <f t="shared" si="6"/>
        <v>124</v>
      </c>
      <c r="F124" s="1">
        <f>MAX(124)</f>
        <v>124</v>
      </c>
      <c r="G124" s="1">
        <f t="shared" si="7"/>
        <v>0</v>
      </c>
      <c r="H124" s="1"/>
      <c r="I124" s="1">
        <v>0</v>
      </c>
      <c r="J124" s="1">
        <v>0</v>
      </c>
      <c r="K124" s="1">
        <v>0</v>
      </c>
      <c r="L124" s="1"/>
      <c r="M124" s="1">
        <v>0</v>
      </c>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row>
    <row r="125" spans="1:60" x14ac:dyDescent="0.2">
      <c r="A125" s="3">
        <v>182</v>
      </c>
      <c r="B125" s="3" t="s">
        <v>781</v>
      </c>
      <c r="C125" s="3" t="s">
        <v>782</v>
      </c>
      <c r="D125" s="1"/>
      <c r="E125" s="1">
        <f t="shared" si="6"/>
        <v>125</v>
      </c>
      <c r="F125" s="1">
        <f>MAX(125)</f>
        <v>125</v>
      </c>
      <c r="G125" s="1">
        <f t="shared" si="7"/>
        <v>0</v>
      </c>
      <c r="H125" s="1"/>
      <c r="I125" s="1">
        <v>0</v>
      </c>
      <c r="J125" s="1">
        <v>0</v>
      </c>
      <c r="K125" s="1">
        <v>0</v>
      </c>
      <c r="L125" s="1"/>
      <c r="M125" s="1">
        <v>0</v>
      </c>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row>
    <row r="126" spans="1:60" x14ac:dyDescent="0.2">
      <c r="A126" s="3">
        <v>5</v>
      </c>
      <c r="B126" s="3" t="s">
        <v>786</v>
      </c>
      <c r="C126" s="3" t="s">
        <v>787</v>
      </c>
      <c r="D126" s="1"/>
      <c r="E126" s="1">
        <f t="shared" si="6"/>
        <v>35.496478698597699</v>
      </c>
      <c r="F126" s="1">
        <f>MAX(126)</f>
        <v>126</v>
      </c>
      <c r="G126" s="1">
        <f t="shared" si="7"/>
        <v>10</v>
      </c>
      <c r="H126" s="1"/>
      <c r="I126" s="1">
        <v>10</v>
      </c>
      <c r="J126" s="1">
        <v>10</v>
      </c>
      <c r="K126" s="1">
        <v>10</v>
      </c>
      <c r="L126" s="1"/>
      <c r="M126" s="1">
        <v>10</v>
      </c>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row>
    <row r="127" spans="1:60" x14ac:dyDescent="0.2">
      <c r="A127" s="3">
        <v>38</v>
      </c>
      <c r="B127" s="3" t="s">
        <v>793</v>
      </c>
      <c r="C127" s="3" t="s">
        <v>794</v>
      </c>
      <c r="D127" s="1"/>
      <c r="E127" s="1">
        <f t="shared" si="6"/>
        <v>27.832227846793611</v>
      </c>
      <c r="F127" s="1">
        <f>MAX(127)</f>
        <v>127</v>
      </c>
      <c r="G127" s="1">
        <f t="shared" si="7"/>
        <v>6.0994717079986902</v>
      </c>
      <c r="H127" s="1"/>
      <c r="I127" s="1">
        <v>10</v>
      </c>
      <c r="J127" s="1">
        <v>0</v>
      </c>
      <c r="K127" s="1">
        <v>6.0994717079986902</v>
      </c>
      <c r="L127" s="1">
        <v>1.3790510787811101</v>
      </c>
      <c r="M127" s="1">
        <v>6.0994717079986902</v>
      </c>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row>
    <row r="128" spans="1:60" x14ac:dyDescent="0.2">
      <c r="A128" s="3">
        <v>86</v>
      </c>
      <c r="B128" s="3" t="s">
        <v>801</v>
      </c>
      <c r="C128" s="3" t="s">
        <v>802</v>
      </c>
      <c r="D128" s="1"/>
      <c r="E128" s="1">
        <f t="shared" si="6"/>
        <v>128</v>
      </c>
      <c r="F128" s="1">
        <f>MAX(128)</f>
        <v>128</v>
      </c>
      <c r="G128" s="1">
        <f t="shared" si="7"/>
        <v>0</v>
      </c>
      <c r="H128" s="1"/>
      <c r="I128" s="1">
        <v>0</v>
      </c>
      <c r="J128" s="1">
        <v>0</v>
      </c>
      <c r="K128" s="1">
        <v>0</v>
      </c>
      <c r="L128" s="1">
        <v>0</v>
      </c>
      <c r="M128" s="1">
        <v>0</v>
      </c>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row>
    <row r="129" spans="1:60" x14ac:dyDescent="0.2">
      <c r="A129" s="3">
        <v>150</v>
      </c>
      <c r="B129" s="3" t="s">
        <v>805</v>
      </c>
      <c r="C129" s="3" t="s">
        <v>806</v>
      </c>
      <c r="D129" s="1"/>
      <c r="E129" s="1">
        <f t="shared" si="6"/>
        <v>129</v>
      </c>
      <c r="F129" s="1">
        <f>MAX(129)</f>
        <v>129</v>
      </c>
      <c r="G129" s="1">
        <f t="shared" si="7"/>
        <v>0</v>
      </c>
      <c r="H129" s="1"/>
      <c r="I129" s="1">
        <v>0</v>
      </c>
      <c r="J129" s="1">
        <v>0</v>
      </c>
      <c r="K129" s="1">
        <v>0</v>
      </c>
      <c r="L129" s="1">
        <v>0</v>
      </c>
      <c r="M129" s="1">
        <v>0</v>
      </c>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row>
    <row r="130" spans="1:60" x14ac:dyDescent="0.2">
      <c r="A130" s="3">
        <v>184</v>
      </c>
      <c r="B130" s="3" t="s">
        <v>810</v>
      </c>
      <c r="C130" s="3" t="s">
        <v>811</v>
      </c>
      <c r="D130" s="1"/>
      <c r="E130" s="1">
        <f t="shared" si="6"/>
        <v>130</v>
      </c>
      <c r="F130" s="1">
        <f>MAX(130)</f>
        <v>130</v>
      </c>
      <c r="G130" s="1">
        <f t="shared" si="7"/>
        <v>0</v>
      </c>
      <c r="H130" s="1"/>
      <c r="I130" s="1">
        <v>0</v>
      </c>
      <c r="J130" s="1">
        <v>0</v>
      </c>
      <c r="K130" s="1">
        <v>0</v>
      </c>
      <c r="L130" s="1"/>
      <c r="M130" s="1">
        <v>0</v>
      </c>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row>
    <row r="131" spans="1:60" x14ac:dyDescent="0.2">
      <c r="A131" s="3">
        <v>183</v>
      </c>
      <c r="B131" s="3" t="s">
        <v>814</v>
      </c>
      <c r="C131" s="3" t="s">
        <v>815</v>
      </c>
      <c r="D131" s="1"/>
      <c r="E131" s="1">
        <f t="shared" ref="E131:E162" si="8">IFERROR(GEOMEAN(F131, G131), MAX(F131, G131))</f>
        <v>131</v>
      </c>
      <c r="F131" s="1">
        <f>MAX(131)</f>
        <v>131</v>
      </c>
      <c r="G131" s="1">
        <f t="shared" ref="G131:G162" si="9">MAX(J131, K131)</f>
        <v>0</v>
      </c>
      <c r="H131" s="1"/>
      <c r="I131" s="1">
        <v>0</v>
      </c>
      <c r="J131" s="1">
        <v>0</v>
      </c>
      <c r="K131" s="1">
        <v>0</v>
      </c>
      <c r="L131" s="1">
        <v>0</v>
      </c>
      <c r="M131" s="1">
        <v>0</v>
      </c>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row>
    <row r="132" spans="1:60" x14ac:dyDescent="0.2">
      <c r="A132" s="3">
        <v>117</v>
      </c>
      <c r="B132" s="3" t="s">
        <v>819</v>
      </c>
      <c r="C132" s="3" t="s">
        <v>820</v>
      </c>
      <c r="D132" s="1"/>
      <c r="E132" s="1">
        <f t="shared" si="8"/>
        <v>132</v>
      </c>
      <c r="F132" s="1">
        <f>MAX(132)</f>
        <v>132</v>
      </c>
      <c r="G132" s="1">
        <f t="shared" si="9"/>
        <v>0</v>
      </c>
      <c r="H132" s="1"/>
      <c r="I132" s="1">
        <v>0</v>
      </c>
      <c r="J132" s="1">
        <v>0</v>
      </c>
      <c r="K132" s="1"/>
      <c r="L132" s="1"/>
      <c r="M132" s="1">
        <v>0</v>
      </c>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row>
    <row r="133" spans="1:60" x14ac:dyDescent="0.2">
      <c r="A133" s="3">
        <v>151</v>
      </c>
      <c r="B133" s="3" t="s">
        <v>821</v>
      </c>
      <c r="C133" s="3" t="s">
        <v>822</v>
      </c>
      <c r="D133" s="1"/>
      <c r="E133" s="1">
        <f t="shared" si="8"/>
        <v>133</v>
      </c>
      <c r="F133" s="1">
        <f>MAX(133)</f>
        <v>133</v>
      </c>
      <c r="G133" s="1">
        <f t="shared" si="9"/>
        <v>0</v>
      </c>
      <c r="H133" s="1"/>
      <c r="I133" s="1">
        <v>0</v>
      </c>
      <c r="J133" s="1">
        <v>0</v>
      </c>
      <c r="K133" s="1">
        <v>0</v>
      </c>
      <c r="L133" s="1"/>
      <c r="M133" s="1">
        <v>0</v>
      </c>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row>
    <row r="134" spans="1:60" x14ac:dyDescent="0.2">
      <c r="A134" s="3">
        <v>87</v>
      </c>
      <c r="B134" s="3" t="s">
        <v>825</v>
      </c>
      <c r="C134" s="3" t="s">
        <v>826</v>
      </c>
      <c r="D134" s="1"/>
      <c r="E134" s="1">
        <f t="shared" si="8"/>
        <v>134</v>
      </c>
      <c r="F134" s="1">
        <f>MAX(134)</f>
        <v>134</v>
      </c>
      <c r="G134" s="1">
        <f t="shared" si="9"/>
        <v>0</v>
      </c>
      <c r="H134" s="1"/>
      <c r="I134" s="1">
        <v>0</v>
      </c>
      <c r="J134" s="1">
        <v>0</v>
      </c>
      <c r="K134" s="1">
        <v>0</v>
      </c>
      <c r="L134" s="1"/>
      <c r="M134" s="1">
        <v>0</v>
      </c>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row>
    <row r="135" spans="1:60" x14ac:dyDescent="0.2">
      <c r="A135" s="3">
        <v>59</v>
      </c>
      <c r="B135" s="3" t="s">
        <v>829</v>
      </c>
      <c r="C135" s="3" t="s">
        <v>830</v>
      </c>
      <c r="D135" s="1"/>
      <c r="E135" s="1">
        <f t="shared" si="8"/>
        <v>135</v>
      </c>
      <c r="F135" s="1">
        <f>MAX(135)</f>
        <v>135</v>
      </c>
      <c r="G135" s="1">
        <f t="shared" si="9"/>
        <v>0</v>
      </c>
      <c r="H135" s="1"/>
      <c r="I135" s="1">
        <v>0</v>
      </c>
      <c r="J135" s="1">
        <v>0</v>
      </c>
      <c r="K135" s="1">
        <v>0</v>
      </c>
      <c r="L135" s="1">
        <v>0</v>
      </c>
      <c r="M135" s="1">
        <v>0</v>
      </c>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row>
    <row r="136" spans="1:60" x14ac:dyDescent="0.2">
      <c r="A136" s="3">
        <v>118</v>
      </c>
      <c r="B136" s="3" t="s">
        <v>836</v>
      </c>
      <c r="C136" s="3" t="s">
        <v>837</v>
      </c>
      <c r="D136" s="1"/>
      <c r="E136" s="1">
        <f t="shared" si="8"/>
        <v>136</v>
      </c>
      <c r="F136" s="1">
        <f>MAX(136)</f>
        <v>136</v>
      </c>
      <c r="G136" s="1">
        <f t="shared" si="9"/>
        <v>0</v>
      </c>
      <c r="H136" s="1"/>
      <c r="I136" s="1">
        <v>0</v>
      </c>
      <c r="J136" s="1">
        <v>0</v>
      </c>
      <c r="K136" s="1">
        <v>0</v>
      </c>
      <c r="L136" s="1"/>
      <c r="M136" s="1">
        <v>0</v>
      </c>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row>
    <row r="137" spans="1:60" x14ac:dyDescent="0.2">
      <c r="A137" s="3">
        <v>23</v>
      </c>
      <c r="B137" s="3" t="s">
        <v>840</v>
      </c>
      <c r="C137" s="3" t="s">
        <v>841</v>
      </c>
      <c r="D137" s="1"/>
      <c r="E137" s="1">
        <f t="shared" si="8"/>
        <v>137</v>
      </c>
      <c r="F137" s="1">
        <f>MAX(137)</f>
        <v>137</v>
      </c>
      <c r="G137" s="1">
        <f t="shared" si="9"/>
        <v>0</v>
      </c>
      <c r="H137" s="1"/>
      <c r="I137" s="1">
        <v>0</v>
      </c>
      <c r="J137" s="1">
        <v>0</v>
      </c>
      <c r="K137" s="1">
        <v>0</v>
      </c>
      <c r="L137" s="1">
        <v>5.1808919215418596</v>
      </c>
      <c r="M137" s="1">
        <v>5.1808919215418596</v>
      </c>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row>
    <row r="138" spans="1:60" x14ac:dyDescent="0.2">
      <c r="A138" s="3">
        <v>153</v>
      </c>
      <c r="B138" s="3" t="s">
        <v>844</v>
      </c>
      <c r="C138" s="3" t="s">
        <v>845</v>
      </c>
      <c r="D138" s="1"/>
      <c r="E138" s="1">
        <f t="shared" si="8"/>
        <v>22.84896659721262</v>
      </c>
      <c r="F138" s="1">
        <f>MAX(138)</f>
        <v>138</v>
      </c>
      <c r="G138" s="1">
        <f t="shared" si="9"/>
        <v>3.7831541634821599</v>
      </c>
      <c r="H138" s="1"/>
      <c r="I138" s="1">
        <v>0</v>
      </c>
      <c r="J138" s="1">
        <v>0</v>
      </c>
      <c r="K138" s="1">
        <v>3.7831541634821599</v>
      </c>
      <c r="L138" s="1">
        <v>0</v>
      </c>
      <c r="M138" s="1">
        <v>3.7831541634821599</v>
      </c>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row>
    <row r="139" spans="1:60" x14ac:dyDescent="0.2">
      <c r="A139" s="3">
        <v>88</v>
      </c>
      <c r="B139" s="3" t="s">
        <v>849</v>
      </c>
      <c r="C139" s="3" t="s">
        <v>850</v>
      </c>
      <c r="D139" s="1"/>
      <c r="E139" s="1">
        <f t="shared" si="8"/>
        <v>139</v>
      </c>
      <c r="F139" s="1">
        <f>MAX(139)</f>
        <v>139</v>
      </c>
      <c r="G139" s="1">
        <f t="shared" si="9"/>
        <v>0</v>
      </c>
      <c r="H139" s="1"/>
      <c r="I139" s="1">
        <v>0</v>
      </c>
      <c r="J139" s="1">
        <v>0</v>
      </c>
      <c r="K139" s="1"/>
      <c r="L139" s="1"/>
      <c r="M139" s="1">
        <v>0</v>
      </c>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row>
    <row r="140" spans="1:60" x14ac:dyDescent="0.2">
      <c r="A140" s="3">
        <v>39</v>
      </c>
      <c r="B140" s="3" t="s">
        <v>852</v>
      </c>
      <c r="C140" s="3" t="s">
        <v>853</v>
      </c>
      <c r="D140" s="1"/>
      <c r="E140" s="1">
        <f t="shared" si="8"/>
        <v>140</v>
      </c>
      <c r="F140" s="1">
        <f>MAX(140)</f>
        <v>140</v>
      </c>
      <c r="G140" s="1">
        <f t="shared" si="9"/>
        <v>0</v>
      </c>
      <c r="H140" s="1"/>
      <c r="I140" s="1">
        <v>10</v>
      </c>
      <c r="J140" s="1">
        <v>0</v>
      </c>
      <c r="K140" s="1">
        <v>0</v>
      </c>
      <c r="L140" s="1"/>
      <c r="M140" s="1">
        <v>0</v>
      </c>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row>
    <row r="141" spans="1:60" x14ac:dyDescent="0.2">
      <c r="A141" s="3">
        <v>89</v>
      </c>
      <c r="B141" s="3" t="s">
        <v>856</v>
      </c>
      <c r="C141" s="3" t="s">
        <v>857</v>
      </c>
      <c r="D141" s="1"/>
      <c r="E141" s="1">
        <f t="shared" si="8"/>
        <v>141</v>
      </c>
      <c r="F141" s="1">
        <f>MAX(141)</f>
        <v>141</v>
      </c>
      <c r="G141" s="1">
        <f t="shared" si="9"/>
        <v>0</v>
      </c>
      <c r="H141" s="1"/>
      <c r="I141" s="1">
        <v>0</v>
      </c>
      <c r="J141" s="1">
        <v>0</v>
      </c>
      <c r="K141" s="1">
        <v>0</v>
      </c>
      <c r="L141" s="1"/>
      <c r="M141" s="1">
        <v>0</v>
      </c>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row>
    <row r="142" spans="1:60" x14ac:dyDescent="0.2">
      <c r="A142" s="3">
        <v>107</v>
      </c>
      <c r="B142" s="3" t="s">
        <v>860</v>
      </c>
      <c r="C142" s="3" t="s">
        <v>861</v>
      </c>
      <c r="D142" s="1"/>
      <c r="E142" s="1">
        <f t="shared" si="8"/>
        <v>142</v>
      </c>
      <c r="F142" s="1">
        <f>MAX(142)</f>
        <v>142</v>
      </c>
      <c r="G142" s="1">
        <f t="shared" si="9"/>
        <v>0</v>
      </c>
      <c r="H142" s="1"/>
      <c r="I142" s="1">
        <v>0</v>
      </c>
      <c r="J142" s="1">
        <v>0</v>
      </c>
      <c r="K142" s="1">
        <v>0</v>
      </c>
      <c r="L142" s="1"/>
      <c r="M142" s="1">
        <v>0</v>
      </c>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row>
    <row r="143" spans="1:60" x14ac:dyDescent="0.2">
      <c r="A143" s="3">
        <v>154</v>
      </c>
      <c r="B143" s="3" t="s">
        <v>862</v>
      </c>
      <c r="C143" s="3" t="s">
        <v>863</v>
      </c>
      <c r="D143" s="1"/>
      <c r="E143" s="1">
        <f t="shared" si="8"/>
        <v>143</v>
      </c>
      <c r="F143" s="1">
        <f>MAX(143)</f>
        <v>143</v>
      </c>
      <c r="G143" s="1">
        <f t="shared" si="9"/>
        <v>0</v>
      </c>
      <c r="H143" s="1"/>
      <c r="I143" s="1">
        <v>0</v>
      </c>
      <c r="J143" s="1">
        <v>0</v>
      </c>
      <c r="K143" s="1">
        <v>0</v>
      </c>
      <c r="L143" s="1"/>
      <c r="M143" s="1">
        <v>0</v>
      </c>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row>
    <row r="144" spans="1:60" x14ac:dyDescent="0.2">
      <c r="A144" s="3">
        <v>185</v>
      </c>
      <c r="B144" s="3" t="s">
        <v>865</v>
      </c>
      <c r="C144" s="3" t="s">
        <v>866</v>
      </c>
      <c r="D144" s="1"/>
      <c r="E144" s="1">
        <f t="shared" si="8"/>
        <v>144</v>
      </c>
      <c r="F144" s="1">
        <f>MAX(144)</f>
        <v>144</v>
      </c>
      <c r="G144" s="1">
        <f t="shared" si="9"/>
        <v>0</v>
      </c>
      <c r="H144" s="1"/>
      <c r="I144" s="1">
        <v>0</v>
      </c>
      <c r="J144" s="1">
        <v>0</v>
      </c>
      <c r="K144" s="1">
        <v>0</v>
      </c>
      <c r="L144" s="1"/>
      <c r="M144" s="1">
        <v>0</v>
      </c>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row>
    <row r="145" spans="1:60" x14ac:dyDescent="0.2">
      <c r="A145" s="3">
        <v>155</v>
      </c>
      <c r="B145" s="3" t="s">
        <v>870</v>
      </c>
      <c r="C145" s="3" t="s">
        <v>871</v>
      </c>
      <c r="D145" s="1"/>
      <c r="E145" s="1">
        <f t="shared" si="8"/>
        <v>145</v>
      </c>
      <c r="F145" s="1">
        <f>MAX(145)</f>
        <v>145</v>
      </c>
      <c r="G145" s="1">
        <f t="shared" si="9"/>
        <v>0</v>
      </c>
      <c r="H145" s="1"/>
      <c r="I145" s="1">
        <v>0</v>
      </c>
      <c r="J145" s="1">
        <v>0</v>
      </c>
      <c r="K145" s="1">
        <v>0</v>
      </c>
      <c r="L145" s="1"/>
      <c r="M145" s="1">
        <v>0</v>
      </c>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row>
    <row r="146" spans="1:60" x14ac:dyDescent="0.2">
      <c r="A146" s="3">
        <v>40</v>
      </c>
      <c r="B146" s="3" t="s">
        <v>873</v>
      </c>
      <c r="C146" s="3" t="s">
        <v>874</v>
      </c>
      <c r="D146" s="1"/>
      <c r="E146" s="1">
        <f t="shared" si="8"/>
        <v>146</v>
      </c>
      <c r="F146" s="1">
        <f>MAX(146)</f>
        <v>146</v>
      </c>
      <c r="G146" s="1">
        <f t="shared" si="9"/>
        <v>0</v>
      </c>
      <c r="H146" s="1"/>
      <c r="I146" s="1">
        <v>0</v>
      </c>
      <c r="J146" s="1">
        <v>0</v>
      </c>
      <c r="K146" s="1">
        <v>0</v>
      </c>
      <c r="L146" s="1"/>
      <c r="M146" s="1">
        <v>0</v>
      </c>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row>
    <row r="147" spans="1:60" x14ac:dyDescent="0.2">
      <c r="A147" s="3">
        <v>186</v>
      </c>
      <c r="B147" s="3" t="s">
        <v>877</v>
      </c>
      <c r="C147" s="3" t="s">
        <v>878</v>
      </c>
      <c r="D147" s="1"/>
      <c r="E147" s="1">
        <f t="shared" si="8"/>
        <v>147</v>
      </c>
      <c r="F147" s="1">
        <f>MAX(147)</f>
        <v>147</v>
      </c>
      <c r="G147" s="1">
        <f t="shared" si="9"/>
        <v>0</v>
      </c>
      <c r="H147" s="1"/>
      <c r="I147" s="1">
        <v>0</v>
      </c>
      <c r="J147" s="1">
        <v>0</v>
      </c>
      <c r="K147" s="1">
        <v>0</v>
      </c>
      <c r="L147" s="1">
        <v>0</v>
      </c>
      <c r="M147" s="1">
        <v>0</v>
      </c>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row>
    <row r="148" spans="1:60" x14ac:dyDescent="0.2">
      <c r="A148" s="3">
        <v>119</v>
      </c>
      <c r="B148" s="3" t="s">
        <v>881</v>
      </c>
      <c r="C148" s="3" t="s">
        <v>882</v>
      </c>
      <c r="D148" s="1"/>
      <c r="E148" s="1">
        <f t="shared" si="8"/>
        <v>148</v>
      </c>
      <c r="F148" s="1">
        <f>MAX(148)</f>
        <v>148</v>
      </c>
      <c r="G148" s="1">
        <f t="shared" si="9"/>
        <v>0</v>
      </c>
      <c r="H148" s="1"/>
      <c r="I148" s="1">
        <v>0</v>
      </c>
      <c r="J148" s="1">
        <v>0</v>
      </c>
      <c r="K148" s="1">
        <v>0</v>
      </c>
      <c r="L148" s="1"/>
      <c r="M148" s="1">
        <v>0</v>
      </c>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row>
    <row r="149" spans="1:60" x14ac:dyDescent="0.2">
      <c r="A149" s="3">
        <v>122</v>
      </c>
      <c r="B149" s="3" t="s">
        <v>884</v>
      </c>
      <c r="C149" s="3" t="s">
        <v>885</v>
      </c>
      <c r="D149" s="1"/>
      <c r="E149" s="1">
        <f t="shared" si="8"/>
        <v>149</v>
      </c>
      <c r="F149" s="1">
        <f>MAX(149)</f>
        <v>149</v>
      </c>
      <c r="G149" s="1">
        <f t="shared" si="9"/>
        <v>0</v>
      </c>
      <c r="H149" s="1"/>
      <c r="I149" s="1">
        <v>0</v>
      </c>
      <c r="J149" s="1">
        <v>0</v>
      </c>
      <c r="K149" s="1">
        <v>0</v>
      </c>
      <c r="L149" s="1"/>
      <c r="M149" s="1">
        <v>0</v>
      </c>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row>
    <row r="150" spans="1:60" x14ac:dyDescent="0.2">
      <c r="A150" s="3">
        <v>2</v>
      </c>
      <c r="B150" s="3" t="s">
        <v>887</v>
      </c>
      <c r="C150" s="3" t="s">
        <v>888</v>
      </c>
      <c r="D150" s="1"/>
      <c r="E150" s="1">
        <f t="shared" si="8"/>
        <v>150</v>
      </c>
      <c r="F150" s="1">
        <f>MAX(150)</f>
        <v>150</v>
      </c>
      <c r="G150" s="1">
        <f t="shared" si="9"/>
        <v>0</v>
      </c>
      <c r="H150" s="1"/>
      <c r="I150" s="1">
        <v>10</v>
      </c>
      <c r="J150" s="1">
        <v>0</v>
      </c>
      <c r="K150" s="1">
        <v>0</v>
      </c>
      <c r="L150" s="1">
        <v>0</v>
      </c>
      <c r="M150" s="1">
        <v>0</v>
      </c>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row>
    <row r="151" spans="1:60" x14ac:dyDescent="0.2">
      <c r="A151" s="3">
        <v>123</v>
      </c>
      <c r="B151" s="3" t="s">
        <v>894</v>
      </c>
      <c r="C151" s="3" t="s">
        <v>895</v>
      </c>
      <c r="D151" s="1"/>
      <c r="E151" s="1">
        <f t="shared" si="8"/>
        <v>151</v>
      </c>
      <c r="F151" s="1">
        <f>MAX(151)</f>
        <v>151</v>
      </c>
      <c r="G151" s="1">
        <f t="shared" si="9"/>
        <v>0</v>
      </c>
      <c r="H151" s="1"/>
      <c r="I151" s="1">
        <v>0</v>
      </c>
      <c r="J151" s="1">
        <v>0</v>
      </c>
      <c r="K151" s="1">
        <v>0</v>
      </c>
      <c r="L151" s="1"/>
      <c r="M151" s="1">
        <v>0</v>
      </c>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row>
    <row r="152" spans="1:60" x14ac:dyDescent="0.2">
      <c r="A152" s="3">
        <v>158</v>
      </c>
      <c r="B152" s="3" t="s">
        <v>899</v>
      </c>
      <c r="C152" s="3" t="s">
        <v>900</v>
      </c>
      <c r="D152" s="1"/>
      <c r="E152" s="1">
        <f t="shared" si="8"/>
        <v>152</v>
      </c>
      <c r="F152" s="1">
        <f>MAX(152)</f>
        <v>152</v>
      </c>
      <c r="G152" s="1">
        <f t="shared" si="9"/>
        <v>0</v>
      </c>
      <c r="H152" s="1"/>
      <c r="I152" s="1">
        <v>0</v>
      </c>
      <c r="J152" s="1">
        <v>0</v>
      </c>
      <c r="K152" s="1">
        <v>0</v>
      </c>
      <c r="L152" s="1"/>
      <c r="M152" s="1">
        <v>0</v>
      </c>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row>
    <row r="153" spans="1:60" x14ac:dyDescent="0.2">
      <c r="A153" s="3">
        <v>91</v>
      </c>
      <c r="B153" s="3" t="s">
        <v>902</v>
      </c>
      <c r="C153" s="3" t="s">
        <v>903</v>
      </c>
      <c r="D153" s="1"/>
      <c r="E153" s="1">
        <f t="shared" si="8"/>
        <v>153</v>
      </c>
      <c r="F153" s="1">
        <f>MAX(153)</f>
        <v>153</v>
      </c>
      <c r="G153" s="1">
        <f t="shared" si="9"/>
        <v>0</v>
      </c>
      <c r="H153" s="1"/>
      <c r="I153" s="1">
        <v>10</v>
      </c>
      <c r="J153" s="1">
        <v>0</v>
      </c>
      <c r="K153" s="1">
        <v>0</v>
      </c>
      <c r="L153" s="1"/>
      <c r="M153" s="1">
        <v>0</v>
      </c>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row>
    <row r="154" spans="1:60" x14ac:dyDescent="0.2">
      <c r="A154" s="3">
        <v>124</v>
      </c>
      <c r="B154" s="3" t="s">
        <v>905</v>
      </c>
      <c r="C154" s="3" t="s">
        <v>906</v>
      </c>
      <c r="D154" s="1"/>
      <c r="E154" s="1">
        <f t="shared" si="8"/>
        <v>154</v>
      </c>
      <c r="F154" s="1">
        <f>MAX(154)</f>
        <v>154</v>
      </c>
      <c r="G154" s="1">
        <f t="shared" si="9"/>
        <v>0</v>
      </c>
      <c r="H154" s="1"/>
      <c r="I154" s="1">
        <v>0</v>
      </c>
      <c r="J154" s="1">
        <v>0</v>
      </c>
      <c r="K154" s="1">
        <v>0</v>
      </c>
      <c r="L154" s="1"/>
      <c r="M154" s="1">
        <v>0</v>
      </c>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row>
    <row r="155" spans="1:60" x14ac:dyDescent="0.2">
      <c r="A155" s="3">
        <v>52</v>
      </c>
      <c r="B155" s="3" t="s">
        <v>910</v>
      </c>
      <c r="C155" s="3" t="s">
        <v>911</v>
      </c>
      <c r="D155" s="1"/>
      <c r="E155" s="1">
        <f t="shared" si="8"/>
        <v>37.615644979386488</v>
      </c>
      <c r="F155" s="1">
        <f>MAX(155)</f>
        <v>155</v>
      </c>
      <c r="G155" s="1">
        <f t="shared" si="9"/>
        <v>9.1286241755822193</v>
      </c>
      <c r="H155" s="1"/>
      <c r="I155" s="1">
        <v>0</v>
      </c>
      <c r="J155" s="1">
        <v>0</v>
      </c>
      <c r="K155" s="1">
        <v>9.1286241755822193</v>
      </c>
      <c r="L155" s="1">
        <v>0</v>
      </c>
      <c r="M155" s="1">
        <v>9.1286241755822193</v>
      </c>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row>
    <row r="156" spans="1:60" x14ac:dyDescent="0.2">
      <c r="A156" s="3">
        <v>25</v>
      </c>
      <c r="B156" s="3" t="s">
        <v>915</v>
      </c>
      <c r="C156" s="3" t="s">
        <v>916</v>
      </c>
      <c r="D156" s="1"/>
      <c r="E156" s="1">
        <f t="shared" si="8"/>
        <v>39.496835316262995</v>
      </c>
      <c r="F156" s="1">
        <f>MAX(156)</f>
        <v>156</v>
      </c>
      <c r="G156" s="1">
        <f t="shared" si="9"/>
        <v>10</v>
      </c>
      <c r="H156" s="1"/>
      <c r="I156" s="1">
        <v>10</v>
      </c>
      <c r="J156" s="1">
        <v>10</v>
      </c>
      <c r="K156" s="1">
        <v>10</v>
      </c>
      <c r="L156" s="1">
        <v>0</v>
      </c>
      <c r="M156" s="1">
        <v>10</v>
      </c>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row>
    <row r="157" spans="1:60" x14ac:dyDescent="0.2">
      <c r="A157" s="3">
        <v>24</v>
      </c>
      <c r="B157" s="3" t="s">
        <v>919</v>
      </c>
      <c r="C157" s="3" t="s">
        <v>920</v>
      </c>
      <c r="D157" s="1"/>
      <c r="E157" s="1">
        <f t="shared" si="8"/>
        <v>157</v>
      </c>
      <c r="F157" s="1">
        <f>MAX(157)</f>
        <v>157</v>
      </c>
      <c r="G157" s="1">
        <f t="shared" si="9"/>
        <v>0</v>
      </c>
      <c r="H157" s="1"/>
      <c r="I157" s="1">
        <v>0</v>
      </c>
      <c r="J157" s="1">
        <v>0</v>
      </c>
      <c r="K157" s="1">
        <v>0</v>
      </c>
      <c r="L157" s="1"/>
      <c r="M157" s="1">
        <v>0</v>
      </c>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row>
    <row r="158" spans="1:60" x14ac:dyDescent="0.2">
      <c r="A158" s="3">
        <v>9</v>
      </c>
      <c r="B158" s="3" t="s">
        <v>923</v>
      </c>
      <c r="C158" s="3" t="s">
        <v>924</v>
      </c>
      <c r="D158" s="1"/>
      <c r="E158" s="1">
        <f t="shared" si="8"/>
        <v>39.749213828703581</v>
      </c>
      <c r="F158" s="1">
        <f>MAX(158)</f>
        <v>158</v>
      </c>
      <c r="G158" s="1">
        <f t="shared" si="9"/>
        <v>10</v>
      </c>
      <c r="H158" s="1"/>
      <c r="I158" s="1">
        <v>10</v>
      </c>
      <c r="J158" s="1">
        <v>10</v>
      </c>
      <c r="K158" s="1">
        <v>0</v>
      </c>
      <c r="L158" s="1"/>
      <c r="M158" s="1">
        <v>10</v>
      </c>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row>
    <row r="159" spans="1:60" x14ac:dyDescent="0.2">
      <c r="A159" s="3">
        <v>121</v>
      </c>
      <c r="B159" s="3" t="s">
        <v>930</v>
      </c>
      <c r="C159" s="3" t="s">
        <v>931</v>
      </c>
      <c r="D159" s="1"/>
      <c r="E159" s="1">
        <f t="shared" si="8"/>
        <v>159</v>
      </c>
      <c r="F159" s="1">
        <f>MAX(159)</f>
        <v>159</v>
      </c>
      <c r="G159" s="1">
        <f t="shared" si="9"/>
        <v>0</v>
      </c>
      <c r="H159" s="1"/>
      <c r="I159" s="1">
        <v>0</v>
      </c>
      <c r="J159" s="1">
        <v>0</v>
      </c>
      <c r="K159" s="1">
        <v>0</v>
      </c>
      <c r="L159" s="1"/>
      <c r="M159" s="1">
        <v>0</v>
      </c>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row>
    <row r="160" spans="1:60" x14ac:dyDescent="0.2">
      <c r="A160" s="3">
        <v>62</v>
      </c>
      <c r="B160" s="3" t="s">
        <v>933</v>
      </c>
      <c r="C160" s="3" t="s">
        <v>934</v>
      </c>
      <c r="D160" s="1"/>
      <c r="E160" s="1">
        <f t="shared" si="8"/>
        <v>160</v>
      </c>
      <c r="F160" s="1">
        <f>MAX(160)</f>
        <v>160</v>
      </c>
      <c r="G160" s="1">
        <f t="shared" si="9"/>
        <v>0</v>
      </c>
      <c r="H160" s="1"/>
      <c r="I160" s="1">
        <v>0</v>
      </c>
      <c r="J160" s="1">
        <v>0</v>
      </c>
      <c r="K160" s="1">
        <v>0</v>
      </c>
      <c r="L160" s="1"/>
      <c r="M160" s="1">
        <v>0</v>
      </c>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row>
    <row r="161" spans="1:60" x14ac:dyDescent="0.2">
      <c r="A161" s="3">
        <v>187</v>
      </c>
      <c r="B161" s="3" t="s">
        <v>939</v>
      </c>
      <c r="C161" s="3" t="s">
        <v>940</v>
      </c>
      <c r="D161" s="1"/>
      <c r="E161" s="1">
        <f t="shared" si="8"/>
        <v>161</v>
      </c>
      <c r="F161" s="1">
        <f>MAX(161)</f>
        <v>161</v>
      </c>
      <c r="G161" s="1">
        <f t="shared" si="9"/>
        <v>0</v>
      </c>
      <c r="H161" s="1"/>
      <c r="I161" s="1">
        <v>0</v>
      </c>
      <c r="J161" s="1">
        <v>0</v>
      </c>
      <c r="K161" s="1">
        <v>0</v>
      </c>
      <c r="L161" s="1"/>
      <c r="M161" s="1">
        <v>0</v>
      </c>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row>
    <row r="162" spans="1:60" x14ac:dyDescent="0.2">
      <c r="A162" s="3">
        <v>159</v>
      </c>
      <c r="B162" s="3" t="s">
        <v>943</v>
      </c>
      <c r="C162" s="3" t="s">
        <v>944</v>
      </c>
      <c r="D162" s="1"/>
      <c r="E162" s="1">
        <f t="shared" si="8"/>
        <v>162</v>
      </c>
      <c r="F162" s="1">
        <f>MAX(162)</f>
        <v>162</v>
      </c>
      <c r="G162" s="1">
        <f t="shared" si="9"/>
        <v>0</v>
      </c>
      <c r="H162" s="1"/>
      <c r="I162" s="1">
        <v>0</v>
      </c>
      <c r="J162" s="1">
        <v>0</v>
      </c>
      <c r="K162" s="1">
        <v>0</v>
      </c>
      <c r="L162" s="1">
        <v>0</v>
      </c>
      <c r="M162" s="1">
        <v>0</v>
      </c>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row>
    <row r="163" spans="1:60" x14ac:dyDescent="0.2">
      <c r="A163" s="3">
        <v>160</v>
      </c>
      <c r="B163" s="3" t="s">
        <v>946</v>
      </c>
      <c r="C163" s="3" t="s">
        <v>947</v>
      </c>
      <c r="D163" s="1"/>
      <c r="E163" s="1">
        <f t="shared" ref="E163:E194" si="10">IFERROR(GEOMEAN(F163, G163), MAX(F163, G163))</f>
        <v>163</v>
      </c>
      <c r="F163" s="1">
        <f>MAX(163)</f>
        <v>163</v>
      </c>
      <c r="G163" s="1">
        <f t="shared" ref="G163:G192" si="11">MAX(J163, K163)</f>
        <v>0</v>
      </c>
      <c r="H163" s="1"/>
      <c r="I163" s="1">
        <v>0</v>
      </c>
      <c r="J163" s="1">
        <v>0</v>
      </c>
      <c r="K163" s="1">
        <v>0</v>
      </c>
      <c r="L163" s="1">
        <v>0</v>
      </c>
      <c r="M163" s="1">
        <v>0</v>
      </c>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row>
    <row r="164" spans="1:60" x14ac:dyDescent="0.2">
      <c r="A164" s="3">
        <v>171</v>
      </c>
      <c r="B164" s="3" t="s">
        <v>951</v>
      </c>
      <c r="C164" s="3" t="s">
        <v>952</v>
      </c>
      <c r="D164" s="1"/>
      <c r="E164" s="1">
        <f t="shared" si="10"/>
        <v>164</v>
      </c>
      <c r="F164" s="1">
        <f>MAX(164)</f>
        <v>164</v>
      </c>
      <c r="G164" s="1">
        <f t="shared" si="11"/>
        <v>0</v>
      </c>
      <c r="H164" s="1"/>
      <c r="I164" s="1">
        <v>0</v>
      </c>
      <c r="J164" s="1">
        <v>0</v>
      </c>
      <c r="K164" s="1">
        <v>0</v>
      </c>
      <c r="L164" s="1"/>
      <c r="M164" s="1">
        <v>0</v>
      </c>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row>
    <row r="165" spans="1:60" x14ac:dyDescent="0.2">
      <c r="A165" s="3">
        <v>60</v>
      </c>
      <c r="B165" s="3" t="s">
        <v>956</v>
      </c>
      <c r="C165" s="3" t="s">
        <v>957</v>
      </c>
      <c r="D165" s="1"/>
      <c r="E165" s="1">
        <f t="shared" si="10"/>
        <v>165</v>
      </c>
      <c r="F165" s="1">
        <f>MAX(165)</f>
        <v>165</v>
      </c>
      <c r="G165" s="1">
        <f t="shared" si="11"/>
        <v>0</v>
      </c>
      <c r="H165" s="1"/>
      <c r="I165" s="1">
        <v>0</v>
      </c>
      <c r="J165" s="1">
        <v>0</v>
      </c>
      <c r="K165" s="1">
        <v>0</v>
      </c>
      <c r="L165" s="1"/>
      <c r="M165" s="1">
        <v>0</v>
      </c>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row>
    <row r="166" spans="1:60" x14ac:dyDescent="0.2">
      <c r="A166" s="3">
        <v>63</v>
      </c>
      <c r="B166" s="3" t="s">
        <v>960</v>
      </c>
      <c r="C166" s="3" t="s">
        <v>961</v>
      </c>
      <c r="D166" s="1"/>
      <c r="E166" s="1">
        <f t="shared" si="10"/>
        <v>40.743097574926722</v>
      </c>
      <c r="F166" s="1">
        <f>MAX(166)</f>
        <v>166</v>
      </c>
      <c r="G166" s="1">
        <f t="shared" si="11"/>
        <v>10</v>
      </c>
      <c r="H166" s="1"/>
      <c r="I166" s="1">
        <v>10</v>
      </c>
      <c r="J166" s="1">
        <v>10</v>
      </c>
      <c r="K166" s="1">
        <v>0</v>
      </c>
      <c r="L166" s="1">
        <v>0</v>
      </c>
      <c r="M166" s="1">
        <v>10</v>
      </c>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row>
    <row r="167" spans="1:60" x14ac:dyDescent="0.2">
      <c r="A167" s="3">
        <v>11</v>
      </c>
      <c r="B167" s="3" t="s">
        <v>965</v>
      </c>
      <c r="C167" s="3" t="s">
        <v>966</v>
      </c>
      <c r="D167" s="1"/>
      <c r="E167" s="1">
        <f t="shared" si="10"/>
        <v>40.865633483405098</v>
      </c>
      <c r="F167" s="1">
        <f>MAX(167)</f>
        <v>167</v>
      </c>
      <c r="G167" s="1">
        <f t="shared" si="11"/>
        <v>10</v>
      </c>
      <c r="H167" s="1"/>
      <c r="I167" s="1">
        <v>10</v>
      </c>
      <c r="J167" s="1">
        <v>10</v>
      </c>
      <c r="K167" s="1">
        <v>10</v>
      </c>
      <c r="L167" s="1">
        <v>5.9066129291160401</v>
      </c>
      <c r="M167" s="1">
        <v>10</v>
      </c>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row>
    <row r="168" spans="1:60" x14ac:dyDescent="0.2">
      <c r="A168" s="3">
        <v>126</v>
      </c>
      <c r="B168" s="3" t="s">
        <v>969</v>
      </c>
      <c r="C168" s="3" t="s">
        <v>970</v>
      </c>
      <c r="D168" s="1"/>
      <c r="E168" s="1">
        <f t="shared" si="10"/>
        <v>168</v>
      </c>
      <c r="F168" s="1">
        <f>MAX(168)</f>
        <v>168</v>
      </c>
      <c r="G168" s="1">
        <f t="shared" si="11"/>
        <v>0</v>
      </c>
      <c r="H168" s="1"/>
      <c r="I168" s="1">
        <v>0</v>
      </c>
      <c r="J168" s="1">
        <v>0</v>
      </c>
      <c r="K168" s="1">
        <v>0</v>
      </c>
      <c r="L168" s="1"/>
      <c r="M168" s="1">
        <v>0</v>
      </c>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row>
    <row r="169" spans="1:60" x14ac:dyDescent="0.2">
      <c r="A169" s="3">
        <v>162</v>
      </c>
      <c r="B169" s="3" t="s">
        <v>973</v>
      </c>
      <c r="C169" s="3" t="s">
        <v>974</v>
      </c>
      <c r="D169" s="1"/>
      <c r="E169" s="1">
        <f t="shared" si="10"/>
        <v>169</v>
      </c>
      <c r="F169" s="1">
        <f>MAX(169)</f>
        <v>169</v>
      </c>
      <c r="G169" s="1">
        <f t="shared" si="11"/>
        <v>0</v>
      </c>
      <c r="H169" s="1"/>
      <c r="I169" s="1">
        <v>0</v>
      </c>
      <c r="J169" s="1">
        <v>0</v>
      </c>
      <c r="K169" s="1">
        <v>0</v>
      </c>
      <c r="L169" s="1">
        <v>0</v>
      </c>
      <c r="M169" s="1">
        <v>0</v>
      </c>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row>
    <row r="170" spans="1:60" x14ac:dyDescent="0.2">
      <c r="A170" s="3">
        <v>42</v>
      </c>
      <c r="B170" s="3" t="s">
        <v>978</v>
      </c>
      <c r="C170" s="3" t="s">
        <v>979</v>
      </c>
      <c r="D170" s="1"/>
      <c r="E170" s="1">
        <f t="shared" si="10"/>
        <v>170</v>
      </c>
      <c r="F170" s="1">
        <f>MAX(170)</f>
        <v>170</v>
      </c>
      <c r="G170" s="1">
        <f t="shared" si="11"/>
        <v>0</v>
      </c>
      <c r="H170" s="1"/>
      <c r="I170" s="1">
        <v>0</v>
      </c>
      <c r="J170" s="1">
        <v>0</v>
      </c>
      <c r="K170" s="1">
        <v>0</v>
      </c>
      <c r="L170" s="1"/>
      <c r="M170" s="1">
        <v>0</v>
      </c>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row>
    <row r="171" spans="1:60" x14ac:dyDescent="0.2">
      <c r="A171" s="3">
        <v>128</v>
      </c>
      <c r="B171" s="3" t="s">
        <v>980</v>
      </c>
      <c r="C171" s="3" t="s">
        <v>981</v>
      </c>
      <c r="D171" s="1"/>
      <c r="E171" s="1">
        <f t="shared" si="10"/>
        <v>171</v>
      </c>
      <c r="F171" s="1">
        <f>MAX(171)</f>
        <v>171</v>
      </c>
      <c r="G171" s="1">
        <f t="shared" si="11"/>
        <v>0</v>
      </c>
      <c r="H171" s="1"/>
      <c r="I171" s="1">
        <v>0</v>
      </c>
      <c r="J171" s="1">
        <v>0</v>
      </c>
      <c r="K171" s="1">
        <v>0</v>
      </c>
      <c r="L171" s="1"/>
      <c r="M171" s="1">
        <v>0</v>
      </c>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row>
    <row r="172" spans="1:60" x14ac:dyDescent="0.2">
      <c r="A172" s="3">
        <v>64</v>
      </c>
      <c r="B172" s="3" t="s">
        <v>982</v>
      </c>
      <c r="C172" s="3" t="s">
        <v>983</v>
      </c>
      <c r="D172" s="1"/>
      <c r="E172" s="1">
        <f t="shared" si="10"/>
        <v>172</v>
      </c>
      <c r="F172" s="1">
        <f>MAX(172)</f>
        <v>172</v>
      </c>
      <c r="G172" s="1">
        <f t="shared" si="11"/>
        <v>0</v>
      </c>
      <c r="H172" s="1"/>
      <c r="I172" s="1">
        <v>10</v>
      </c>
      <c r="J172" s="1">
        <v>0</v>
      </c>
      <c r="K172" s="1">
        <v>0</v>
      </c>
      <c r="L172" s="1"/>
      <c r="M172" s="1">
        <v>0</v>
      </c>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row>
    <row r="173" spans="1:60" x14ac:dyDescent="0.2">
      <c r="A173" s="3">
        <v>163</v>
      </c>
      <c r="B173" s="3" t="s">
        <v>984</v>
      </c>
      <c r="C173" s="3" t="s">
        <v>985</v>
      </c>
      <c r="D173" s="1"/>
      <c r="E173" s="1">
        <f t="shared" si="10"/>
        <v>173</v>
      </c>
      <c r="F173" s="1">
        <f>MAX(173)</f>
        <v>173</v>
      </c>
      <c r="G173" s="1">
        <f t="shared" si="11"/>
        <v>0</v>
      </c>
      <c r="H173" s="1"/>
      <c r="I173" s="1">
        <v>0</v>
      </c>
      <c r="J173" s="1">
        <v>0</v>
      </c>
      <c r="K173" s="1">
        <v>0</v>
      </c>
      <c r="L173" s="1"/>
      <c r="M173" s="1">
        <v>0</v>
      </c>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row>
    <row r="174" spans="1:60" x14ac:dyDescent="0.2">
      <c r="A174" s="3">
        <v>65</v>
      </c>
      <c r="B174" s="3" t="s">
        <v>986</v>
      </c>
      <c r="C174" s="3" t="s">
        <v>987</v>
      </c>
      <c r="D174" s="1"/>
      <c r="E174" s="1">
        <f t="shared" si="10"/>
        <v>174</v>
      </c>
      <c r="F174" s="1">
        <f>MAX(174)</f>
        <v>174</v>
      </c>
      <c r="G174" s="1">
        <f t="shared" si="11"/>
        <v>0</v>
      </c>
      <c r="H174" s="1"/>
      <c r="I174" s="1">
        <v>0</v>
      </c>
      <c r="J174" s="1">
        <v>0</v>
      </c>
      <c r="K174" s="1">
        <v>0</v>
      </c>
      <c r="L174" s="1">
        <v>0</v>
      </c>
      <c r="M174" s="1">
        <v>0</v>
      </c>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row>
    <row r="175" spans="1:60" x14ac:dyDescent="0.2">
      <c r="A175" s="3">
        <v>66</v>
      </c>
      <c r="B175" s="3" t="s">
        <v>991</v>
      </c>
      <c r="C175" s="3" t="s">
        <v>992</v>
      </c>
      <c r="D175" s="1"/>
      <c r="E175" s="1">
        <f t="shared" si="10"/>
        <v>175</v>
      </c>
      <c r="F175" s="1">
        <f>MAX(175)</f>
        <v>175</v>
      </c>
      <c r="G175" s="1">
        <f t="shared" si="11"/>
        <v>0</v>
      </c>
      <c r="H175" s="1"/>
      <c r="I175" s="1">
        <v>0</v>
      </c>
      <c r="J175" s="1">
        <v>0</v>
      </c>
      <c r="K175" s="1">
        <v>0</v>
      </c>
      <c r="L175" s="1">
        <v>0</v>
      </c>
      <c r="M175" s="1">
        <v>0</v>
      </c>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row>
    <row r="176" spans="1:60" x14ac:dyDescent="0.2">
      <c r="A176" s="3">
        <v>127</v>
      </c>
      <c r="B176" s="3" t="s">
        <v>995</v>
      </c>
      <c r="C176" s="3" t="s">
        <v>996</v>
      </c>
      <c r="D176" s="1"/>
      <c r="E176" s="1">
        <f t="shared" si="10"/>
        <v>176</v>
      </c>
      <c r="F176" s="1">
        <f>MAX(176)</f>
        <v>176</v>
      </c>
      <c r="G176" s="1">
        <f t="shared" si="11"/>
        <v>0</v>
      </c>
      <c r="H176" s="1"/>
      <c r="I176" s="1">
        <v>0</v>
      </c>
      <c r="J176" s="1">
        <v>0</v>
      </c>
      <c r="K176" s="1">
        <v>0</v>
      </c>
      <c r="L176" s="1">
        <v>0</v>
      </c>
      <c r="M176" s="1">
        <v>0</v>
      </c>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row>
    <row r="177" spans="1:60" x14ac:dyDescent="0.2">
      <c r="A177" s="3">
        <v>129</v>
      </c>
      <c r="B177" s="3" t="s">
        <v>1001</v>
      </c>
      <c r="C177" s="3" t="s">
        <v>1002</v>
      </c>
      <c r="D177" s="1"/>
      <c r="E177" s="1">
        <f t="shared" si="10"/>
        <v>177</v>
      </c>
      <c r="F177" s="1">
        <f>MAX(177)</f>
        <v>177</v>
      </c>
      <c r="G177" s="1">
        <f t="shared" si="11"/>
        <v>0</v>
      </c>
      <c r="H177" s="1"/>
      <c r="I177" s="1">
        <v>10</v>
      </c>
      <c r="J177" s="1">
        <v>0</v>
      </c>
      <c r="K177" s="1"/>
      <c r="L177" s="1"/>
      <c r="M177" s="1">
        <v>0</v>
      </c>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row>
    <row r="178" spans="1:60" x14ac:dyDescent="0.2">
      <c r="A178" s="3">
        <v>125</v>
      </c>
      <c r="B178" s="3" t="s">
        <v>1003</v>
      </c>
      <c r="C178" s="3" t="s">
        <v>1004</v>
      </c>
      <c r="D178" s="1"/>
      <c r="E178" s="1">
        <f t="shared" si="10"/>
        <v>178</v>
      </c>
      <c r="F178" s="1">
        <f>MAX(178)</f>
        <v>178</v>
      </c>
      <c r="G178" s="1">
        <f t="shared" si="11"/>
        <v>0</v>
      </c>
      <c r="H178" s="1"/>
      <c r="I178" s="1">
        <v>0</v>
      </c>
      <c r="J178" s="1">
        <v>0</v>
      </c>
      <c r="K178" s="1">
        <v>0</v>
      </c>
      <c r="L178" s="1"/>
      <c r="M178" s="1">
        <v>0</v>
      </c>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row>
    <row r="179" spans="1:60" x14ac:dyDescent="0.2">
      <c r="A179" s="3">
        <v>67</v>
      </c>
      <c r="B179" s="3" t="s">
        <v>1007</v>
      </c>
      <c r="C179" s="3" t="s">
        <v>1008</v>
      </c>
      <c r="D179" s="1"/>
      <c r="E179" s="1">
        <f t="shared" si="10"/>
        <v>179</v>
      </c>
      <c r="F179" s="1">
        <f>MAX(179)</f>
        <v>179</v>
      </c>
      <c r="G179" s="1">
        <f t="shared" si="11"/>
        <v>0</v>
      </c>
      <c r="H179" s="1"/>
      <c r="I179" s="1">
        <v>0</v>
      </c>
      <c r="J179" s="1">
        <v>0</v>
      </c>
      <c r="K179" s="1">
        <v>0</v>
      </c>
      <c r="L179" s="1">
        <v>10</v>
      </c>
      <c r="M179" s="1">
        <v>10</v>
      </c>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row>
    <row r="180" spans="1:60" x14ac:dyDescent="0.2">
      <c r="A180" s="3">
        <v>16</v>
      </c>
      <c r="B180" s="3" t="s">
        <v>1011</v>
      </c>
      <c r="C180" s="3" t="s">
        <v>1012</v>
      </c>
      <c r="D180" s="1"/>
      <c r="E180" s="1">
        <f t="shared" si="10"/>
        <v>180</v>
      </c>
      <c r="F180" s="1">
        <f>MAX(180)</f>
        <v>180</v>
      </c>
      <c r="G180" s="1">
        <f t="shared" si="11"/>
        <v>0</v>
      </c>
      <c r="H180" s="1"/>
      <c r="I180" s="1">
        <v>0</v>
      </c>
      <c r="J180" s="1">
        <v>0</v>
      </c>
      <c r="K180" s="1">
        <v>0</v>
      </c>
      <c r="L180" s="1">
        <v>0</v>
      </c>
      <c r="M180" s="1">
        <v>0</v>
      </c>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row>
    <row r="181" spans="1:60" x14ac:dyDescent="0.2">
      <c r="A181" s="3">
        <v>165</v>
      </c>
      <c r="B181" s="3" t="s">
        <v>1015</v>
      </c>
      <c r="C181" s="3" t="s">
        <v>1016</v>
      </c>
      <c r="D181" s="1"/>
      <c r="E181" s="1">
        <f t="shared" si="10"/>
        <v>181</v>
      </c>
      <c r="F181" s="1">
        <f>MAX(181)</f>
        <v>181</v>
      </c>
      <c r="G181" s="1">
        <f t="shared" si="11"/>
        <v>0</v>
      </c>
      <c r="H181" s="1"/>
      <c r="I181" s="1">
        <v>0</v>
      </c>
      <c r="J181" s="1">
        <v>0</v>
      </c>
      <c r="K181" s="1">
        <v>0</v>
      </c>
      <c r="L181" s="1"/>
      <c r="M181" s="1">
        <v>0</v>
      </c>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row>
    <row r="182" spans="1:60" x14ac:dyDescent="0.2">
      <c r="A182" s="3">
        <v>164</v>
      </c>
      <c r="B182" s="3" t="s">
        <v>1019</v>
      </c>
      <c r="C182" s="3" t="s">
        <v>1020</v>
      </c>
      <c r="D182" s="1"/>
      <c r="E182" s="1">
        <f t="shared" si="10"/>
        <v>182</v>
      </c>
      <c r="F182" s="1">
        <f>MAX(182)</f>
        <v>182</v>
      </c>
      <c r="G182" s="1">
        <f t="shared" si="11"/>
        <v>0</v>
      </c>
      <c r="H182" s="1"/>
      <c r="I182" s="1">
        <v>0</v>
      </c>
      <c r="J182" s="1">
        <v>0</v>
      </c>
      <c r="K182" s="1">
        <v>0</v>
      </c>
      <c r="L182" s="1">
        <v>0</v>
      </c>
      <c r="M182" s="1">
        <v>0</v>
      </c>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row>
    <row r="183" spans="1:60" x14ac:dyDescent="0.2">
      <c r="A183" s="3">
        <v>130</v>
      </c>
      <c r="B183" s="3" t="s">
        <v>1022</v>
      </c>
      <c r="C183" s="3" t="s">
        <v>1023</v>
      </c>
      <c r="D183" s="1"/>
      <c r="E183" s="1">
        <f t="shared" si="10"/>
        <v>183</v>
      </c>
      <c r="F183" s="1">
        <f>MAX(183)</f>
        <v>183</v>
      </c>
      <c r="G183" s="1">
        <f t="shared" si="11"/>
        <v>0</v>
      </c>
      <c r="H183" s="1"/>
      <c r="I183" s="1">
        <v>0</v>
      </c>
      <c r="J183" s="1">
        <v>0</v>
      </c>
      <c r="K183" s="1">
        <v>0</v>
      </c>
      <c r="L183" s="1"/>
      <c r="M183" s="1">
        <v>0</v>
      </c>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row>
    <row r="184" spans="1:60" x14ac:dyDescent="0.2">
      <c r="A184" s="3">
        <v>157</v>
      </c>
      <c r="B184" s="3" t="s">
        <v>1026</v>
      </c>
      <c r="C184" s="3" t="s">
        <v>1027</v>
      </c>
      <c r="D184" s="1"/>
      <c r="E184" s="1">
        <f t="shared" si="10"/>
        <v>184</v>
      </c>
      <c r="F184" s="1">
        <f>MAX(184)</f>
        <v>184</v>
      </c>
      <c r="G184" s="1">
        <f t="shared" si="11"/>
        <v>0</v>
      </c>
      <c r="H184" s="1"/>
      <c r="I184" s="1">
        <v>0</v>
      </c>
      <c r="J184" s="1">
        <v>0</v>
      </c>
      <c r="K184" s="1">
        <v>0</v>
      </c>
      <c r="L184" s="1"/>
      <c r="M184" s="1">
        <v>0</v>
      </c>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row>
    <row r="185" spans="1:60" x14ac:dyDescent="0.2">
      <c r="A185" s="3">
        <v>68</v>
      </c>
      <c r="B185" s="3" t="s">
        <v>1029</v>
      </c>
      <c r="C185" s="3" t="s">
        <v>1030</v>
      </c>
      <c r="D185" s="1"/>
      <c r="E185" s="1">
        <f t="shared" si="10"/>
        <v>185</v>
      </c>
      <c r="F185" s="1">
        <f>MAX(185)</f>
        <v>185</v>
      </c>
      <c r="G185" s="1">
        <f t="shared" si="11"/>
        <v>0</v>
      </c>
      <c r="H185" s="1"/>
      <c r="I185" s="1">
        <v>10</v>
      </c>
      <c r="J185" s="1">
        <v>0</v>
      </c>
      <c r="K185" s="1">
        <v>0</v>
      </c>
      <c r="L185" s="1">
        <v>0</v>
      </c>
      <c r="M185" s="1">
        <v>0</v>
      </c>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row>
    <row r="186" spans="1:60" x14ac:dyDescent="0.2">
      <c r="A186" s="3">
        <v>190</v>
      </c>
      <c r="B186" s="3" t="s">
        <v>1033</v>
      </c>
      <c r="C186" s="3" t="s">
        <v>1034</v>
      </c>
      <c r="D186" s="1"/>
      <c r="E186" s="1">
        <f t="shared" si="10"/>
        <v>186</v>
      </c>
      <c r="F186" s="1">
        <f>MAX(186)</f>
        <v>186</v>
      </c>
      <c r="G186" s="1">
        <f t="shared" si="11"/>
        <v>0</v>
      </c>
      <c r="H186" s="1"/>
      <c r="I186" s="1">
        <v>0</v>
      </c>
      <c r="J186" s="1">
        <v>0</v>
      </c>
      <c r="K186" s="1">
        <v>0</v>
      </c>
      <c r="L186" s="1"/>
      <c r="M186" s="1">
        <v>0</v>
      </c>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row>
    <row r="187" spans="1:60" x14ac:dyDescent="0.2">
      <c r="A187" s="3">
        <v>131</v>
      </c>
      <c r="B187" s="3" t="s">
        <v>1035</v>
      </c>
      <c r="C187" s="3" t="s">
        <v>1036</v>
      </c>
      <c r="D187" s="1"/>
      <c r="E187" s="1">
        <f t="shared" si="10"/>
        <v>187</v>
      </c>
      <c r="F187" s="1">
        <f>MAX(187)</f>
        <v>187</v>
      </c>
      <c r="G187" s="1">
        <f t="shared" si="11"/>
        <v>0</v>
      </c>
      <c r="H187" s="1"/>
      <c r="I187" s="1">
        <v>0</v>
      </c>
      <c r="J187" s="1">
        <v>0</v>
      </c>
      <c r="K187" s="1"/>
      <c r="L187" s="1"/>
      <c r="M187" s="1">
        <v>0</v>
      </c>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row>
    <row r="188" spans="1:60" x14ac:dyDescent="0.2">
      <c r="A188" s="3">
        <v>120</v>
      </c>
      <c r="B188" s="3" t="s">
        <v>1037</v>
      </c>
      <c r="C188" s="3" t="s">
        <v>1038</v>
      </c>
      <c r="D188" s="1"/>
      <c r="E188" s="1">
        <f t="shared" si="10"/>
        <v>188</v>
      </c>
      <c r="F188" s="1">
        <f>MAX(188)</f>
        <v>188</v>
      </c>
      <c r="G188" s="1">
        <f t="shared" si="11"/>
        <v>0</v>
      </c>
      <c r="H188" s="1"/>
      <c r="I188" s="1">
        <v>0</v>
      </c>
      <c r="J188" s="1">
        <v>0</v>
      </c>
      <c r="K188" s="1"/>
      <c r="L188" s="1"/>
      <c r="M188" s="1">
        <v>0</v>
      </c>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row>
    <row r="189" spans="1:60" x14ac:dyDescent="0.2">
      <c r="A189" s="3">
        <v>26</v>
      </c>
      <c r="B189" s="3" t="s">
        <v>1039</v>
      </c>
      <c r="C189" s="3" t="s">
        <v>1040</v>
      </c>
      <c r="D189" s="1"/>
      <c r="E189" s="1">
        <f t="shared" si="10"/>
        <v>43.474130238568314</v>
      </c>
      <c r="F189" s="1">
        <f>MAX(189)</f>
        <v>189</v>
      </c>
      <c r="G189" s="1">
        <f t="shared" si="11"/>
        <v>10</v>
      </c>
      <c r="H189" s="1"/>
      <c r="I189" s="1">
        <v>10</v>
      </c>
      <c r="J189" s="1">
        <v>0</v>
      </c>
      <c r="K189" s="1">
        <v>10</v>
      </c>
      <c r="L189" s="1">
        <v>0</v>
      </c>
      <c r="M189" s="1">
        <v>10</v>
      </c>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row>
    <row r="190" spans="1:60" x14ac:dyDescent="0.2">
      <c r="A190" s="3">
        <v>41</v>
      </c>
      <c r="B190" s="3" t="s">
        <v>1043</v>
      </c>
      <c r="C190" s="3" t="s">
        <v>1044</v>
      </c>
      <c r="D190" s="1"/>
      <c r="E190" s="1">
        <f t="shared" si="10"/>
        <v>190</v>
      </c>
      <c r="F190" s="1">
        <f>MAX(190)</f>
        <v>190</v>
      </c>
      <c r="G190" s="1">
        <f t="shared" si="11"/>
        <v>0</v>
      </c>
      <c r="H190" s="1"/>
      <c r="I190" s="1">
        <v>0</v>
      </c>
      <c r="J190" s="1">
        <v>0</v>
      </c>
      <c r="K190" s="1">
        <v>0</v>
      </c>
      <c r="L190" s="1"/>
      <c r="M190" s="1">
        <v>0</v>
      </c>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row>
    <row r="191" spans="1:60" x14ac:dyDescent="0.2">
      <c r="A191" s="3">
        <v>43</v>
      </c>
      <c r="B191" s="3" t="s">
        <v>1049</v>
      </c>
      <c r="C191" s="3" t="s">
        <v>1050</v>
      </c>
      <c r="D191" s="1"/>
      <c r="E191" s="1">
        <f t="shared" si="10"/>
        <v>191</v>
      </c>
      <c r="F191" s="1">
        <f>MAX(191)</f>
        <v>191</v>
      </c>
      <c r="G191" s="1">
        <f t="shared" si="11"/>
        <v>0</v>
      </c>
      <c r="H191" s="1"/>
      <c r="I191" s="1">
        <v>0</v>
      </c>
      <c r="J191" s="1">
        <v>0</v>
      </c>
      <c r="K191" s="1">
        <v>0</v>
      </c>
      <c r="L191" s="1"/>
      <c r="M191" s="1">
        <v>0</v>
      </c>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row>
    <row r="192" spans="1:60" x14ac:dyDescent="0.2">
      <c r="A192" s="3">
        <v>17</v>
      </c>
      <c r="B192" s="3" t="s">
        <v>1053</v>
      </c>
      <c r="C192" s="3" t="s">
        <v>1054</v>
      </c>
      <c r="D192" s="1"/>
      <c r="E192" s="1">
        <f t="shared" si="10"/>
        <v>43.81780460041329</v>
      </c>
      <c r="F192" s="1">
        <f>MAX(192)</f>
        <v>192</v>
      </c>
      <c r="G192" s="1">
        <f t="shared" si="11"/>
        <v>10</v>
      </c>
      <c r="H192" s="1"/>
      <c r="I192" s="1">
        <v>10</v>
      </c>
      <c r="J192" s="1">
        <v>0</v>
      </c>
      <c r="K192" s="1">
        <v>10</v>
      </c>
      <c r="L192" s="1"/>
      <c r="M192" s="1">
        <v>10</v>
      </c>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row>
    <row r="193" spans="1:60" x14ac:dyDescent="0.2">
      <c r="A193" s="3"/>
      <c r="B193" s="3"/>
      <c r="C193" s="3"/>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row>
    <row r="194" spans="1:60" x14ac:dyDescent="0.2">
      <c r="A194" s="3"/>
      <c r="B194" s="3"/>
      <c r="C194" s="3"/>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row>
    <row r="195" spans="1:60" x14ac:dyDescent="0.2">
      <c r="A195" s="3"/>
      <c r="B195" s="3"/>
      <c r="C195" s="3"/>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row>
    <row r="196" spans="1:60" x14ac:dyDescent="0.2">
      <c r="A196" s="3"/>
      <c r="B196" s="3"/>
      <c r="C196" s="3"/>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row>
    <row r="197" spans="1:60" x14ac:dyDescent="0.2">
      <c r="A197" s="3"/>
      <c r="B197" s="3"/>
      <c r="C197" s="3"/>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row>
    <row r="198" spans="1:60" x14ac:dyDescent="0.2">
      <c r="A198" s="3"/>
      <c r="B198" s="3"/>
      <c r="C198" s="3"/>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row>
    <row r="199" spans="1:60" x14ac:dyDescent="0.2">
      <c r="A199" s="3"/>
      <c r="B199" s="3"/>
      <c r="C199" s="3"/>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row>
    <row r="200" spans="1:60" x14ac:dyDescent="0.2">
      <c r="A200" s="3"/>
      <c r="B200" s="3"/>
      <c r="C200" s="3"/>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row>
  </sheetData>
  <conditionalFormatting sqref="E1:E192">
    <cfRule type="expression" dxfId="75" priority="12">
      <formula>E1=10</formula>
    </cfRule>
    <cfRule type="cellIs" dxfId="74" priority="11" operator="between">
      <formula>7</formula>
      <formula>9.99</formula>
    </cfRule>
    <cfRule type="cellIs" dxfId="73" priority="10" operator="between">
      <formula>0</formula>
      <formula>6.999</formula>
    </cfRule>
    <cfRule type="expression" dxfId="72" priority="9">
      <formula>E1=""</formula>
    </cfRule>
  </conditionalFormatting>
  <conditionalFormatting sqref="F1:F192">
    <cfRule type="expression" dxfId="71" priority="8">
      <formula>F1=10</formula>
    </cfRule>
    <cfRule type="cellIs" dxfId="70" priority="7" operator="between">
      <formula>7</formula>
      <formula>9.99</formula>
    </cfRule>
    <cfRule type="cellIs" dxfId="69" priority="6" operator="between">
      <formula>0</formula>
      <formula>6.999</formula>
    </cfRule>
    <cfRule type="expression" dxfId="68" priority="5">
      <formula>F1=""</formula>
    </cfRule>
  </conditionalFormatting>
  <conditionalFormatting sqref="G1:G192">
    <cfRule type="expression" dxfId="67" priority="4">
      <formula>G1=10</formula>
    </cfRule>
    <cfRule type="cellIs" dxfId="66" priority="3" operator="between">
      <formula>7</formula>
      <formula>9.99</formula>
    </cfRule>
    <cfRule type="cellIs" dxfId="65" priority="2" operator="between">
      <formula>0</formula>
      <formula>6.999</formula>
    </cfRule>
    <cfRule type="expression" dxfId="64" priority="1">
      <formula>G1=""</formula>
    </cfRule>
  </conditionalFormatting>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H200"/>
  <sheetViews>
    <sheetView workbookViewId="0"/>
  </sheetViews>
  <sheetFormatPr baseColWidth="10" defaultColWidth="8.7109375" defaultRowHeight="16" x14ac:dyDescent="0.2"/>
  <cols>
    <col min="1" max="1" width="3.7109375" customWidth="1"/>
    <col min="2" max="2" width="22.7109375" customWidth="1"/>
    <col min="4" max="4" width="3.7109375" customWidth="1"/>
    <col min="8" max="8" width="3.7109375" customWidth="1"/>
  </cols>
  <sheetData>
    <row r="1" spans="1:60" x14ac:dyDescent="0.2">
      <c r="A1" s="3"/>
      <c r="B1" s="3"/>
      <c r="C1" s="3"/>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row>
    <row r="2" spans="1:60" ht="99" x14ac:dyDescent="0.2">
      <c r="A2" s="4" t="s">
        <v>0</v>
      </c>
      <c r="B2" s="4" t="s">
        <v>1</v>
      </c>
      <c r="C2" s="4" t="s">
        <v>2</v>
      </c>
      <c r="D2" s="2" t="s">
        <v>3</v>
      </c>
      <c r="E2" s="2" t="s">
        <v>4</v>
      </c>
      <c r="F2" s="2" t="s">
        <v>5</v>
      </c>
      <c r="G2" s="2" t="s">
        <v>6</v>
      </c>
      <c r="H2" s="2" t="s">
        <v>7</v>
      </c>
      <c r="I2" s="2" t="s">
        <v>1100</v>
      </c>
      <c r="J2" s="2" t="s">
        <v>1101</v>
      </c>
      <c r="K2" s="2" t="s">
        <v>1102</v>
      </c>
      <c r="L2" s="2" t="s">
        <v>1103</v>
      </c>
      <c r="M2" s="2" t="s">
        <v>1104</v>
      </c>
      <c r="N2" s="2" t="s">
        <v>1105</v>
      </c>
      <c r="O2" s="2" t="s">
        <v>1106</v>
      </c>
      <c r="P2" s="2" t="s">
        <v>1107</v>
      </c>
      <c r="Q2" s="2" t="s">
        <v>1108</v>
      </c>
      <c r="R2" s="2" t="s">
        <v>1109</v>
      </c>
      <c r="S2" s="2" t="s">
        <v>1110</v>
      </c>
      <c r="T2" s="2" t="s">
        <v>1111</v>
      </c>
      <c r="U2" s="2" t="s">
        <v>1112</v>
      </c>
      <c r="V2" s="2" t="s">
        <v>1113</v>
      </c>
      <c r="W2" s="2" t="s">
        <v>1114</v>
      </c>
      <c r="X2" s="2" t="s">
        <v>1115</v>
      </c>
      <c r="Y2" s="2" t="s">
        <v>1116</v>
      </c>
      <c r="Z2" s="2" t="s">
        <v>1117</v>
      </c>
      <c r="AA2" s="2" t="s">
        <v>1118</v>
      </c>
      <c r="AB2" s="2" t="s">
        <v>1119</v>
      </c>
      <c r="AC2" s="2" t="s">
        <v>1120</v>
      </c>
      <c r="AD2" s="2" t="s">
        <v>1121</v>
      </c>
      <c r="AE2" s="2" t="s">
        <v>1122</v>
      </c>
      <c r="AF2" s="2" t="s">
        <v>1123</v>
      </c>
      <c r="AG2" s="2" t="s">
        <v>1124</v>
      </c>
      <c r="AH2" s="2" t="s">
        <v>1125</v>
      </c>
      <c r="AI2" s="2" t="s">
        <v>1126</v>
      </c>
      <c r="AJ2" s="2" t="s">
        <v>1127</v>
      </c>
      <c r="AK2" s="2" t="s">
        <v>1128</v>
      </c>
      <c r="AL2" s="2" t="s">
        <v>1129</v>
      </c>
      <c r="AM2" s="2" t="s">
        <v>1130</v>
      </c>
      <c r="AN2" s="2" t="s">
        <v>1131</v>
      </c>
      <c r="AO2" s="2" t="s">
        <v>1132</v>
      </c>
      <c r="AP2" s="2" t="s">
        <v>1133</v>
      </c>
      <c r="AQ2" s="2" t="s">
        <v>1134</v>
      </c>
      <c r="AR2" s="2" t="s">
        <v>1135</v>
      </c>
      <c r="AS2" s="2" t="s">
        <v>1136</v>
      </c>
      <c r="AT2" s="2" t="s">
        <v>1137</v>
      </c>
      <c r="AU2" s="2" t="s">
        <v>1138</v>
      </c>
      <c r="AV2" s="2" t="s">
        <v>1139</v>
      </c>
      <c r="AW2" s="2" t="s">
        <v>1140</v>
      </c>
      <c r="AX2" s="2" t="s">
        <v>1141</v>
      </c>
      <c r="AY2" s="2" t="s">
        <v>1142</v>
      </c>
      <c r="AZ2" s="2" t="s">
        <v>1143</v>
      </c>
      <c r="BA2" s="2" t="s">
        <v>1144</v>
      </c>
      <c r="BB2" s="2" t="s">
        <v>1145</v>
      </c>
      <c r="BC2" s="2"/>
      <c r="BD2" s="2"/>
      <c r="BE2" s="2"/>
      <c r="BF2" s="1"/>
      <c r="BG2" s="1"/>
      <c r="BH2" s="1"/>
    </row>
    <row r="3" spans="1:60" x14ac:dyDescent="0.2">
      <c r="A3" s="3">
        <v>1</v>
      </c>
      <c r="B3" s="3" t="s">
        <v>93</v>
      </c>
      <c r="C3" s="3" t="s">
        <v>94</v>
      </c>
      <c r="D3" s="1"/>
      <c r="E3" s="1">
        <f t="shared" ref="E3:E34" si="0">IFERROR(GEOMEAN(F3, G3), MAX(F3, G3))</f>
        <v>5.819408445077431</v>
      </c>
      <c r="F3" s="1">
        <f t="shared" ref="F3:F34" si="1">MAX(AZ3)</f>
        <v>9.9338842975206596</v>
      </c>
      <c r="G3" s="1">
        <f t="shared" ref="G3:G34" si="2">MAX(AY3)</f>
        <v>3.4090909090908998</v>
      </c>
      <c r="H3" s="1"/>
      <c r="I3" s="1">
        <v>4</v>
      </c>
      <c r="J3" s="1">
        <v>6</v>
      </c>
      <c r="K3" s="1"/>
      <c r="L3" s="1">
        <v>3</v>
      </c>
      <c r="M3" s="1">
        <v>1.7</v>
      </c>
      <c r="N3" s="1">
        <v>8</v>
      </c>
      <c r="O3" s="1">
        <v>4.4000000000000004</v>
      </c>
      <c r="P3" s="1">
        <v>5</v>
      </c>
      <c r="Q3" s="1">
        <v>4.2750000000000004</v>
      </c>
      <c r="R3" s="1">
        <v>4.6375000000000002</v>
      </c>
      <c r="S3" s="1">
        <v>10</v>
      </c>
      <c r="T3" s="1">
        <v>2.7</v>
      </c>
      <c r="U3" s="1">
        <v>1.8</v>
      </c>
      <c r="V3" s="1">
        <v>2.9</v>
      </c>
      <c r="W3" s="1">
        <v>-5.5</v>
      </c>
      <c r="X3" s="1">
        <v>1</v>
      </c>
      <c r="Y3" s="1">
        <v>-8.4</v>
      </c>
      <c r="Z3" s="1" t="s">
        <v>1146</v>
      </c>
      <c r="AA3" s="1" t="s">
        <v>1147</v>
      </c>
      <c r="AB3" s="1" t="s">
        <v>1148</v>
      </c>
      <c r="AC3" s="1">
        <v>-6</v>
      </c>
      <c r="AD3" s="1">
        <v>10</v>
      </c>
      <c r="AE3" s="1">
        <v>10</v>
      </c>
      <c r="AF3" s="1">
        <v>7</v>
      </c>
      <c r="AG3" s="1">
        <v>6.6666666666666696</v>
      </c>
      <c r="AH3" s="1"/>
      <c r="AI3" s="1"/>
      <c r="AJ3" s="1"/>
      <c r="AK3" s="1"/>
      <c r="AL3" s="1"/>
      <c r="AM3" s="1"/>
      <c r="AN3" s="1"/>
      <c r="AO3" s="1"/>
      <c r="AP3" s="1"/>
      <c r="AQ3" s="1"/>
      <c r="AR3" s="1"/>
      <c r="AS3" s="1">
        <v>69</v>
      </c>
      <c r="AT3" s="1">
        <v>70</v>
      </c>
      <c r="AU3" s="1">
        <v>69.636363636363598</v>
      </c>
      <c r="AV3" s="1">
        <v>-1</v>
      </c>
      <c r="AW3" s="1">
        <v>-0.63636363636364002</v>
      </c>
      <c r="AX3" s="1">
        <v>9.8181818181818201</v>
      </c>
      <c r="AY3" s="1">
        <v>3.4090909090908998</v>
      </c>
      <c r="AZ3" s="1">
        <v>9.9338842975206596</v>
      </c>
      <c r="BA3" s="1"/>
      <c r="BB3" s="1"/>
      <c r="BC3" s="1"/>
      <c r="BD3" s="1"/>
      <c r="BE3" s="1"/>
      <c r="BF3" s="1"/>
      <c r="BG3" s="1"/>
      <c r="BH3" s="1"/>
    </row>
    <row r="4" spans="1:60" x14ac:dyDescent="0.2">
      <c r="A4" s="3">
        <v>2</v>
      </c>
      <c r="B4" s="3" t="s">
        <v>114</v>
      </c>
      <c r="C4" s="3" t="s">
        <v>115</v>
      </c>
      <c r="D4" s="1"/>
      <c r="E4" s="1">
        <f t="shared" si="0"/>
        <v>6.6057825907581647</v>
      </c>
      <c r="F4" s="1">
        <f t="shared" si="1"/>
        <v>8.7272727272727302</v>
      </c>
      <c r="G4" s="1">
        <f t="shared" si="2"/>
        <v>5</v>
      </c>
      <c r="H4" s="1"/>
      <c r="I4" s="1">
        <v>4</v>
      </c>
      <c r="J4" s="1">
        <v>4</v>
      </c>
      <c r="K4" s="1">
        <v>0</v>
      </c>
      <c r="L4" s="1">
        <v>0</v>
      </c>
      <c r="M4" s="1">
        <v>1.3</v>
      </c>
      <c r="N4" s="1">
        <v>0</v>
      </c>
      <c r="O4" s="1">
        <v>3.4</v>
      </c>
      <c r="P4" s="1">
        <v>2.6666666666666701</v>
      </c>
      <c r="Q4" s="1">
        <v>1.175</v>
      </c>
      <c r="R4" s="1">
        <v>1.9208333333333301</v>
      </c>
      <c r="S4" s="1">
        <v>0.46904315196998098</v>
      </c>
      <c r="T4" s="1">
        <v>-0.1</v>
      </c>
      <c r="U4" s="1">
        <v>-2</v>
      </c>
      <c r="V4" s="1">
        <v>-0.9</v>
      </c>
      <c r="W4" s="1">
        <v>-4</v>
      </c>
      <c r="X4" s="1">
        <v>3.1</v>
      </c>
      <c r="Y4" s="1">
        <v>-3.1</v>
      </c>
      <c r="Z4" s="1" t="s">
        <v>1149</v>
      </c>
      <c r="AA4" s="1" t="s">
        <v>1150</v>
      </c>
      <c r="AB4" s="1" t="s">
        <v>889</v>
      </c>
      <c r="AC4" s="1">
        <v>0.1</v>
      </c>
      <c r="AD4" s="1">
        <v>6.2</v>
      </c>
      <c r="AE4" s="1">
        <v>0</v>
      </c>
      <c r="AF4" s="1">
        <v>8.1999999999999993</v>
      </c>
      <c r="AG4" s="1">
        <v>6.0073333333333299</v>
      </c>
      <c r="AH4" s="1">
        <v>0</v>
      </c>
      <c r="AI4" s="1">
        <v>1</v>
      </c>
      <c r="AJ4" s="1">
        <v>0</v>
      </c>
      <c r="AK4" s="1">
        <v>0.5</v>
      </c>
      <c r="AL4" s="1">
        <v>0</v>
      </c>
      <c r="AM4" s="1">
        <v>0</v>
      </c>
      <c r="AN4" s="1">
        <v>0.5</v>
      </c>
      <c r="AO4" s="1">
        <v>0</v>
      </c>
      <c r="AP4" s="1">
        <v>1</v>
      </c>
      <c r="AQ4" s="1">
        <v>1.5</v>
      </c>
      <c r="AR4" s="1">
        <v>7.1428571428571397</v>
      </c>
      <c r="AS4" s="1">
        <v>63</v>
      </c>
      <c r="AT4" s="1">
        <v>63</v>
      </c>
      <c r="AU4" s="1">
        <v>63</v>
      </c>
      <c r="AV4" s="1">
        <v>0</v>
      </c>
      <c r="AW4" s="1">
        <v>0</v>
      </c>
      <c r="AX4" s="1">
        <v>8.7272727272727302</v>
      </c>
      <c r="AY4" s="1">
        <v>5</v>
      </c>
      <c r="AZ4" s="1">
        <v>8.7272727272727302</v>
      </c>
      <c r="BA4" s="1"/>
      <c r="BB4" s="1"/>
      <c r="BC4" s="1"/>
      <c r="BD4" s="1"/>
      <c r="BE4" s="1"/>
      <c r="BF4" s="1"/>
      <c r="BG4" s="1"/>
      <c r="BH4" s="1"/>
    </row>
    <row r="5" spans="1:60" x14ac:dyDescent="0.2">
      <c r="A5" s="3">
        <v>3</v>
      </c>
      <c r="B5" s="3" t="s">
        <v>131</v>
      </c>
      <c r="C5" s="3" t="s">
        <v>132</v>
      </c>
      <c r="D5" s="1"/>
      <c r="E5" s="1">
        <f t="shared" si="0"/>
        <v>3.988620176087327</v>
      </c>
      <c r="F5" s="1">
        <f t="shared" si="1"/>
        <v>6.3636363636363598</v>
      </c>
      <c r="G5" s="1">
        <f t="shared" si="2"/>
        <v>2.5</v>
      </c>
      <c r="H5" s="1"/>
      <c r="I5" s="1">
        <v>0</v>
      </c>
      <c r="J5" s="1">
        <v>4</v>
      </c>
      <c r="K5" s="1">
        <v>5</v>
      </c>
      <c r="L5" s="1">
        <v>4</v>
      </c>
      <c r="M5" s="1">
        <v>0.9</v>
      </c>
      <c r="N5" s="1">
        <v>3</v>
      </c>
      <c r="O5" s="1">
        <v>4.2</v>
      </c>
      <c r="P5" s="1">
        <v>3</v>
      </c>
      <c r="Q5" s="1">
        <v>3.0249999999999999</v>
      </c>
      <c r="R5" s="1">
        <v>3.0125000000000002</v>
      </c>
      <c r="S5" s="1">
        <v>5.3846153846153904</v>
      </c>
      <c r="T5" s="1">
        <v>3.8</v>
      </c>
      <c r="U5" s="1">
        <v>4.0999999999999996</v>
      </c>
      <c r="V5" s="1">
        <v>2.2000000000000002</v>
      </c>
      <c r="W5" s="1">
        <v>-5</v>
      </c>
      <c r="X5" s="1">
        <v>8.8000000000000007</v>
      </c>
      <c r="Y5" s="1">
        <v>-7.2</v>
      </c>
      <c r="Z5" s="1" t="s">
        <v>116</v>
      </c>
      <c r="AA5" s="1" t="s">
        <v>1151</v>
      </c>
      <c r="AB5" s="1" t="s">
        <v>97</v>
      </c>
      <c r="AC5" s="1">
        <v>-7.2</v>
      </c>
      <c r="AD5" s="1">
        <v>10</v>
      </c>
      <c r="AE5" s="1">
        <v>10</v>
      </c>
      <c r="AF5" s="1">
        <v>7.8</v>
      </c>
      <c r="AG5" s="1">
        <v>8.3526666666666696</v>
      </c>
      <c r="AH5" s="1"/>
      <c r="AI5" s="1"/>
      <c r="AJ5" s="1"/>
      <c r="AK5" s="1"/>
      <c r="AL5" s="1"/>
      <c r="AM5" s="1"/>
      <c r="AN5" s="1"/>
      <c r="AO5" s="1"/>
      <c r="AP5" s="1"/>
      <c r="AQ5" s="1"/>
      <c r="AR5" s="1"/>
      <c r="AS5" s="1">
        <v>49</v>
      </c>
      <c r="AT5" s="1">
        <v>49</v>
      </c>
      <c r="AU5" s="1">
        <v>50</v>
      </c>
      <c r="AV5" s="1">
        <v>0</v>
      </c>
      <c r="AW5" s="1">
        <v>-1</v>
      </c>
      <c r="AX5" s="1">
        <v>6.1818181818181799</v>
      </c>
      <c r="AY5" s="1">
        <v>2.5</v>
      </c>
      <c r="AZ5" s="1">
        <v>6.3636363636363598</v>
      </c>
      <c r="BA5" s="1"/>
      <c r="BB5" s="1"/>
      <c r="BC5" s="1"/>
      <c r="BD5" s="1"/>
      <c r="BE5" s="1"/>
      <c r="BF5" s="1"/>
      <c r="BG5" s="1"/>
      <c r="BH5" s="1"/>
    </row>
    <row r="6" spans="1:60" x14ac:dyDescent="0.2">
      <c r="A6" s="3">
        <v>4</v>
      </c>
      <c r="B6" s="3" t="s">
        <v>142</v>
      </c>
      <c r="C6" s="3" t="s">
        <v>143</v>
      </c>
      <c r="D6" s="1"/>
      <c r="E6" s="1">
        <f t="shared" si="0"/>
        <v>4.0451991747794507</v>
      </c>
      <c r="F6" s="1">
        <f t="shared" si="1"/>
        <v>3.2727272727272698</v>
      </c>
      <c r="G6" s="1">
        <f t="shared" si="2"/>
        <v>5</v>
      </c>
      <c r="H6" s="1"/>
      <c r="I6" s="1">
        <v>3</v>
      </c>
      <c r="J6" s="1">
        <v>3</v>
      </c>
      <c r="K6" s="1">
        <v>4</v>
      </c>
      <c r="L6" s="1"/>
      <c r="M6" s="1"/>
      <c r="N6" s="1"/>
      <c r="O6" s="1"/>
      <c r="P6" s="1">
        <v>3.3333333333333299</v>
      </c>
      <c r="Q6" s="1"/>
      <c r="R6" s="1">
        <v>3.3333333333333299</v>
      </c>
      <c r="S6" s="1">
        <v>6.8292682926829302</v>
      </c>
      <c r="T6" s="1">
        <v>0.5</v>
      </c>
      <c r="U6" s="1">
        <v>1.7</v>
      </c>
      <c r="V6" s="1">
        <v>1.7</v>
      </c>
      <c r="W6" s="1">
        <v>-4.5</v>
      </c>
      <c r="X6" s="1">
        <v>1.4</v>
      </c>
      <c r="Y6" s="1">
        <v>-6.2</v>
      </c>
      <c r="Z6" s="1" t="s">
        <v>95</v>
      </c>
      <c r="AA6" s="1" t="s">
        <v>1152</v>
      </c>
      <c r="AB6" s="1" t="s">
        <v>1153</v>
      </c>
      <c r="AC6" s="1">
        <v>-4.8</v>
      </c>
      <c r="AD6" s="1">
        <v>10</v>
      </c>
      <c r="AE6" s="1">
        <v>9.6</v>
      </c>
      <c r="AF6" s="1">
        <v>8</v>
      </c>
      <c r="AG6" s="1">
        <v>7.7113333333333296</v>
      </c>
      <c r="AH6" s="1"/>
      <c r="AI6" s="1"/>
      <c r="AJ6" s="1"/>
      <c r="AK6" s="1"/>
      <c r="AL6" s="1"/>
      <c r="AM6" s="1"/>
      <c r="AN6" s="1"/>
      <c r="AO6" s="1"/>
      <c r="AP6" s="1"/>
      <c r="AQ6" s="1"/>
      <c r="AR6" s="1"/>
      <c r="AS6" s="1">
        <v>33</v>
      </c>
      <c r="AT6" s="1">
        <v>33</v>
      </c>
      <c r="AU6" s="1">
        <v>33</v>
      </c>
      <c r="AV6" s="1">
        <v>0</v>
      </c>
      <c r="AW6" s="1">
        <v>0</v>
      </c>
      <c r="AX6" s="1">
        <v>3.2727272727272698</v>
      </c>
      <c r="AY6" s="1">
        <v>5</v>
      </c>
      <c r="AZ6" s="1">
        <v>3.2727272727272698</v>
      </c>
      <c r="BA6" s="1">
        <v>0.13200000000000001</v>
      </c>
      <c r="BB6" s="1">
        <v>6.6</v>
      </c>
      <c r="BC6" s="1"/>
      <c r="BD6" s="1"/>
      <c r="BE6" s="1"/>
      <c r="BF6" s="1"/>
      <c r="BG6" s="1"/>
      <c r="BH6" s="1"/>
    </row>
    <row r="7" spans="1:60" x14ac:dyDescent="0.2">
      <c r="A7" s="3">
        <v>5</v>
      </c>
      <c r="B7" s="3" t="s">
        <v>150</v>
      </c>
      <c r="C7" s="3" t="s">
        <v>151</v>
      </c>
      <c r="D7" s="1"/>
      <c r="E7" s="1">
        <f t="shared" si="0"/>
        <v>3.7821995993292119</v>
      </c>
      <c r="F7" s="1">
        <f t="shared" si="1"/>
        <v>7.8677685950413201</v>
      </c>
      <c r="G7" s="1">
        <f t="shared" si="2"/>
        <v>1.8181818181818199</v>
      </c>
      <c r="H7" s="1"/>
      <c r="I7" s="1">
        <v>3</v>
      </c>
      <c r="J7" s="1">
        <v>3</v>
      </c>
      <c r="K7" s="1">
        <v>4</v>
      </c>
      <c r="L7" s="1">
        <v>0</v>
      </c>
      <c r="M7" s="1">
        <v>0.7</v>
      </c>
      <c r="N7" s="1">
        <v>0</v>
      </c>
      <c r="O7" s="1">
        <v>4.4000000000000004</v>
      </c>
      <c r="P7" s="1">
        <v>3.3333333333333299</v>
      </c>
      <c r="Q7" s="1">
        <v>1.2749999999999999</v>
      </c>
      <c r="R7" s="1">
        <v>2.3041666666666698</v>
      </c>
      <c r="S7" s="1">
        <v>2.1951219512195101</v>
      </c>
      <c r="T7" s="1">
        <v>2.7</v>
      </c>
      <c r="U7" s="1">
        <v>-2.5</v>
      </c>
      <c r="V7" s="1">
        <v>-2.2000000000000002</v>
      </c>
      <c r="W7" s="1">
        <v>-7.3</v>
      </c>
      <c r="X7" s="1">
        <v>2.1</v>
      </c>
      <c r="Y7" s="1">
        <v>-5.0999999999999996</v>
      </c>
      <c r="Z7" s="1" t="s">
        <v>1154</v>
      </c>
      <c r="AA7" s="1" t="s">
        <v>1155</v>
      </c>
      <c r="AB7" s="1" t="s">
        <v>1156</v>
      </c>
      <c r="AC7" s="1">
        <v>-3.5</v>
      </c>
      <c r="AD7" s="1">
        <v>10</v>
      </c>
      <c r="AE7" s="1">
        <v>7</v>
      </c>
      <c r="AF7" s="1">
        <v>10</v>
      </c>
      <c r="AG7" s="1">
        <v>10</v>
      </c>
      <c r="AH7" s="1">
        <v>0.5</v>
      </c>
      <c r="AI7" s="1">
        <v>1</v>
      </c>
      <c r="AJ7" s="1">
        <v>0</v>
      </c>
      <c r="AK7" s="1">
        <v>1</v>
      </c>
      <c r="AL7" s="1">
        <v>0</v>
      </c>
      <c r="AM7" s="1">
        <v>0</v>
      </c>
      <c r="AN7" s="1">
        <v>0</v>
      </c>
      <c r="AO7" s="1">
        <v>0</v>
      </c>
      <c r="AP7" s="1">
        <v>1</v>
      </c>
      <c r="AQ7" s="1">
        <v>2.5</v>
      </c>
      <c r="AR7" s="1">
        <v>10</v>
      </c>
      <c r="AS7" s="1">
        <v>57</v>
      </c>
      <c r="AT7" s="1">
        <v>58</v>
      </c>
      <c r="AU7" s="1">
        <v>58.272727272727302</v>
      </c>
      <c r="AV7" s="1">
        <v>-1</v>
      </c>
      <c r="AW7" s="1">
        <v>-1.27272727272727</v>
      </c>
      <c r="AX7" s="1">
        <v>7.6363636363636402</v>
      </c>
      <c r="AY7" s="1">
        <v>1.8181818181818199</v>
      </c>
      <c r="AZ7" s="1">
        <v>7.8677685950413201</v>
      </c>
      <c r="BA7" s="1">
        <v>0.16400000000000001</v>
      </c>
      <c r="BB7" s="1">
        <v>8.1999999999999993</v>
      </c>
      <c r="BC7" s="1"/>
      <c r="BD7" s="1"/>
      <c r="BE7" s="1"/>
      <c r="BF7" s="1"/>
      <c r="BG7" s="1"/>
      <c r="BH7" s="1"/>
    </row>
    <row r="8" spans="1:60" x14ac:dyDescent="0.2">
      <c r="A8" s="3">
        <v>6</v>
      </c>
      <c r="B8" s="3" t="s">
        <v>158</v>
      </c>
      <c r="C8" s="3" t="s">
        <v>159</v>
      </c>
      <c r="D8" s="1"/>
      <c r="E8" s="1">
        <f t="shared" si="0"/>
        <v>4.2622519735229307</v>
      </c>
      <c r="F8" s="1">
        <f t="shared" si="1"/>
        <v>6.1487603305785097</v>
      </c>
      <c r="G8" s="1">
        <f t="shared" si="2"/>
        <v>2.9545454545454501</v>
      </c>
      <c r="H8" s="1"/>
      <c r="I8" s="1">
        <v>4</v>
      </c>
      <c r="J8" s="1">
        <v>4</v>
      </c>
      <c r="K8" s="1">
        <v>4</v>
      </c>
      <c r="L8" s="1">
        <v>4</v>
      </c>
      <c r="M8" s="1">
        <v>0.7</v>
      </c>
      <c r="N8" s="1">
        <v>3</v>
      </c>
      <c r="O8" s="1">
        <v>4.2</v>
      </c>
      <c r="P8" s="1">
        <v>4</v>
      </c>
      <c r="Q8" s="1">
        <v>2.9750000000000001</v>
      </c>
      <c r="R8" s="1">
        <v>3.4874999999999998</v>
      </c>
      <c r="S8" s="1">
        <v>7.5234521575985003</v>
      </c>
      <c r="T8" s="1">
        <v>7.5</v>
      </c>
      <c r="U8" s="1">
        <v>5.2</v>
      </c>
      <c r="V8" s="1">
        <v>7.6</v>
      </c>
      <c r="W8" s="1">
        <v>-2.8</v>
      </c>
      <c r="X8" s="1">
        <v>4.9000000000000004</v>
      </c>
      <c r="Y8" s="1">
        <v>-10.4</v>
      </c>
      <c r="Z8" s="1" t="s">
        <v>1157</v>
      </c>
      <c r="AA8" s="1" t="s">
        <v>1149</v>
      </c>
      <c r="AB8" s="1" t="s">
        <v>1158</v>
      </c>
      <c r="AC8" s="1">
        <v>-9.1</v>
      </c>
      <c r="AD8" s="1">
        <v>10</v>
      </c>
      <c r="AE8" s="1">
        <v>10</v>
      </c>
      <c r="AF8" s="1">
        <v>8.6666666666666696</v>
      </c>
      <c r="AG8" s="1">
        <v>6.3033333333333301</v>
      </c>
      <c r="AH8" s="1"/>
      <c r="AI8" s="1"/>
      <c r="AJ8" s="1"/>
      <c r="AK8" s="1"/>
      <c r="AL8" s="1"/>
      <c r="AM8" s="1"/>
      <c r="AN8" s="1"/>
      <c r="AO8" s="1"/>
      <c r="AP8" s="1"/>
      <c r="AQ8" s="1"/>
      <c r="AR8" s="1"/>
      <c r="AS8" s="1">
        <v>48</v>
      </c>
      <c r="AT8" s="1">
        <v>49</v>
      </c>
      <c r="AU8" s="1">
        <v>48.818181818181799</v>
      </c>
      <c r="AV8" s="1">
        <v>-1</v>
      </c>
      <c r="AW8" s="1">
        <v>-0.81818181818182001</v>
      </c>
      <c r="AX8" s="1">
        <v>6</v>
      </c>
      <c r="AY8" s="1">
        <v>2.9545454545454501</v>
      </c>
      <c r="AZ8" s="1">
        <v>6.1487603305785097</v>
      </c>
      <c r="BA8" s="1"/>
      <c r="BB8" s="1"/>
      <c r="BC8" s="1"/>
      <c r="BD8" s="1"/>
      <c r="BE8" s="1"/>
      <c r="BF8" s="1"/>
      <c r="BG8" s="1"/>
      <c r="BH8" s="1"/>
    </row>
    <row r="9" spans="1:60" x14ac:dyDescent="0.2">
      <c r="A9" s="3">
        <v>7</v>
      </c>
      <c r="B9" s="3" t="s">
        <v>164</v>
      </c>
      <c r="C9" s="3" t="s">
        <v>165</v>
      </c>
      <c r="D9" s="1"/>
      <c r="E9" s="1">
        <f t="shared" si="0"/>
        <v>0</v>
      </c>
      <c r="F9" s="1">
        <f t="shared" si="1"/>
        <v>0</v>
      </c>
      <c r="G9" s="1">
        <f t="shared" si="2"/>
        <v>0</v>
      </c>
      <c r="H9" s="1"/>
      <c r="I9" s="1">
        <v>0</v>
      </c>
      <c r="J9" s="1">
        <v>5</v>
      </c>
      <c r="K9" s="1">
        <v>8</v>
      </c>
      <c r="L9" s="1">
        <v>0</v>
      </c>
      <c r="M9" s="1">
        <v>0.5</v>
      </c>
      <c r="N9" s="1"/>
      <c r="O9" s="1"/>
      <c r="P9" s="1">
        <v>4.3333333333333304</v>
      </c>
      <c r="Q9" s="1">
        <v>0.25</v>
      </c>
      <c r="R9" s="1">
        <v>2.2916666666666701</v>
      </c>
      <c r="S9" s="1">
        <v>2.1388367729831099</v>
      </c>
      <c r="T9" s="1"/>
      <c r="U9" s="1"/>
      <c r="V9" s="1"/>
      <c r="W9" s="1"/>
      <c r="X9" s="1"/>
      <c r="Y9" s="1"/>
      <c r="Z9" s="1" t="s">
        <v>1159</v>
      </c>
      <c r="AA9" s="1" t="s">
        <v>1160</v>
      </c>
      <c r="AB9" s="1" t="s">
        <v>97</v>
      </c>
      <c r="AC9" s="1">
        <v>-15.3</v>
      </c>
      <c r="AD9" s="1"/>
      <c r="AE9" s="1">
        <v>10</v>
      </c>
      <c r="AF9" s="1"/>
      <c r="AG9" s="1">
        <v>10</v>
      </c>
      <c r="AH9" s="1"/>
      <c r="AI9" s="1"/>
      <c r="AJ9" s="1"/>
      <c r="AK9" s="1"/>
      <c r="AL9" s="1"/>
      <c r="AM9" s="1"/>
      <c r="AN9" s="1"/>
      <c r="AO9" s="1"/>
      <c r="AP9" s="1"/>
      <c r="AQ9" s="1"/>
      <c r="AR9" s="1"/>
      <c r="AS9" s="1"/>
      <c r="AT9" s="1"/>
      <c r="AU9" s="1"/>
      <c r="AV9" s="1"/>
      <c r="AW9" s="1"/>
      <c r="AX9" s="1"/>
      <c r="AY9" s="1"/>
      <c r="AZ9" s="1"/>
      <c r="BA9" s="1"/>
      <c r="BB9" s="1"/>
      <c r="BC9" s="1"/>
      <c r="BD9" s="1"/>
      <c r="BE9" s="1"/>
      <c r="BF9" s="1"/>
      <c r="BG9" s="1"/>
      <c r="BH9" s="1"/>
    </row>
    <row r="10" spans="1:60" x14ac:dyDescent="0.2">
      <c r="A10" s="3">
        <v>8</v>
      </c>
      <c r="B10" s="3" t="s">
        <v>170</v>
      </c>
      <c r="C10" s="3" t="s">
        <v>171</v>
      </c>
      <c r="D10" s="1"/>
      <c r="E10" s="1">
        <f t="shared" si="0"/>
        <v>1.6377404676012104</v>
      </c>
      <c r="F10" s="1">
        <f t="shared" si="1"/>
        <v>0.34710743801652899</v>
      </c>
      <c r="G10" s="1">
        <f t="shared" si="2"/>
        <v>7.7272727272727204</v>
      </c>
      <c r="H10" s="1"/>
      <c r="I10" s="1">
        <v>4</v>
      </c>
      <c r="J10" s="1">
        <v>3</v>
      </c>
      <c r="K10" s="1">
        <v>4</v>
      </c>
      <c r="L10" s="1">
        <v>0</v>
      </c>
      <c r="M10" s="1">
        <v>0.3</v>
      </c>
      <c r="N10" s="1"/>
      <c r="O10" s="1">
        <v>3.8</v>
      </c>
      <c r="P10" s="1">
        <v>3.6666666666666701</v>
      </c>
      <c r="Q10" s="1">
        <v>1.36666666666667</v>
      </c>
      <c r="R10" s="1">
        <v>2.5166666666666702</v>
      </c>
      <c r="S10" s="1">
        <v>3.15196998123827</v>
      </c>
      <c r="T10" s="1"/>
      <c r="U10" s="1"/>
      <c r="V10" s="1"/>
      <c r="W10" s="1"/>
      <c r="X10" s="1"/>
      <c r="Y10" s="1"/>
      <c r="Z10" s="1" t="s">
        <v>1161</v>
      </c>
      <c r="AA10" s="1" t="s">
        <v>1162</v>
      </c>
      <c r="AB10" s="1" t="s">
        <v>557</v>
      </c>
      <c r="AC10" s="1">
        <v>-8.5</v>
      </c>
      <c r="AD10" s="1"/>
      <c r="AE10" s="1">
        <v>10</v>
      </c>
      <c r="AF10" s="1"/>
      <c r="AG10" s="1">
        <v>6.1059999999999999</v>
      </c>
      <c r="AH10" s="1"/>
      <c r="AI10" s="1"/>
      <c r="AJ10" s="1"/>
      <c r="AK10" s="1"/>
      <c r="AL10" s="1"/>
      <c r="AM10" s="1"/>
      <c r="AN10" s="1"/>
      <c r="AO10" s="1"/>
      <c r="AP10" s="1"/>
      <c r="AQ10" s="1"/>
      <c r="AR10" s="1"/>
      <c r="AS10" s="1">
        <v>18</v>
      </c>
      <c r="AT10" s="1">
        <v>18</v>
      </c>
      <c r="AU10" s="1">
        <v>16.909090909090899</v>
      </c>
      <c r="AV10" s="1">
        <v>0</v>
      </c>
      <c r="AW10" s="1">
        <v>1.0909090909090899</v>
      </c>
      <c r="AX10" s="1">
        <v>0.54545454545454497</v>
      </c>
      <c r="AY10" s="1">
        <v>7.7272727272727204</v>
      </c>
      <c r="AZ10" s="1">
        <v>0.34710743801652899</v>
      </c>
      <c r="BA10" s="1"/>
      <c r="BB10" s="1"/>
      <c r="BC10" s="1"/>
      <c r="BD10" s="1"/>
      <c r="BE10" s="1"/>
      <c r="BF10" s="1"/>
      <c r="BG10" s="1"/>
      <c r="BH10" s="1"/>
    </row>
    <row r="11" spans="1:60" x14ac:dyDescent="0.2">
      <c r="A11" s="3">
        <v>9</v>
      </c>
      <c r="B11" s="3" t="s">
        <v>179</v>
      </c>
      <c r="C11" s="3" t="s">
        <v>180</v>
      </c>
      <c r="D11" s="1"/>
      <c r="E11" s="1">
        <f t="shared" si="0"/>
        <v>2.4873836425900415</v>
      </c>
      <c r="F11" s="1">
        <f t="shared" si="1"/>
        <v>1.00826446280992</v>
      </c>
      <c r="G11" s="1">
        <f t="shared" si="2"/>
        <v>6.1363636363636296</v>
      </c>
      <c r="H11" s="1"/>
      <c r="I11" s="1">
        <v>3</v>
      </c>
      <c r="J11" s="1">
        <v>3</v>
      </c>
      <c r="K11" s="1">
        <v>4</v>
      </c>
      <c r="L11" s="1">
        <v>0</v>
      </c>
      <c r="M11" s="1">
        <v>0.2</v>
      </c>
      <c r="N11" s="1"/>
      <c r="O11" s="1">
        <v>3.1</v>
      </c>
      <c r="P11" s="1">
        <v>3.3333333333333299</v>
      </c>
      <c r="Q11" s="1">
        <v>1.1000000000000001</v>
      </c>
      <c r="R11" s="1">
        <v>2.2166666666666699</v>
      </c>
      <c r="S11" s="1">
        <v>1.8011257035647299</v>
      </c>
      <c r="T11" s="1"/>
      <c r="U11" s="1"/>
      <c r="V11" s="1"/>
      <c r="W11" s="1"/>
      <c r="X11" s="1"/>
      <c r="Y11" s="1"/>
      <c r="Z11" s="1" t="s">
        <v>1163</v>
      </c>
      <c r="AA11" s="1" t="s">
        <v>1164</v>
      </c>
      <c r="AB11" s="1" t="s">
        <v>1148</v>
      </c>
      <c r="AC11" s="1">
        <v>-8.6</v>
      </c>
      <c r="AD11" s="1"/>
      <c r="AE11" s="1">
        <v>10</v>
      </c>
      <c r="AF11" s="1"/>
      <c r="AG11" s="1">
        <v>7.8133333333333299</v>
      </c>
      <c r="AH11" s="1"/>
      <c r="AI11" s="1"/>
      <c r="AJ11" s="1"/>
      <c r="AK11" s="1"/>
      <c r="AL11" s="1"/>
      <c r="AM11" s="1"/>
      <c r="AN11" s="1"/>
      <c r="AO11" s="1"/>
      <c r="AP11" s="1"/>
      <c r="AQ11" s="1"/>
      <c r="AR11" s="1"/>
      <c r="AS11" s="1">
        <v>21</v>
      </c>
      <c r="AT11" s="1">
        <v>21</v>
      </c>
      <c r="AU11" s="1">
        <v>20.545454545454501</v>
      </c>
      <c r="AV11" s="1">
        <v>0</v>
      </c>
      <c r="AW11" s="1">
        <v>0.45454545454545298</v>
      </c>
      <c r="AX11" s="1">
        <v>1.0909090909090899</v>
      </c>
      <c r="AY11" s="1">
        <v>6.1363636363636296</v>
      </c>
      <c r="AZ11" s="1">
        <v>1.00826446280992</v>
      </c>
      <c r="BA11" s="1"/>
      <c r="BB11" s="1"/>
      <c r="BC11" s="1"/>
      <c r="BD11" s="1"/>
      <c r="BE11" s="1"/>
      <c r="BF11" s="1"/>
      <c r="BG11" s="1"/>
      <c r="BH11" s="1"/>
    </row>
    <row r="12" spans="1:60" x14ac:dyDescent="0.2">
      <c r="A12" s="3">
        <v>10</v>
      </c>
      <c r="B12" s="3" t="s">
        <v>187</v>
      </c>
      <c r="C12" s="3" t="s">
        <v>188</v>
      </c>
      <c r="D12" s="1"/>
      <c r="E12" s="1">
        <f t="shared" si="0"/>
        <v>6.9774779898199801</v>
      </c>
      <c r="F12" s="1">
        <f t="shared" si="1"/>
        <v>7.1404958677685997</v>
      </c>
      <c r="G12" s="1">
        <f t="shared" si="2"/>
        <v>6.8181818181818201</v>
      </c>
      <c r="H12" s="1"/>
      <c r="I12" s="1">
        <v>3</v>
      </c>
      <c r="J12" s="1">
        <v>4</v>
      </c>
      <c r="K12" s="1">
        <v>4</v>
      </c>
      <c r="L12" s="1">
        <v>0</v>
      </c>
      <c r="M12" s="1">
        <v>0.6</v>
      </c>
      <c r="N12" s="1">
        <v>0</v>
      </c>
      <c r="O12" s="1">
        <v>3.6</v>
      </c>
      <c r="P12" s="1">
        <v>3.6666666666666701</v>
      </c>
      <c r="Q12" s="1">
        <v>1.05</v>
      </c>
      <c r="R12" s="1">
        <v>2.3583333333333298</v>
      </c>
      <c r="S12" s="1">
        <v>2.4390243902439002</v>
      </c>
      <c r="T12" s="1">
        <v>0.2</v>
      </c>
      <c r="U12" s="1">
        <v>1.5</v>
      </c>
      <c r="V12" s="1">
        <v>2.2000000000000002</v>
      </c>
      <c r="W12" s="1">
        <v>-2.6</v>
      </c>
      <c r="X12" s="1">
        <v>2.2000000000000002</v>
      </c>
      <c r="Y12" s="1">
        <v>-4.8</v>
      </c>
      <c r="Z12" s="1" t="s">
        <v>718</v>
      </c>
      <c r="AA12" s="1" t="s">
        <v>1154</v>
      </c>
      <c r="AB12" s="1" t="s">
        <v>823</v>
      </c>
      <c r="AC12" s="1">
        <v>-4.5</v>
      </c>
      <c r="AD12" s="1">
        <v>9.6</v>
      </c>
      <c r="AE12" s="1">
        <v>9</v>
      </c>
      <c r="AF12" s="1">
        <v>6.6666666666666696</v>
      </c>
      <c r="AG12" s="1">
        <v>6.06</v>
      </c>
      <c r="AH12" s="1">
        <v>0</v>
      </c>
      <c r="AI12" s="1">
        <v>0</v>
      </c>
      <c r="AJ12" s="1">
        <v>0.5</v>
      </c>
      <c r="AK12" s="1">
        <v>0</v>
      </c>
      <c r="AL12" s="1">
        <v>0</v>
      </c>
      <c r="AM12" s="1">
        <v>0</v>
      </c>
      <c r="AN12" s="1">
        <v>0.5</v>
      </c>
      <c r="AO12" s="1">
        <v>0.5</v>
      </c>
      <c r="AP12" s="1">
        <v>0</v>
      </c>
      <c r="AQ12" s="1">
        <v>0.5</v>
      </c>
      <c r="AR12" s="1">
        <v>2.38095238095238</v>
      </c>
      <c r="AS12" s="1">
        <v>55</v>
      </c>
      <c r="AT12" s="1">
        <v>55</v>
      </c>
      <c r="AU12" s="1">
        <v>54.272727272727302</v>
      </c>
      <c r="AV12" s="1">
        <v>0</v>
      </c>
      <c r="AW12" s="1">
        <v>0.72727272727272696</v>
      </c>
      <c r="AX12" s="1">
        <v>7.2727272727272698</v>
      </c>
      <c r="AY12" s="1">
        <v>6.8181818181818201</v>
      </c>
      <c r="AZ12" s="1">
        <v>7.1404958677685997</v>
      </c>
      <c r="BA12" s="1"/>
      <c r="BB12" s="1"/>
      <c r="BC12" s="1"/>
      <c r="BD12" s="1"/>
      <c r="BE12" s="1"/>
      <c r="BF12" s="1"/>
      <c r="BG12" s="1"/>
      <c r="BH12" s="1"/>
    </row>
    <row r="13" spans="1:60" x14ac:dyDescent="0.2">
      <c r="A13" s="3">
        <v>11</v>
      </c>
      <c r="B13" s="3" t="s">
        <v>194</v>
      </c>
      <c r="C13" s="3" t="s">
        <v>195</v>
      </c>
      <c r="D13" s="1"/>
      <c r="E13" s="1">
        <f t="shared" si="0"/>
        <v>3.3709993123162008</v>
      </c>
      <c r="F13" s="1">
        <f t="shared" si="1"/>
        <v>10</v>
      </c>
      <c r="G13" s="1">
        <f t="shared" si="2"/>
        <v>1.13636363636363</v>
      </c>
      <c r="H13" s="1"/>
      <c r="I13" s="1">
        <v>4</v>
      </c>
      <c r="J13" s="1">
        <v>4</v>
      </c>
      <c r="K13" s="1">
        <v>0</v>
      </c>
      <c r="L13" s="1">
        <v>0</v>
      </c>
      <c r="M13" s="1">
        <v>0.2</v>
      </c>
      <c r="N13" s="1"/>
      <c r="O13" s="1">
        <v>5.3</v>
      </c>
      <c r="P13" s="1">
        <v>2.6666666666666701</v>
      </c>
      <c r="Q13" s="1">
        <v>1.8333333333333299</v>
      </c>
      <c r="R13" s="1">
        <v>2.25</v>
      </c>
      <c r="S13" s="1">
        <v>1.9512195121951199</v>
      </c>
      <c r="T13" s="1">
        <v>0.5</v>
      </c>
      <c r="U13" s="1">
        <v>1.6</v>
      </c>
      <c r="V13" s="1">
        <v>1.8</v>
      </c>
      <c r="W13" s="1">
        <v>1</v>
      </c>
      <c r="X13" s="1">
        <v>2.2999999999999998</v>
      </c>
      <c r="Y13" s="1">
        <v>-0.8</v>
      </c>
      <c r="Z13" s="1" t="s">
        <v>1161</v>
      </c>
      <c r="AA13" s="1" t="s">
        <v>1165</v>
      </c>
      <c r="AB13" s="1" t="s">
        <v>1166</v>
      </c>
      <c r="AC13" s="1">
        <v>-7.3</v>
      </c>
      <c r="AD13" s="1">
        <v>1.6</v>
      </c>
      <c r="AE13" s="1">
        <v>10</v>
      </c>
      <c r="AF13" s="1">
        <v>6</v>
      </c>
      <c r="AG13" s="1">
        <v>5.4960000000000004</v>
      </c>
      <c r="AH13" s="1"/>
      <c r="AI13" s="1"/>
      <c r="AJ13" s="1"/>
      <c r="AK13" s="1"/>
      <c r="AL13" s="1"/>
      <c r="AM13" s="1"/>
      <c r="AN13" s="1"/>
      <c r="AO13" s="1"/>
      <c r="AP13" s="1"/>
      <c r="AQ13" s="1"/>
      <c r="AR13" s="1"/>
      <c r="AS13" s="1">
        <v>73</v>
      </c>
      <c r="AT13" s="1">
        <v>73</v>
      </c>
      <c r="AU13" s="1">
        <v>74.545454545454504</v>
      </c>
      <c r="AV13" s="1">
        <v>0</v>
      </c>
      <c r="AW13" s="1">
        <v>-1.5454545454545501</v>
      </c>
      <c r="AX13" s="1">
        <v>10</v>
      </c>
      <c r="AY13" s="1">
        <v>1.13636363636363</v>
      </c>
      <c r="AZ13" s="1">
        <v>10</v>
      </c>
      <c r="BA13" s="1"/>
      <c r="BB13" s="1"/>
      <c r="BC13" s="1"/>
      <c r="BD13" s="1"/>
      <c r="BE13" s="1"/>
      <c r="BF13" s="1"/>
      <c r="BG13" s="1"/>
      <c r="BH13" s="1"/>
    </row>
    <row r="14" spans="1:60" x14ac:dyDescent="0.2">
      <c r="A14" s="3">
        <v>12</v>
      </c>
      <c r="B14" s="3" t="s">
        <v>202</v>
      </c>
      <c r="C14" s="3" t="s">
        <v>203</v>
      </c>
      <c r="D14" s="1"/>
      <c r="E14" s="1">
        <f t="shared" si="0"/>
        <v>3.4235231697864426</v>
      </c>
      <c r="F14" s="1">
        <f t="shared" si="1"/>
        <v>2.1487603305785101</v>
      </c>
      <c r="G14" s="1">
        <f t="shared" si="2"/>
        <v>5.4545454545454604</v>
      </c>
      <c r="H14" s="1"/>
      <c r="I14" s="1">
        <v>4</v>
      </c>
      <c r="J14" s="1">
        <v>3</v>
      </c>
      <c r="K14" s="1">
        <v>3</v>
      </c>
      <c r="L14" s="1">
        <v>0</v>
      </c>
      <c r="M14" s="1">
        <v>0.1</v>
      </c>
      <c r="N14" s="1"/>
      <c r="O14" s="1">
        <v>3.3</v>
      </c>
      <c r="P14" s="1">
        <v>3.3333333333333299</v>
      </c>
      <c r="Q14" s="1">
        <v>1.13333333333333</v>
      </c>
      <c r="R14" s="1">
        <v>2.2333333333333298</v>
      </c>
      <c r="S14" s="1">
        <v>1.8761726078799199</v>
      </c>
      <c r="T14" s="1"/>
      <c r="U14" s="1"/>
      <c r="V14" s="1"/>
      <c r="W14" s="1"/>
      <c r="X14" s="1"/>
      <c r="Y14" s="1"/>
      <c r="Z14" s="1" t="s">
        <v>291</v>
      </c>
      <c r="AA14" s="1" t="s">
        <v>1167</v>
      </c>
      <c r="AB14" s="1" t="s">
        <v>1168</v>
      </c>
      <c r="AC14" s="1">
        <v>-8.3000000000000007</v>
      </c>
      <c r="AD14" s="1"/>
      <c r="AE14" s="1">
        <v>10</v>
      </c>
      <c r="AF14" s="1"/>
      <c r="AG14" s="1">
        <v>8.8413333333333295</v>
      </c>
      <c r="AH14" s="1"/>
      <c r="AI14" s="1"/>
      <c r="AJ14" s="1"/>
      <c r="AK14" s="1"/>
      <c r="AL14" s="1"/>
      <c r="AM14" s="1"/>
      <c r="AN14" s="1"/>
      <c r="AO14" s="1"/>
      <c r="AP14" s="1"/>
      <c r="AQ14" s="1"/>
      <c r="AR14" s="1"/>
      <c r="AS14" s="1">
        <v>27</v>
      </c>
      <c r="AT14" s="1">
        <v>27</v>
      </c>
      <c r="AU14" s="1">
        <v>26.818181818181799</v>
      </c>
      <c r="AV14" s="1">
        <v>0</v>
      </c>
      <c r="AW14" s="1">
        <v>0.18181818181818299</v>
      </c>
      <c r="AX14" s="1">
        <v>2.1818181818181799</v>
      </c>
      <c r="AY14" s="1">
        <v>5.4545454545454604</v>
      </c>
      <c r="AZ14" s="1">
        <v>2.1487603305785101</v>
      </c>
      <c r="BA14" s="1"/>
      <c r="BB14" s="1"/>
      <c r="BC14" s="1"/>
      <c r="BD14" s="1"/>
      <c r="BE14" s="1"/>
      <c r="BF14" s="1"/>
      <c r="BG14" s="1"/>
      <c r="BH14" s="1"/>
    </row>
    <row r="15" spans="1:60" x14ac:dyDescent="0.2">
      <c r="A15" s="3">
        <v>13</v>
      </c>
      <c r="B15" s="3" t="s">
        <v>208</v>
      </c>
      <c r="C15" s="3" t="s">
        <v>209</v>
      </c>
      <c r="D15" s="1"/>
      <c r="E15" s="1">
        <f t="shared" si="0"/>
        <v>8.2148760330578501</v>
      </c>
      <c r="F15" s="1">
        <f t="shared" si="1"/>
        <v>8.2148760330578501</v>
      </c>
      <c r="G15" s="1">
        <f t="shared" si="2"/>
        <v>0</v>
      </c>
      <c r="H15" s="1"/>
      <c r="I15" s="1">
        <v>4</v>
      </c>
      <c r="J15" s="1">
        <v>7</v>
      </c>
      <c r="K15" s="1">
        <v>3</v>
      </c>
      <c r="L15" s="1">
        <v>0</v>
      </c>
      <c r="M15" s="1"/>
      <c r="N15" s="1"/>
      <c r="O15" s="1">
        <v>4.5999999999999996</v>
      </c>
      <c r="P15" s="1">
        <v>4.6666666666666696</v>
      </c>
      <c r="Q15" s="1">
        <v>2.2999999999999998</v>
      </c>
      <c r="R15" s="1">
        <v>3.4833333333333298</v>
      </c>
      <c r="S15" s="1">
        <v>7.5046904315197001</v>
      </c>
      <c r="T15" s="1">
        <v>5.8</v>
      </c>
      <c r="U15" s="1">
        <v>6.7</v>
      </c>
      <c r="V15" s="1">
        <v>6.9</v>
      </c>
      <c r="W15" s="1">
        <v>3.2</v>
      </c>
      <c r="X15" s="1">
        <v>6</v>
      </c>
      <c r="Y15" s="1">
        <v>-3.7</v>
      </c>
      <c r="Z15" s="1" t="s">
        <v>1169</v>
      </c>
      <c r="AA15" s="1" t="s">
        <v>1148</v>
      </c>
      <c r="AB15" s="1" t="s">
        <v>1005</v>
      </c>
      <c r="AC15" s="1">
        <v>-1.9</v>
      </c>
      <c r="AD15" s="1">
        <v>7.4</v>
      </c>
      <c r="AE15" s="1">
        <v>3.8</v>
      </c>
      <c r="AF15" s="1">
        <v>2</v>
      </c>
      <c r="AG15" s="1">
        <v>2.0013333333333301</v>
      </c>
      <c r="AH15" s="1"/>
      <c r="AI15" s="1"/>
      <c r="AJ15" s="1"/>
      <c r="AK15" s="1"/>
      <c r="AL15" s="1"/>
      <c r="AM15" s="1"/>
      <c r="AN15" s="1"/>
      <c r="AO15" s="1"/>
      <c r="AP15" s="1"/>
      <c r="AQ15" s="1"/>
      <c r="AR15" s="1"/>
      <c r="AS15" s="1">
        <v>58</v>
      </c>
      <c r="AT15" s="1">
        <v>59</v>
      </c>
      <c r="AU15" s="1">
        <v>60.181818181818201</v>
      </c>
      <c r="AV15" s="1">
        <v>-1</v>
      </c>
      <c r="AW15" s="1">
        <v>-2.1818181818181799</v>
      </c>
      <c r="AX15" s="1">
        <v>7.8181818181818201</v>
      </c>
      <c r="AY15" s="1">
        <v>0</v>
      </c>
      <c r="AZ15" s="1">
        <v>8.2148760330578501</v>
      </c>
      <c r="BA15" s="1"/>
      <c r="BB15" s="1"/>
      <c r="BC15" s="1"/>
      <c r="BD15" s="1"/>
      <c r="BE15" s="1"/>
      <c r="BF15" s="1"/>
      <c r="BG15" s="1"/>
      <c r="BH15" s="1"/>
    </row>
    <row r="16" spans="1:60" x14ac:dyDescent="0.2">
      <c r="A16" s="3">
        <v>14</v>
      </c>
      <c r="B16" s="3" t="s">
        <v>215</v>
      </c>
      <c r="C16" s="3" t="s">
        <v>216</v>
      </c>
      <c r="D16" s="1"/>
      <c r="E16" s="1">
        <f t="shared" si="0"/>
        <v>1.8811413323422554</v>
      </c>
      <c r="F16" s="1">
        <f t="shared" si="1"/>
        <v>7.7851239669421499</v>
      </c>
      <c r="G16" s="1">
        <f t="shared" si="2"/>
        <v>0.45454545454544998</v>
      </c>
      <c r="H16" s="1"/>
      <c r="I16" s="1">
        <v>5</v>
      </c>
      <c r="J16" s="1">
        <v>4</v>
      </c>
      <c r="K16" s="1">
        <v>0</v>
      </c>
      <c r="L16" s="1">
        <v>0</v>
      </c>
      <c r="M16" s="1"/>
      <c r="N16" s="1">
        <v>6</v>
      </c>
      <c r="O16" s="1">
        <v>4.2</v>
      </c>
      <c r="P16" s="1">
        <v>3</v>
      </c>
      <c r="Q16" s="1">
        <v>3.4</v>
      </c>
      <c r="R16" s="1">
        <v>3.2</v>
      </c>
      <c r="S16" s="1">
        <v>6.2288930581613497</v>
      </c>
      <c r="T16" s="1">
        <v>6.3</v>
      </c>
      <c r="U16" s="1">
        <v>6.8</v>
      </c>
      <c r="V16" s="1">
        <v>5.7</v>
      </c>
      <c r="W16" s="1">
        <v>2</v>
      </c>
      <c r="X16" s="1">
        <v>5.8</v>
      </c>
      <c r="Y16" s="1">
        <v>-3.7</v>
      </c>
      <c r="Z16" s="1" t="s">
        <v>1170</v>
      </c>
      <c r="AA16" s="1" t="s">
        <v>147</v>
      </c>
      <c r="AB16" s="1" t="s">
        <v>217</v>
      </c>
      <c r="AC16" s="1">
        <v>-3.7</v>
      </c>
      <c r="AD16" s="1">
        <v>7.4</v>
      </c>
      <c r="AE16" s="1">
        <v>7.4</v>
      </c>
      <c r="AF16" s="1">
        <v>5.2</v>
      </c>
      <c r="AG16" s="1">
        <v>4.6886666666666699</v>
      </c>
      <c r="AH16" s="1"/>
      <c r="AI16" s="1"/>
      <c r="AJ16" s="1"/>
      <c r="AK16" s="1"/>
      <c r="AL16" s="1"/>
      <c r="AM16" s="1"/>
      <c r="AN16" s="1"/>
      <c r="AO16" s="1"/>
      <c r="AP16" s="1"/>
      <c r="AQ16" s="1"/>
      <c r="AR16" s="1"/>
      <c r="AS16" s="1">
        <v>56</v>
      </c>
      <c r="AT16" s="1">
        <v>57</v>
      </c>
      <c r="AU16" s="1">
        <v>57.818181818181799</v>
      </c>
      <c r="AV16" s="1">
        <v>-1</v>
      </c>
      <c r="AW16" s="1">
        <v>-1.8181818181818199</v>
      </c>
      <c r="AX16" s="1">
        <v>7.4545454545454604</v>
      </c>
      <c r="AY16" s="1">
        <v>0.45454545454544998</v>
      </c>
      <c r="AZ16" s="1">
        <v>7.7851239669421499</v>
      </c>
      <c r="BA16" s="1"/>
      <c r="BB16" s="1"/>
      <c r="BC16" s="1"/>
      <c r="BD16" s="1"/>
      <c r="BE16" s="1"/>
      <c r="BF16" s="1"/>
      <c r="BG16" s="1"/>
      <c r="BH16" s="1"/>
    </row>
    <row r="17" spans="1:60" x14ac:dyDescent="0.2">
      <c r="A17" s="3">
        <v>15</v>
      </c>
      <c r="B17" s="3" t="s">
        <v>222</v>
      </c>
      <c r="C17" s="3" t="s">
        <v>223</v>
      </c>
      <c r="D17" s="1"/>
      <c r="E17" s="1">
        <f t="shared" si="0"/>
        <v>6.5098318983560093</v>
      </c>
      <c r="F17" s="1">
        <f t="shared" si="1"/>
        <v>6.4297520661157002</v>
      </c>
      <c r="G17" s="1">
        <f t="shared" si="2"/>
        <v>6.5909090909090802</v>
      </c>
      <c r="H17" s="1"/>
      <c r="I17" s="1"/>
      <c r="J17" s="1"/>
      <c r="K17" s="1">
        <v>0</v>
      </c>
      <c r="L17" s="1">
        <v>3</v>
      </c>
      <c r="M17" s="1">
        <v>1.1000000000000001</v>
      </c>
      <c r="N17" s="1"/>
      <c r="O17" s="1">
        <v>2</v>
      </c>
      <c r="P17" s="1">
        <v>0</v>
      </c>
      <c r="Q17" s="1">
        <v>2.0333333333333301</v>
      </c>
      <c r="R17" s="1">
        <v>1.0166666666666699</v>
      </c>
      <c r="S17" s="1">
        <v>0</v>
      </c>
      <c r="T17" s="1">
        <v>7.3</v>
      </c>
      <c r="U17" s="1">
        <v>7.9</v>
      </c>
      <c r="V17" s="1">
        <v>8.1999999999999993</v>
      </c>
      <c r="W17" s="1">
        <v>1.6</v>
      </c>
      <c r="X17" s="1">
        <v>1</v>
      </c>
      <c r="Y17" s="1">
        <v>-6.6</v>
      </c>
      <c r="Z17" s="1" t="s">
        <v>1171</v>
      </c>
      <c r="AA17" s="1" t="s">
        <v>147</v>
      </c>
      <c r="AB17" s="1" t="s">
        <v>646</v>
      </c>
      <c r="AC17" s="1">
        <v>-5.9</v>
      </c>
      <c r="AD17" s="1">
        <v>10</v>
      </c>
      <c r="AE17" s="1">
        <v>10</v>
      </c>
      <c r="AF17" s="1">
        <v>6.8</v>
      </c>
      <c r="AG17" s="1">
        <v>1.2</v>
      </c>
      <c r="AH17" s="1">
        <v>0</v>
      </c>
      <c r="AI17" s="1">
        <v>0.5</v>
      </c>
      <c r="AJ17" s="1">
        <v>0.5</v>
      </c>
      <c r="AK17" s="1">
        <v>0</v>
      </c>
      <c r="AL17" s="1">
        <v>1</v>
      </c>
      <c r="AM17" s="1">
        <v>0</v>
      </c>
      <c r="AN17" s="1">
        <v>0</v>
      </c>
      <c r="AO17" s="1">
        <v>0</v>
      </c>
      <c r="AP17" s="1">
        <v>1</v>
      </c>
      <c r="AQ17" s="1">
        <v>2</v>
      </c>
      <c r="AR17" s="1">
        <v>9.5238095238095202</v>
      </c>
      <c r="AS17" s="1">
        <v>51</v>
      </c>
      <c r="AT17" s="1">
        <v>51</v>
      </c>
      <c r="AU17" s="1">
        <v>50.363636363636402</v>
      </c>
      <c r="AV17" s="1">
        <v>0</v>
      </c>
      <c r="AW17" s="1">
        <v>0.63636363636363302</v>
      </c>
      <c r="AX17" s="1">
        <v>6.5454545454545396</v>
      </c>
      <c r="AY17" s="1">
        <v>6.5909090909090802</v>
      </c>
      <c r="AZ17" s="1">
        <v>6.4297520661157002</v>
      </c>
      <c r="BA17" s="1">
        <v>0.109</v>
      </c>
      <c r="BB17" s="1">
        <v>5.45</v>
      </c>
      <c r="BC17" s="1"/>
      <c r="BD17" s="1"/>
      <c r="BE17" s="1"/>
      <c r="BF17" s="1"/>
      <c r="BG17" s="1"/>
      <c r="BH17" s="1"/>
    </row>
    <row r="18" spans="1:60" x14ac:dyDescent="0.2">
      <c r="A18" s="3">
        <v>16</v>
      </c>
      <c r="B18" s="3" t="s">
        <v>229</v>
      </c>
      <c r="C18" s="3" t="s">
        <v>230</v>
      </c>
      <c r="D18" s="1"/>
      <c r="E18" s="1">
        <f t="shared" si="0"/>
        <v>3.6620990150586046</v>
      </c>
      <c r="F18" s="1">
        <f t="shared" si="1"/>
        <v>3.93388429752066</v>
      </c>
      <c r="G18" s="1">
        <f t="shared" si="2"/>
        <v>3.4090909090909198</v>
      </c>
      <c r="H18" s="1"/>
      <c r="I18" s="1">
        <v>4</v>
      </c>
      <c r="J18" s="1">
        <v>3</v>
      </c>
      <c r="K18" s="1">
        <v>4</v>
      </c>
      <c r="L18" s="1">
        <v>0</v>
      </c>
      <c r="M18" s="1">
        <v>1.2</v>
      </c>
      <c r="N18" s="1"/>
      <c r="O18" s="1">
        <v>3.2</v>
      </c>
      <c r="P18" s="1">
        <v>3.6666666666666701</v>
      </c>
      <c r="Q18" s="1">
        <v>1.4666666666666699</v>
      </c>
      <c r="R18" s="1">
        <v>2.56666666666667</v>
      </c>
      <c r="S18" s="1">
        <v>3.3771106941838598</v>
      </c>
      <c r="T18" s="1">
        <v>3.5</v>
      </c>
      <c r="U18" s="1">
        <v>3.1</v>
      </c>
      <c r="V18" s="1">
        <v>3.4</v>
      </c>
      <c r="W18" s="1">
        <v>-6.2</v>
      </c>
      <c r="X18" s="1">
        <v>4.3</v>
      </c>
      <c r="Y18" s="1">
        <v>-9.6</v>
      </c>
      <c r="Z18" s="1" t="s">
        <v>1172</v>
      </c>
      <c r="AA18" s="1" t="s">
        <v>1173</v>
      </c>
      <c r="AB18" s="1" t="s">
        <v>1005</v>
      </c>
      <c r="AC18" s="1">
        <v>-7.4</v>
      </c>
      <c r="AD18" s="1">
        <v>10</v>
      </c>
      <c r="AE18" s="1">
        <v>10</v>
      </c>
      <c r="AF18" s="1">
        <v>6.7333333333333298</v>
      </c>
      <c r="AG18" s="1">
        <v>6</v>
      </c>
      <c r="AH18" s="1">
        <v>0</v>
      </c>
      <c r="AI18" s="1">
        <v>0</v>
      </c>
      <c r="AJ18" s="1">
        <v>0</v>
      </c>
      <c r="AK18" s="1">
        <v>0</v>
      </c>
      <c r="AL18" s="1">
        <v>0</v>
      </c>
      <c r="AM18" s="1">
        <v>1</v>
      </c>
      <c r="AN18" s="1">
        <v>0</v>
      </c>
      <c r="AO18" s="1">
        <v>0</v>
      </c>
      <c r="AP18" s="1">
        <v>0</v>
      </c>
      <c r="AQ18" s="1">
        <v>1</v>
      </c>
      <c r="AR18" s="1">
        <v>4.7619047619047601</v>
      </c>
      <c r="AS18" s="1">
        <v>36</v>
      </c>
      <c r="AT18" s="1">
        <v>37</v>
      </c>
      <c r="AU18" s="1">
        <v>36.636363636363598</v>
      </c>
      <c r="AV18" s="1">
        <v>-1</v>
      </c>
      <c r="AW18" s="1">
        <v>-0.63636363636363302</v>
      </c>
      <c r="AX18" s="1">
        <v>3.8181818181818201</v>
      </c>
      <c r="AY18" s="1">
        <v>3.4090909090909198</v>
      </c>
      <c r="AZ18" s="1">
        <v>3.93388429752066</v>
      </c>
      <c r="BA18" s="1">
        <v>0.151</v>
      </c>
      <c r="BB18" s="1">
        <v>7.55</v>
      </c>
      <c r="BC18" s="1"/>
      <c r="BD18" s="1"/>
      <c r="BE18" s="1"/>
      <c r="BF18" s="1"/>
      <c r="BG18" s="1"/>
      <c r="BH18" s="1"/>
    </row>
    <row r="19" spans="1:60" x14ac:dyDescent="0.2">
      <c r="A19" s="3">
        <v>17</v>
      </c>
      <c r="B19" s="3" t="s">
        <v>233</v>
      </c>
      <c r="C19" s="3" t="s">
        <v>234</v>
      </c>
      <c r="D19" s="1"/>
      <c r="E19" s="1">
        <f t="shared" si="0"/>
        <v>6.7609165419232893</v>
      </c>
      <c r="F19" s="1">
        <f t="shared" si="1"/>
        <v>5.5867768595041296</v>
      </c>
      <c r="G19" s="1">
        <f t="shared" si="2"/>
        <v>8.1818181818181799</v>
      </c>
      <c r="H19" s="1"/>
      <c r="I19" s="1">
        <v>6</v>
      </c>
      <c r="J19" s="1">
        <v>3</v>
      </c>
      <c r="K19" s="1">
        <v>3</v>
      </c>
      <c r="L19" s="1"/>
      <c r="M19" s="1">
        <v>0.2</v>
      </c>
      <c r="N19" s="1"/>
      <c r="O19" s="1">
        <v>3.3</v>
      </c>
      <c r="P19" s="1">
        <v>4</v>
      </c>
      <c r="Q19" s="1">
        <v>1.75</v>
      </c>
      <c r="R19" s="1">
        <v>2.875</v>
      </c>
      <c r="S19" s="1">
        <v>4.7654784240150097</v>
      </c>
      <c r="T19" s="1">
        <v>4.3</v>
      </c>
      <c r="U19" s="1">
        <v>1.8</v>
      </c>
      <c r="V19" s="1">
        <v>1.8</v>
      </c>
      <c r="W19" s="1">
        <v>-4.5</v>
      </c>
      <c r="X19" s="1">
        <v>2.2999999999999998</v>
      </c>
      <c r="Y19" s="1">
        <v>-6.3</v>
      </c>
      <c r="Z19" s="1" t="s">
        <v>1161</v>
      </c>
      <c r="AA19" s="1" t="s">
        <v>1174</v>
      </c>
      <c r="AB19" s="1" t="s">
        <v>1146</v>
      </c>
      <c r="AC19" s="1">
        <v>-5.4</v>
      </c>
      <c r="AD19" s="1">
        <v>10</v>
      </c>
      <c r="AE19" s="1">
        <v>10</v>
      </c>
      <c r="AF19" s="1">
        <v>6.8</v>
      </c>
      <c r="AG19" s="1">
        <v>6.6086666666666698</v>
      </c>
      <c r="AH19" s="1"/>
      <c r="AI19" s="1"/>
      <c r="AJ19" s="1"/>
      <c r="AK19" s="1"/>
      <c r="AL19" s="1"/>
      <c r="AM19" s="1"/>
      <c r="AN19" s="1"/>
      <c r="AO19" s="1"/>
      <c r="AP19" s="1"/>
      <c r="AQ19" s="1"/>
      <c r="AR19" s="1"/>
      <c r="AS19" s="1">
        <v>47</v>
      </c>
      <c r="AT19" s="1">
        <v>47</v>
      </c>
      <c r="AU19" s="1">
        <v>45.727272727272698</v>
      </c>
      <c r="AV19" s="1">
        <v>0</v>
      </c>
      <c r="AW19" s="1">
        <v>1.27272727272727</v>
      </c>
      <c r="AX19" s="1">
        <v>5.8181818181818201</v>
      </c>
      <c r="AY19" s="1">
        <v>8.1818181818181799</v>
      </c>
      <c r="AZ19" s="1">
        <v>5.5867768595041296</v>
      </c>
      <c r="BA19" s="1">
        <v>0.105</v>
      </c>
      <c r="BB19" s="1">
        <v>5.25</v>
      </c>
      <c r="BC19" s="1"/>
      <c r="BD19" s="1"/>
      <c r="BE19" s="1"/>
      <c r="BF19" s="1"/>
      <c r="BG19" s="1"/>
      <c r="BH19" s="1"/>
    </row>
    <row r="20" spans="1:60" x14ac:dyDescent="0.2">
      <c r="A20" s="3">
        <v>18</v>
      </c>
      <c r="B20" s="3" t="s">
        <v>239</v>
      </c>
      <c r="C20" s="3" t="s">
        <v>240</v>
      </c>
      <c r="D20" s="1"/>
      <c r="E20" s="1">
        <f t="shared" si="0"/>
        <v>2.0982623127920124</v>
      </c>
      <c r="F20" s="1">
        <f t="shared" si="1"/>
        <v>4.8429752066115697</v>
      </c>
      <c r="G20" s="1">
        <f t="shared" si="2"/>
        <v>0.90909090909091705</v>
      </c>
      <c r="H20" s="1"/>
      <c r="I20" s="1"/>
      <c r="J20" s="1"/>
      <c r="K20" s="1">
        <v>7</v>
      </c>
      <c r="L20" s="1"/>
      <c r="M20" s="1">
        <v>0.3</v>
      </c>
      <c r="N20" s="1"/>
      <c r="O20" s="1">
        <v>3.5</v>
      </c>
      <c r="P20" s="1">
        <v>7</v>
      </c>
      <c r="Q20" s="1">
        <v>1.9</v>
      </c>
      <c r="R20" s="1">
        <v>4.45</v>
      </c>
      <c r="S20" s="1">
        <v>10</v>
      </c>
      <c r="T20" s="1"/>
      <c r="U20" s="1"/>
      <c r="V20" s="1"/>
      <c r="W20" s="1"/>
      <c r="X20" s="1"/>
      <c r="Y20" s="1"/>
      <c r="Z20" s="1" t="s">
        <v>1161</v>
      </c>
      <c r="AA20" s="1" t="s">
        <v>1175</v>
      </c>
      <c r="AB20" s="1" t="s">
        <v>901</v>
      </c>
      <c r="AC20" s="1">
        <v>-10.1</v>
      </c>
      <c r="AD20" s="1"/>
      <c r="AE20" s="1">
        <v>10</v>
      </c>
      <c r="AF20" s="1"/>
      <c r="AG20" s="1">
        <v>10</v>
      </c>
      <c r="AH20" s="1"/>
      <c r="AI20" s="1"/>
      <c r="AJ20" s="1"/>
      <c r="AK20" s="1"/>
      <c r="AL20" s="1"/>
      <c r="AM20" s="1"/>
      <c r="AN20" s="1"/>
      <c r="AO20" s="1"/>
      <c r="AP20" s="1"/>
      <c r="AQ20" s="1"/>
      <c r="AR20" s="1"/>
      <c r="AS20" s="1">
        <v>40</v>
      </c>
      <c r="AT20" s="1">
        <v>42</v>
      </c>
      <c r="AU20" s="1">
        <v>41.636363636363598</v>
      </c>
      <c r="AV20" s="1">
        <v>-2</v>
      </c>
      <c r="AW20" s="1">
        <v>-1.63636363636363</v>
      </c>
      <c r="AX20" s="1">
        <v>4.5454545454545503</v>
      </c>
      <c r="AY20" s="1">
        <v>0.90909090909091705</v>
      </c>
      <c r="AZ20" s="1">
        <v>4.8429752066115697</v>
      </c>
      <c r="BA20" s="1">
        <v>3.0000000000000001E-3</v>
      </c>
      <c r="BB20" s="1">
        <v>0.15</v>
      </c>
      <c r="BC20" s="1"/>
      <c r="BD20" s="1"/>
      <c r="BE20" s="1"/>
      <c r="BF20" s="1"/>
      <c r="BG20" s="1"/>
      <c r="BH20" s="1"/>
    </row>
    <row r="21" spans="1:60" x14ac:dyDescent="0.2">
      <c r="A21" s="3">
        <v>19</v>
      </c>
      <c r="B21" s="3" t="s">
        <v>246</v>
      </c>
      <c r="C21" s="3" t="s">
        <v>247</v>
      </c>
      <c r="D21" s="1"/>
      <c r="E21" s="1">
        <f t="shared" si="0"/>
        <v>6.9014202743461128</v>
      </c>
      <c r="F21" s="1">
        <f t="shared" si="1"/>
        <v>6.7603305785124004</v>
      </c>
      <c r="G21" s="1">
        <f t="shared" si="2"/>
        <v>7.0454545454545503</v>
      </c>
      <c r="H21" s="1"/>
      <c r="I21" s="1">
        <v>4</v>
      </c>
      <c r="J21" s="1">
        <v>4</v>
      </c>
      <c r="K21" s="1">
        <v>4</v>
      </c>
      <c r="L21" s="1">
        <v>4</v>
      </c>
      <c r="M21" s="1">
        <v>0.9</v>
      </c>
      <c r="N21" s="1">
        <v>3</v>
      </c>
      <c r="O21" s="1">
        <v>4.8</v>
      </c>
      <c r="P21" s="1">
        <v>4</v>
      </c>
      <c r="Q21" s="1">
        <v>3.1749999999999998</v>
      </c>
      <c r="R21" s="1">
        <v>3.5874999999999999</v>
      </c>
      <c r="S21" s="1">
        <v>7.9737335834896799</v>
      </c>
      <c r="T21" s="1">
        <v>3.2</v>
      </c>
      <c r="U21" s="1">
        <v>3.7</v>
      </c>
      <c r="V21" s="1">
        <v>2.6</v>
      </c>
      <c r="W21" s="1">
        <v>-3.2</v>
      </c>
      <c r="X21" s="1">
        <v>3.4</v>
      </c>
      <c r="Y21" s="1">
        <v>-5.8</v>
      </c>
      <c r="Z21" s="1" t="s">
        <v>1176</v>
      </c>
      <c r="AA21" s="1" t="s">
        <v>1151</v>
      </c>
      <c r="AB21" s="1" t="s">
        <v>1177</v>
      </c>
      <c r="AC21" s="1">
        <v>-7.7</v>
      </c>
      <c r="AD21" s="1">
        <v>10</v>
      </c>
      <c r="AE21" s="1">
        <v>10</v>
      </c>
      <c r="AF21" s="1">
        <v>6</v>
      </c>
      <c r="AG21" s="1">
        <v>7.6666666666666696</v>
      </c>
      <c r="AH21" s="1"/>
      <c r="AI21" s="1"/>
      <c r="AJ21" s="1"/>
      <c r="AK21" s="1"/>
      <c r="AL21" s="1"/>
      <c r="AM21" s="1"/>
      <c r="AN21" s="1"/>
      <c r="AO21" s="1"/>
      <c r="AP21" s="1"/>
      <c r="AQ21" s="1"/>
      <c r="AR21" s="1"/>
      <c r="AS21" s="1">
        <v>53</v>
      </c>
      <c r="AT21" s="1">
        <v>53</v>
      </c>
      <c r="AU21" s="1">
        <v>52.181818181818201</v>
      </c>
      <c r="AV21" s="1">
        <v>0</v>
      </c>
      <c r="AW21" s="1">
        <v>0.81818181818182001</v>
      </c>
      <c r="AX21" s="1">
        <v>6.9090909090909101</v>
      </c>
      <c r="AY21" s="1">
        <v>7.0454545454545503</v>
      </c>
      <c r="AZ21" s="1">
        <v>6.7603305785124004</v>
      </c>
      <c r="BA21" s="1">
        <v>0.28299999999999997</v>
      </c>
      <c r="BB21" s="1">
        <v>10</v>
      </c>
      <c r="BC21" s="1"/>
      <c r="BD21" s="1"/>
      <c r="BE21" s="1"/>
      <c r="BF21" s="1"/>
      <c r="BG21" s="1"/>
      <c r="BH21" s="1"/>
    </row>
    <row r="22" spans="1:60" x14ac:dyDescent="0.2">
      <c r="A22" s="3">
        <v>20</v>
      </c>
      <c r="B22" s="3" t="s">
        <v>254</v>
      </c>
      <c r="C22" s="3" t="s">
        <v>255</v>
      </c>
      <c r="D22" s="1"/>
      <c r="E22" s="1">
        <f t="shared" si="0"/>
        <v>9.3684894749005458</v>
      </c>
      <c r="F22" s="1">
        <f t="shared" si="1"/>
        <v>8.7768595041322293</v>
      </c>
      <c r="G22" s="1">
        <f t="shared" si="2"/>
        <v>10</v>
      </c>
      <c r="H22" s="1"/>
      <c r="I22" s="1">
        <v>5</v>
      </c>
      <c r="J22" s="1">
        <v>4</v>
      </c>
      <c r="K22" s="1">
        <v>3</v>
      </c>
      <c r="L22" s="1">
        <v>0</v>
      </c>
      <c r="M22" s="1">
        <v>0.3</v>
      </c>
      <c r="N22" s="1">
        <v>0</v>
      </c>
      <c r="O22" s="1">
        <v>3.2</v>
      </c>
      <c r="P22" s="1">
        <v>4</v>
      </c>
      <c r="Q22" s="1">
        <v>0.875</v>
      </c>
      <c r="R22" s="1">
        <v>2.4375</v>
      </c>
      <c r="S22" s="1">
        <v>2.7954971857410902</v>
      </c>
      <c r="T22" s="1">
        <v>2.5</v>
      </c>
      <c r="U22" s="1">
        <v>3.1</v>
      </c>
      <c r="V22" s="1">
        <v>1.2</v>
      </c>
      <c r="W22" s="1">
        <v>-4</v>
      </c>
      <c r="X22" s="1">
        <v>1</v>
      </c>
      <c r="Y22" s="1">
        <v>-5.2</v>
      </c>
      <c r="Z22" s="1" t="s">
        <v>1178</v>
      </c>
      <c r="AA22" s="1" t="s">
        <v>1179</v>
      </c>
      <c r="AB22" s="1" t="s">
        <v>1177</v>
      </c>
      <c r="AC22" s="1">
        <v>-7.2</v>
      </c>
      <c r="AD22" s="1">
        <v>10</v>
      </c>
      <c r="AE22" s="1">
        <v>10</v>
      </c>
      <c r="AF22" s="1">
        <v>10</v>
      </c>
      <c r="AG22" s="1">
        <v>5.5880000000000001</v>
      </c>
      <c r="AH22" s="1">
        <v>1</v>
      </c>
      <c r="AI22" s="1">
        <v>1</v>
      </c>
      <c r="AJ22" s="1">
        <v>0</v>
      </c>
      <c r="AK22" s="1">
        <v>0</v>
      </c>
      <c r="AL22" s="1">
        <v>0</v>
      </c>
      <c r="AM22" s="1">
        <v>0</v>
      </c>
      <c r="AN22" s="1">
        <v>0</v>
      </c>
      <c r="AO22" s="1">
        <v>0</v>
      </c>
      <c r="AP22" s="1">
        <v>0.5</v>
      </c>
      <c r="AQ22" s="1">
        <v>2</v>
      </c>
      <c r="AR22" s="1">
        <v>9.5238095238095202</v>
      </c>
      <c r="AS22" s="1">
        <v>67</v>
      </c>
      <c r="AT22" s="1">
        <v>66</v>
      </c>
      <c r="AU22" s="1">
        <v>63.272727272727302</v>
      </c>
      <c r="AV22" s="1">
        <v>1</v>
      </c>
      <c r="AW22" s="1">
        <v>3.7272727272727302</v>
      </c>
      <c r="AX22" s="1">
        <v>9.4545454545454604</v>
      </c>
      <c r="AY22" s="1">
        <v>10</v>
      </c>
      <c r="AZ22" s="1">
        <v>8.7768595041322293</v>
      </c>
      <c r="BA22" s="1"/>
      <c r="BB22" s="1"/>
      <c r="BC22" s="1"/>
      <c r="BD22" s="1"/>
      <c r="BE22" s="1"/>
      <c r="BF22" s="1"/>
      <c r="BG22" s="1"/>
      <c r="BH22" s="1"/>
    </row>
    <row r="23" spans="1:60" x14ac:dyDescent="0.2">
      <c r="A23" s="3">
        <v>21</v>
      </c>
      <c r="B23" s="3" t="s">
        <v>260</v>
      </c>
      <c r="C23" s="3" t="s">
        <v>261</v>
      </c>
      <c r="D23" s="1"/>
      <c r="E23" s="1">
        <f t="shared" si="0"/>
        <v>3.8172962373237596</v>
      </c>
      <c r="F23" s="1">
        <f t="shared" si="1"/>
        <v>7.1239669421487601</v>
      </c>
      <c r="G23" s="1">
        <f t="shared" si="2"/>
        <v>2.0454545454545499</v>
      </c>
      <c r="H23" s="1"/>
      <c r="I23" s="1">
        <v>4</v>
      </c>
      <c r="J23" s="1">
        <v>5</v>
      </c>
      <c r="K23" s="1">
        <v>7</v>
      </c>
      <c r="L23" s="1">
        <v>0</v>
      </c>
      <c r="M23" s="1">
        <v>0.5</v>
      </c>
      <c r="N23" s="1">
        <v>3</v>
      </c>
      <c r="O23" s="1">
        <v>4.9000000000000004</v>
      </c>
      <c r="P23" s="1">
        <v>5.3333333333333304</v>
      </c>
      <c r="Q23" s="1">
        <v>2.1</v>
      </c>
      <c r="R23" s="1">
        <v>3.7166666666666699</v>
      </c>
      <c r="S23" s="1">
        <v>8.5553470919324592</v>
      </c>
      <c r="T23" s="1">
        <v>1.9</v>
      </c>
      <c r="U23" s="1">
        <v>2.1</v>
      </c>
      <c r="V23" s="1">
        <v>0.3</v>
      </c>
      <c r="W23" s="1">
        <v>-13.5</v>
      </c>
      <c r="X23" s="1">
        <v>6.7</v>
      </c>
      <c r="Y23" s="1">
        <v>-13.8</v>
      </c>
      <c r="Z23" s="1" t="s">
        <v>172</v>
      </c>
      <c r="AA23" s="1" t="s">
        <v>1180</v>
      </c>
      <c r="AB23" s="1" t="s">
        <v>1157</v>
      </c>
      <c r="AC23" s="1">
        <v>-12.3</v>
      </c>
      <c r="AD23" s="1">
        <v>10</v>
      </c>
      <c r="AE23" s="1">
        <v>10</v>
      </c>
      <c r="AF23" s="1">
        <v>10</v>
      </c>
      <c r="AG23" s="1">
        <v>10</v>
      </c>
      <c r="AH23" s="1"/>
      <c r="AI23" s="1"/>
      <c r="AJ23" s="1"/>
      <c r="AK23" s="1"/>
      <c r="AL23" s="1"/>
      <c r="AM23" s="1"/>
      <c r="AN23" s="1"/>
      <c r="AO23" s="1"/>
      <c r="AP23" s="1"/>
      <c r="AQ23" s="1"/>
      <c r="AR23" s="1"/>
      <c r="AS23" s="1">
        <v>53</v>
      </c>
      <c r="AT23" s="1">
        <v>53</v>
      </c>
      <c r="AU23" s="1">
        <v>54.181818181818201</v>
      </c>
      <c r="AV23" s="1">
        <v>0</v>
      </c>
      <c r="AW23" s="1">
        <v>-1.1818181818181801</v>
      </c>
      <c r="AX23" s="1">
        <v>6.9090909090909101</v>
      </c>
      <c r="AY23" s="1">
        <v>2.0454545454545499</v>
      </c>
      <c r="AZ23" s="1">
        <v>7.1239669421487601</v>
      </c>
      <c r="BA23" s="1"/>
      <c r="BB23" s="1"/>
      <c r="BC23" s="1"/>
      <c r="BD23" s="1"/>
      <c r="BE23" s="1"/>
      <c r="BF23" s="1"/>
      <c r="BG23" s="1"/>
      <c r="BH23" s="1"/>
    </row>
    <row r="24" spans="1:60" x14ac:dyDescent="0.2">
      <c r="A24" s="3">
        <v>22</v>
      </c>
      <c r="B24" s="3" t="s">
        <v>267</v>
      </c>
      <c r="C24" s="3" t="s">
        <v>268</v>
      </c>
      <c r="D24" s="1"/>
      <c r="E24" s="1">
        <f t="shared" si="0"/>
        <v>5.4338450176124917</v>
      </c>
      <c r="F24" s="1">
        <f t="shared" si="1"/>
        <v>8.6611570247933898</v>
      </c>
      <c r="G24" s="1">
        <f t="shared" si="2"/>
        <v>3.4090909090909198</v>
      </c>
      <c r="H24" s="1"/>
      <c r="I24" s="1">
        <v>4</v>
      </c>
      <c r="J24" s="1">
        <v>3</v>
      </c>
      <c r="K24" s="1">
        <v>3</v>
      </c>
      <c r="L24" s="1">
        <v>0</v>
      </c>
      <c r="M24" s="1">
        <v>1.5</v>
      </c>
      <c r="N24" s="1"/>
      <c r="O24" s="1">
        <v>4.3</v>
      </c>
      <c r="P24" s="1">
        <v>3.3333333333333299</v>
      </c>
      <c r="Q24" s="1">
        <v>1.93333333333333</v>
      </c>
      <c r="R24" s="1">
        <v>2.6333333333333302</v>
      </c>
      <c r="S24" s="1">
        <v>3.67729831144465</v>
      </c>
      <c r="T24" s="1">
        <v>4.2</v>
      </c>
      <c r="U24" s="1">
        <v>4.2</v>
      </c>
      <c r="V24" s="1">
        <v>2.7</v>
      </c>
      <c r="W24" s="1">
        <v>-5.9</v>
      </c>
      <c r="X24" s="1">
        <v>2.2000000000000002</v>
      </c>
      <c r="Y24" s="1">
        <v>-8.6</v>
      </c>
      <c r="Z24" s="1" t="s">
        <v>1181</v>
      </c>
      <c r="AA24" s="1" t="s">
        <v>1182</v>
      </c>
      <c r="AB24" s="1" t="s">
        <v>414</v>
      </c>
      <c r="AC24" s="1">
        <v>-5.7</v>
      </c>
      <c r="AD24" s="1">
        <v>10</v>
      </c>
      <c r="AE24" s="1">
        <v>10</v>
      </c>
      <c r="AF24" s="1">
        <v>7.8</v>
      </c>
      <c r="AG24" s="1">
        <v>8.6</v>
      </c>
      <c r="AH24" s="1"/>
      <c r="AI24" s="1"/>
      <c r="AJ24" s="1"/>
      <c r="AK24" s="1"/>
      <c r="AL24" s="1"/>
      <c r="AM24" s="1"/>
      <c r="AN24" s="1"/>
      <c r="AO24" s="1"/>
      <c r="AP24" s="1"/>
      <c r="AQ24" s="1"/>
      <c r="AR24" s="1"/>
      <c r="AS24" s="1">
        <v>62</v>
      </c>
      <c r="AT24" s="1">
        <v>63</v>
      </c>
      <c r="AU24" s="1">
        <v>62.636363636363598</v>
      </c>
      <c r="AV24" s="1">
        <v>-1</v>
      </c>
      <c r="AW24" s="1">
        <v>-0.63636363636363302</v>
      </c>
      <c r="AX24" s="1">
        <v>8.5454545454545396</v>
      </c>
      <c r="AY24" s="1">
        <v>3.4090909090909198</v>
      </c>
      <c r="AZ24" s="1">
        <v>8.6611570247933898</v>
      </c>
      <c r="BA24" s="1">
        <v>0.151</v>
      </c>
      <c r="BB24" s="1">
        <v>7.55</v>
      </c>
      <c r="BC24" s="1"/>
      <c r="BD24" s="1"/>
      <c r="BE24" s="1"/>
      <c r="BF24" s="1"/>
      <c r="BG24" s="1"/>
      <c r="BH24" s="1"/>
    </row>
    <row r="25" spans="1:60" x14ac:dyDescent="0.2">
      <c r="A25" s="3">
        <v>23</v>
      </c>
      <c r="B25" s="3" t="s">
        <v>275</v>
      </c>
      <c r="C25" s="3" t="s">
        <v>276</v>
      </c>
      <c r="D25" s="1"/>
      <c r="E25" s="1">
        <f t="shared" si="0"/>
        <v>6.4462809917355397</v>
      </c>
      <c r="F25" s="1">
        <f t="shared" si="1"/>
        <v>6.4462809917355397</v>
      </c>
      <c r="G25" s="1">
        <f t="shared" si="2"/>
        <v>0</v>
      </c>
      <c r="H25" s="1"/>
      <c r="I25" s="1">
        <v>4</v>
      </c>
      <c r="J25" s="1">
        <v>3</v>
      </c>
      <c r="K25" s="1">
        <v>3</v>
      </c>
      <c r="L25" s="1">
        <v>0</v>
      </c>
      <c r="M25" s="1">
        <v>2.4</v>
      </c>
      <c r="N25" s="1">
        <v>0</v>
      </c>
      <c r="O25" s="1">
        <v>4.5</v>
      </c>
      <c r="P25" s="1">
        <v>3.3333333333333299</v>
      </c>
      <c r="Q25" s="1">
        <v>1.7250000000000001</v>
      </c>
      <c r="R25" s="1">
        <v>2.5291666666666699</v>
      </c>
      <c r="S25" s="1">
        <v>3.2082551594746702</v>
      </c>
      <c r="T25" s="1">
        <v>1.3</v>
      </c>
      <c r="U25" s="1">
        <v>1.3</v>
      </c>
      <c r="V25" s="1">
        <v>1.1000000000000001</v>
      </c>
      <c r="W25" s="1">
        <v>-8</v>
      </c>
      <c r="X25" s="1">
        <v>2.2000000000000002</v>
      </c>
      <c r="Y25" s="1">
        <v>-9.1</v>
      </c>
      <c r="Z25" s="1" t="s">
        <v>788</v>
      </c>
      <c r="AA25" s="1" t="s">
        <v>1183</v>
      </c>
      <c r="AB25" s="1" t="s">
        <v>414</v>
      </c>
      <c r="AC25" s="1">
        <v>-6.4</v>
      </c>
      <c r="AD25" s="1">
        <v>10</v>
      </c>
      <c r="AE25" s="1">
        <v>10</v>
      </c>
      <c r="AF25" s="1">
        <v>6.3333333333333304</v>
      </c>
      <c r="AG25" s="1">
        <v>7.2006666666666703</v>
      </c>
      <c r="AH25" s="1">
        <v>0</v>
      </c>
      <c r="AI25" s="1">
        <v>1</v>
      </c>
      <c r="AJ25" s="1">
        <v>0.5</v>
      </c>
      <c r="AK25" s="1">
        <v>1</v>
      </c>
      <c r="AL25" s="1">
        <v>0</v>
      </c>
      <c r="AM25" s="1">
        <v>1</v>
      </c>
      <c r="AN25" s="1">
        <v>0</v>
      </c>
      <c r="AO25" s="1">
        <v>0</v>
      </c>
      <c r="AP25" s="1">
        <v>1</v>
      </c>
      <c r="AQ25" s="1">
        <v>3.5</v>
      </c>
      <c r="AR25" s="1">
        <v>10</v>
      </c>
      <c r="AS25" s="1">
        <v>48</v>
      </c>
      <c r="AT25" s="1">
        <v>51</v>
      </c>
      <c r="AU25" s="1">
        <v>50.454545454545503</v>
      </c>
      <c r="AV25" s="1">
        <v>-3</v>
      </c>
      <c r="AW25" s="1">
        <v>-2.4545454545454501</v>
      </c>
      <c r="AX25" s="1">
        <v>6</v>
      </c>
      <c r="AY25" s="1">
        <v>0</v>
      </c>
      <c r="AZ25" s="1">
        <v>6.4462809917355397</v>
      </c>
      <c r="BA25" s="1">
        <v>8.1000000000000003E-2</v>
      </c>
      <c r="BB25" s="1">
        <v>4.05</v>
      </c>
      <c r="BC25" s="1"/>
      <c r="BD25" s="1"/>
      <c r="BE25" s="1"/>
      <c r="BF25" s="1"/>
      <c r="BG25" s="1"/>
      <c r="BH25" s="1"/>
    </row>
    <row r="26" spans="1:60" x14ac:dyDescent="0.2">
      <c r="A26" s="3">
        <v>24</v>
      </c>
      <c r="B26" s="3" t="s">
        <v>283</v>
      </c>
      <c r="C26" s="3" t="s">
        <v>284</v>
      </c>
      <c r="D26" s="1"/>
      <c r="E26" s="1">
        <f t="shared" si="0"/>
        <v>4.543801352257308</v>
      </c>
      <c r="F26" s="1">
        <f t="shared" si="1"/>
        <v>3.7851239669421499</v>
      </c>
      <c r="G26" s="1">
        <f t="shared" si="2"/>
        <v>5.4545454545454497</v>
      </c>
      <c r="H26" s="1"/>
      <c r="I26" s="1">
        <v>5</v>
      </c>
      <c r="J26" s="1">
        <v>5</v>
      </c>
      <c r="K26" s="1">
        <v>7</v>
      </c>
      <c r="L26" s="1">
        <v>0</v>
      </c>
      <c r="M26" s="1"/>
      <c r="N26" s="1"/>
      <c r="O26" s="1"/>
      <c r="P26" s="1">
        <v>5.6666666666666696</v>
      </c>
      <c r="Q26" s="1">
        <v>0</v>
      </c>
      <c r="R26" s="1">
        <v>2.8333333333333299</v>
      </c>
      <c r="S26" s="1">
        <v>4.5778611632270199</v>
      </c>
      <c r="T26" s="1"/>
      <c r="U26" s="1"/>
      <c r="V26" s="1"/>
      <c r="W26" s="1"/>
      <c r="X26" s="1"/>
      <c r="Y26" s="1"/>
      <c r="Z26" s="1" t="s">
        <v>1184</v>
      </c>
      <c r="AA26" s="1" t="s">
        <v>1185</v>
      </c>
      <c r="AB26" s="1" t="s">
        <v>748</v>
      </c>
      <c r="AC26" s="1">
        <v>-7.5</v>
      </c>
      <c r="AD26" s="1"/>
      <c r="AE26" s="1">
        <v>10</v>
      </c>
      <c r="AF26" s="1"/>
      <c r="AG26" s="1">
        <v>10</v>
      </c>
      <c r="AH26" s="1"/>
      <c r="AI26" s="1"/>
      <c r="AJ26" s="1"/>
      <c r="AK26" s="1"/>
      <c r="AL26" s="1"/>
      <c r="AM26" s="1"/>
      <c r="AN26" s="1"/>
      <c r="AO26" s="1"/>
      <c r="AP26" s="1"/>
      <c r="AQ26" s="1"/>
      <c r="AR26" s="1"/>
      <c r="AS26" s="1">
        <v>36</v>
      </c>
      <c r="AT26" s="1">
        <v>36</v>
      </c>
      <c r="AU26" s="1">
        <v>35.818181818181799</v>
      </c>
      <c r="AV26" s="1">
        <v>0</v>
      </c>
      <c r="AW26" s="1">
        <v>0.18181818181817999</v>
      </c>
      <c r="AX26" s="1">
        <v>3.8181818181818201</v>
      </c>
      <c r="AY26" s="1">
        <v>5.4545454545454497</v>
      </c>
      <c r="AZ26" s="1">
        <v>3.7851239669421499</v>
      </c>
      <c r="BA26" s="1"/>
      <c r="BB26" s="1"/>
      <c r="BC26" s="1"/>
      <c r="BD26" s="1"/>
      <c r="BE26" s="1"/>
      <c r="BF26" s="1"/>
      <c r="BG26" s="1"/>
      <c r="BH26" s="1"/>
    </row>
    <row r="27" spans="1:60" x14ac:dyDescent="0.2">
      <c r="A27" s="3">
        <v>25</v>
      </c>
      <c r="B27" s="3" t="s">
        <v>289</v>
      </c>
      <c r="C27" s="3" t="s">
        <v>290</v>
      </c>
      <c r="D27" s="1"/>
      <c r="E27" s="1">
        <f t="shared" si="0"/>
        <v>2.4297520661157002</v>
      </c>
      <c r="F27" s="1">
        <f t="shared" si="1"/>
        <v>2.4297520661157002</v>
      </c>
      <c r="G27" s="1">
        <f t="shared" si="2"/>
        <v>0</v>
      </c>
      <c r="H27" s="1"/>
      <c r="I27" s="1">
        <v>3</v>
      </c>
      <c r="J27" s="1">
        <v>4</v>
      </c>
      <c r="K27" s="1">
        <v>3</v>
      </c>
      <c r="L27" s="1"/>
      <c r="M27" s="1">
        <v>1.3</v>
      </c>
      <c r="N27" s="1"/>
      <c r="O27" s="1">
        <v>0</v>
      </c>
      <c r="P27" s="1">
        <v>3.3333333333333299</v>
      </c>
      <c r="Q27" s="1">
        <v>0.65</v>
      </c>
      <c r="R27" s="1">
        <v>1.99166666666667</v>
      </c>
      <c r="S27" s="1">
        <v>0.78799249530956705</v>
      </c>
      <c r="T27" s="1"/>
      <c r="U27" s="1"/>
      <c r="V27" s="1"/>
      <c r="W27" s="1"/>
      <c r="X27" s="1"/>
      <c r="Y27" s="1"/>
      <c r="Z27" s="1" t="s">
        <v>1186</v>
      </c>
      <c r="AA27" s="1" t="s">
        <v>95</v>
      </c>
      <c r="AB27" s="1" t="s">
        <v>1177</v>
      </c>
      <c r="AC27" s="1">
        <v>-2.6</v>
      </c>
      <c r="AD27" s="1"/>
      <c r="AE27" s="1">
        <v>5.2</v>
      </c>
      <c r="AF27" s="1"/>
      <c r="AG27" s="1">
        <v>3.5019999999999998</v>
      </c>
      <c r="AH27" s="1"/>
      <c r="AI27" s="1"/>
      <c r="AJ27" s="1"/>
      <c r="AK27" s="1"/>
      <c r="AL27" s="1"/>
      <c r="AM27" s="1"/>
      <c r="AN27" s="1"/>
      <c r="AO27" s="1"/>
      <c r="AP27" s="1"/>
      <c r="AQ27" s="1"/>
      <c r="AR27" s="1"/>
      <c r="AS27" s="1">
        <v>26</v>
      </c>
      <c r="AT27" s="1">
        <v>26</v>
      </c>
      <c r="AU27" s="1">
        <v>28.363636363636399</v>
      </c>
      <c r="AV27" s="1">
        <v>0</v>
      </c>
      <c r="AW27" s="1">
        <v>-2.3636363636363602</v>
      </c>
      <c r="AX27" s="1">
        <v>2</v>
      </c>
      <c r="AY27" s="1">
        <v>0</v>
      </c>
      <c r="AZ27" s="1">
        <v>2.4297520661157002</v>
      </c>
      <c r="BA27" s="1"/>
      <c r="BB27" s="1"/>
      <c r="BC27" s="1"/>
      <c r="BD27" s="1"/>
      <c r="BE27" s="1"/>
      <c r="BF27" s="1"/>
      <c r="BG27" s="1"/>
      <c r="BH27" s="1"/>
    </row>
    <row r="28" spans="1:60" x14ac:dyDescent="0.2">
      <c r="A28" s="3">
        <v>26</v>
      </c>
      <c r="B28" s="3" t="s">
        <v>296</v>
      </c>
      <c r="C28" s="3" t="s">
        <v>297</v>
      </c>
      <c r="D28" s="1"/>
      <c r="E28" s="1">
        <f t="shared" si="0"/>
        <v>5.254599788103083</v>
      </c>
      <c r="F28" s="1">
        <f t="shared" si="1"/>
        <v>4.0495867768595</v>
      </c>
      <c r="G28" s="1">
        <f t="shared" si="2"/>
        <v>6.8181818181818201</v>
      </c>
      <c r="H28" s="1"/>
      <c r="I28" s="1"/>
      <c r="J28" s="1"/>
      <c r="K28" s="1"/>
      <c r="L28" s="1">
        <v>0</v>
      </c>
      <c r="M28" s="1">
        <v>1.3</v>
      </c>
      <c r="N28" s="1">
        <v>5</v>
      </c>
      <c r="O28" s="1">
        <v>2.9</v>
      </c>
      <c r="P28" s="1"/>
      <c r="Q28" s="1">
        <v>2.2999999999999998</v>
      </c>
      <c r="R28" s="1">
        <v>2.2999999999999998</v>
      </c>
      <c r="S28" s="1">
        <v>2.1763602251407099</v>
      </c>
      <c r="T28" s="1">
        <v>6.3</v>
      </c>
      <c r="U28" s="1">
        <v>3.8</v>
      </c>
      <c r="V28" s="1">
        <v>3.9</v>
      </c>
      <c r="W28" s="1">
        <v>1.5</v>
      </c>
      <c r="X28" s="1">
        <v>1.8</v>
      </c>
      <c r="Y28" s="1">
        <v>-2.4</v>
      </c>
      <c r="Z28" s="1" t="s">
        <v>1159</v>
      </c>
      <c r="AA28" s="1" t="s">
        <v>1176</v>
      </c>
      <c r="AB28" s="1" t="s">
        <v>414</v>
      </c>
      <c r="AC28" s="1">
        <v>-2.6</v>
      </c>
      <c r="AD28" s="1">
        <v>4.8</v>
      </c>
      <c r="AE28" s="1">
        <v>5.2</v>
      </c>
      <c r="AF28" s="1">
        <v>10</v>
      </c>
      <c r="AG28" s="1">
        <v>10</v>
      </c>
      <c r="AH28" s="1"/>
      <c r="AI28" s="1"/>
      <c r="AJ28" s="1"/>
      <c r="AK28" s="1"/>
      <c r="AL28" s="1"/>
      <c r="AM28" s="1"/>
      <c r="AN28" s="1"/>
      <c r="AO28" s="1"/>
      <c r="AP28" s="1"/>
      <c r="AQ28" s="1"/>
      <c r="AR28" s="1"/>
      <c r="AS28" s="1">
        <v>38</v>
      </c>
      <c r="AT28" s="1">
        <v>38</v>
      </c>
      <c r="AU28" s="1">
        <v>37.272727272727302</v>
      </c>
      <c r="AV28" s="1">
        <v>0</v>
      </c>
      <c r="AW28" s="1">
        <v>0.72727272727272696</v>
      </c>
      <c r="AX28" s="1">
        <v>4.1818181818181799</v>
      </c>
      <c r="AY28" s="1">
        <v>6.8181818181818201</v>
      </c>
      <c r="AZ28" s="1">
        <v>4.0495867768595</v>
      </c>
      <c r="BA28" s="1"/>
      <c r="BB28" s="1"/>
      <c r="BC28" s="1"/>
      <c r="BD28" s="1"/>
      <c r="BE28" s="1"/>
      <c r="BF28" s="1"/>
      <c r="BG28" s="1"/>
      <c r="BH28" s="1"/>
    </row>
    <row r="29" spans="1:60" x14ac:dyDescent="0.2">
      <c r="A29" s="3">
        <v>27</v>
      </c>
      <c r="B29" s="3" t="s">
        <v>301</v>
      </c>
      <c r="C29" s="3" t="s">
        <v>302</v>
      </c>
      <c r="D29" s="1"/>
      <c r="E29" s="1">
        <f t="shared" si="0"/>
        <v>3.5016364104106743</v>
      </c>
      <c r="F29" s="1">
        <f t="shared" si="1"/>
        <v>3.1735537190082601</v>
      </c>
      <c r="G29" s="1">
        <f t="shared" si="2"/>
        <v>3.86363636363637</v>
      </c>
      <c r="H29" s="1"/>
      <c r="I29" s="1">
        <v>4</v>
      </c>
      <c r="J29" s="1">
        <v>4</v>
      </c>
      <c r="K29" s="1">
        <v>4</v>
      </c>
      <c r="L29" s="1">
        <v>0</v>
      </c>
      <c r="M29" s="1">
        <v>1.5</v>
      </c>
      <c r="N29" s="1">
        <v>0</v>
      </c>
      <c r="O29" s="1">
        <v>1.9</v>
      </c>
      <c r="P29" s="1">
        <v>4</v>
      </c>
      <c r="Q29" s="1">
        <v>0.85</v>
      </c>
      <c r="R29" s="1">
        <v>2.4249999999999998</v>
      </c>
      <c r="S29" s="1">
        <v>2.73921200750469</v>
      </c>
      <c r="T29" s="1">
        <v>2.9</v>
      </c>
      <c r="U29" s="1">
        <v>4.5</v>
      </c>
      <c r="V29" s="1">
        <v>3.5</v>
      </c>
      <c r="W29" s="1">
        <v>-9.1</v>
      </c>
      <c r="X29" s="1">
        <v>4.2</v>
      </c>
      <c r="Y29" s="1">
        <v>-12.6</v>
      </c>
      <c r="Z29" s="1" t="s">
        <v>1146</v>
      </c>
      <c r="AA29" s="1" t="s">
        <v>1187</v>
      </c>
      <c r="AB29" s="1" t="s">
        <v>1188</v>
      </c>
      <c r="AC29" s="1">
        <v>-8.4</v>
      </c>
      <c r="AD29" s="1">
        <v>10</v>
      </c>
      <c r="AE29" s="1">
        <v>10</v>
      </c>
      <c r="AF29" s="1">
        <v>9.4</v>
      </c>
      <c r="AG29" s="1">
        <v>9.7513333333333296</v>
      </c>
      <c r="AH29" s="1"/>
      <c r="AI29" s="1"/>
      <c r="AJ29" s="1"/>
      <c r="AK29" s="1"/>
      <c r="AL29" s="1"/>
      <c r="AM29" s="1"/>
      <c r="AN29" s="1"/>
      <c r="AO29" s="1"/>
      <c r="AP29" s="1"/>
      <c r="AQ29" s="1"/>
      <c r="AR29" s="1"/>
      <c r="AS29" s="1">
        <v>32</v>
      </c>
      <c r="AT29" s="1">
        <v>33</v>
      </c>
      <c r="AU29" s="1">
        <v>32.454545454545503</v>
      </c>
      <c r="AV29" s="1">
        <v>-1</v>
      </c>
      <c r="AW29" s="1">
        <v>-0.45454545454545298</v>
      </c>
      <c r="AX29" s="1">
        <v>3.0909090909090899</v>
      </c>
      <c r="AY29" s="1">
        <v>3.86363636363637</v>
      </c>
      <c r="AZ29" s="1">
        <v>3.1735537190082601</v>
      </c>
      <c r="BA29" s="1">
        <v>0</v>
      </c>
      <c r="BB29" s="1">
        <v>0</v>
      </c>
      <c r="BC29" s="1"/>
      <c r="BD29" s="1"/>
      <c r="BE29" s="1"/>
      <c r="BF29" s="1"/>
      <c r="BG29" s="1"/>
      <c r="BH29" s="1"/>
    </row>
    <row r="30" spans="1:60" x14ac:dyDescent="0.2">
      <c r="A30" s="3">
        <v>28</v>
      </c>
      <c r="B30" s="3" t="s">
        <v>307</v>
      </c>
      <c r="C30" s="3" t="s">
        <v>308</v>
      </c>
      <c r="D30" s="1"/>
      <c r="E30" s="1">
        <f t="shared" si="0"/>
        <v>7.6870611478580688</v>
      </c>
      <c r="F30" s="1">
        <f t="shared" si="1"/>
        <v>10</v>
      </c>
      <c r="G30" s="1">
        <f t="shared" si="2"/>
        <v>5.9090909090909003</v>
      </c>
      <c r="H30" s="1"/>
      <c r="I30" s="1"/>
      <c r="J30" s="1"/>
      <c r="K30" s="1">
        <v>3</v>
      </c>
      <c r="L30" s="1"/>
      <c r="M30" s="1"/>
      <c r="N30" s="1"/>
      <c r="O30" s="1"/>
      <c r="P30" s="1">
        <v>3</v>
      </c>
      <c r="Q30" s="1"/>
      <c r="R30" s="1">
        <v>3</v>
      </c>
      <c r="S30" s="1">
        <v>5.3283302063789897</v>
      </c>
      <c r="T30" s="1">
        <v>4.5</v>
      </c>
      <c r="U30" s="1">
        <v>3.7</v>
      </c>
      <c r="V30" s="1">
        <v>3.1</v>
      </c>
      <c r="W30" s="1">
        <v>0.8</v>
      </c>
      <c r="X30" s="1">
        <v>3.5</v>
      </c>
      <c r="Y30" s="1">
        <v>-2.2999999999999998</v>
      </c>
      <c r="Z30" s="1" t="s">
        <v>1146</v>
      </c>
      <c r="AA30" s="1" t="s">
        <v>121</v>
      </c>
      <c r="AB30" s="1" t="s">
        <v>1189</v>
      </c>
      <c r="AC30" s="1">
        <v>-2</v>
      </c>
      <c r="AD30" s="1">
        <v>4.5999999999999996</v>
      </c>
      <c r="AE30" s="1">
        <v>4</v>
      </c>
      <c r="AF30" s="1">
        <v>3.6</v>
      </c>
      <c r="AG30" s="1">
        <v>4.0220000000000002</v>
      </c>
      <c r="AH30" s="1"/>
      <c r="AI30" s="1"/>
      <c r="AJ30" s="1"/>
      <c r="AK30" s="1"/>
      <c r="AL30" s="1"/>
      <c r="AM30" s="1"/>
      <c r="AN30" s="1"/>
      <c r="AO30" s="1"/>
      <c r="AP30" s="1"/>
      <c r="AQ30" s="1"/>
      <c r="AR30" s="1"/>
      <c r="AS30" s="1">
        <v>72</v>
      </c>
      <c r="AT30" s="1">
        <v>72</v>
      </c>
      <c r="AU30" s="1">
        <v>71.636363636363598</v>
      </c>
      <c r="AV30" s="1">
        <v>0</v>
      </c>
      <c r="AW30" s="1">
        <v>0.36363636363635998</v>
      </c>
      <c r="AX30" s="1">
        <v>10</v>
      </c>
      <c r="AY30" s="1">
        <v>5.9090909090909003</v>
      </c>
      <c r="AZ30" s="1">
        <v>10</v>
      </c>
      <c r="BA30" s="1"/>
      <c r="BB30" s="1"/>
      <c r="BC30" s="1"/>
      <c r="BD30" s="1"/>
      <c r="BE30" s="1"/>
      <c r="BF30" s="1"/>
      <c r="BG30" s="1"/>
      <c r="BH30" s="1"/>
    </row>
    <row r="31" spans="1:60" x14ac:dyDescent="0.2">
      <c r="A31" s="3">
        <v>29</v>
      </c>
      <c r="B31" s="3" t="s">
        <v>314</v>
      </c>
      <c r="C31" s="3" t="s">
        <v>315</v>
      </c>
      <c r="D31" s="1"/>
      <c r="E31" s="1">
        <f t="shared" si="0"/>
        <v>1.34700602974794</v>
      </c>
      <c r="F31" s="1">
        <f t="shared" si="1"/>
        <v>0.34710743801652899</v>
      </c>
      <c r="G31" s="1">
        <f t="shared" si="2"/>
        <v>5.2272727272727204</v>
      </c>
      <c r="H31" s="1"/>
      <c r="I31" s="1">
        <v>3</v>
      </c>
      <c r="J31" s="1">
        <v>3</v>
      </c>
      <c r="K31" s="1">
        <v>3</v>
      </c>
      <c r="L31" s="1">
        <v>0</v>
      </c>
      <c r="M31" s="1">
        <v>0.2</v>
      </c>
      <c r="N31" s="1"/>
      <c r="O31" s="1">
        <v>3.9</v>
      </c>
      <c r="P31" s="1">
        <v>3</v>
      </c>
      <c r="Q31" s="1">
        <v>1.36666666666667</v>
      </c>
      <c r="R31" s="1">
        <v>2.18333333333333</v>
      </c>
      <c r="S31" s="1">
        <v>1.6510318949343299</v>
      </c>
      <c r="T31" s="1"/>
      <c r="U31" s="1"/>
      <c r="V31" s="1"/>
      <c r="W31" s="1"/>
      <c r="X31" s="1"/>
      <c r="Y31" s="1"/>
      <c r="Z31" s="1" t="s">
        <v>1163</v>
      </c>
      <c r="AA31" s="1" t="s">
        <v>1190</v>
      </c>
      <c r="AB31" s="1" t="s">
        <v>1166</v>
      </c>
      <c r="AC31" s="1">
        <v>-7.8</v>
      </c>
      <c r="AD31" s="1"/>
      <c r="AE31" s="1">
        <v>10</v>
      </c>
      <c r="AF31" s="1"/>
      <c r="AG31" s="1">
        <v>8.0939999999999994</v>
      </c>
      <c r="AH31" s="1"/>
      <c r="AI31" s="1"/>
      <c r="AJ31" s="1"/>
      <c r="AK31" s="1"/>
      <c r="AL31" s="1"/>
      <c r="AM31" s="1"/>
      <c r="AN31" s="1"/>
      <c r="AO31" s="1"/>
      <c r="AP31" s="1"/>
      <c r="AQ31" s="1"/>
      <c r="AR31" s="1"/>
      <c r="AS31" s="1">
        <v>17</v>
      </c>
      <c r="AT31" s="1">
        <v>17</v>
      </c>
      <c r="AU31" s="1">
        <v>16.909090909090899</v>
      </c>
      <c r="AV31" s="1">
        <v>0</v>
      </c>
      <c r="AW31" s="1">
        <v>9.0909090909089899E-2</v>
      </c>
      <c r="AX31" s="1">
        <v>0.36363636363636298</v>
      </c>
      <c r="AY31" s="1">
        <v>5.2272727272727204</v>
      </c>
      <c r="AZ31" s="1">
        <v>0.34710743801652899</v>
      </c>
      <c r="BA31" s="1"/>
      <c r="BB31" s="1"/>
      <c r="BC31" s="1"/>
      <c r="BD31" s="1"/>
      <c r="BE31" s="1"/>
      <c r="BF31" s="1"/>
      <c r="BG31" s="1"/>
      <c r="BH31" s="1"/>
    </row>
    <row r="32" spans="1:60" x14ac:dyDescent="0.2">
      <c r="A32" s="3">
        <v>30</v>
      </c>
      <c r="B32" s="3" t="s">
        <v>320</v>
      </c>
      <c r="C32" s="3" t="s">
        <v>321</v>
      </c>
      <c r="D32" s="1"/>
      <c r="E32" s="1">
        <f t="shared" si="0"/>
        <v>0</v>
      </c>
      <c r="F32" s="1">
        <f t="shared" si="1"/>
        <v>0</v>
      </c>
      <c r="G32" s="1">
        <f t="shared" si="2"/>
        <v>0</v>
      </c>
      <c r="H32" s="1"/>
      <c r="I32" s="1">
        <v>0</v>
      </c>
      <c r="J32" s="1">
        <v>3</v>
      </c>
      <c r="K32" s="1">
        <v>3</v>
      </c>
      <c r="L32" s="1">
        <v>0</v>
      </c>
      <c r="M32" s="1">
        <v>2.2999999999999998</v>
      </c>
      <c r="N32" s="1"/>
      <c r="O32" s="1">
        <v>2.4</v>
      </c>
      <c r="P32" s="1">
        <v>2</v>
      </c>
      <c r="Q32" s="1">
        <v>1.56666666666667</v>
      </c>
      <c r="R32" s="1">
        <v>1.7833333333333301</v>
      </c>
      <c r="S32" s="1">
        <v>0</v>
      </c>
      <c r="T32" s="1"/>
      <c r="U32" s="1"/>
      <c r="V32" s="1"/>
      <c r="W32" s="1"/>
      <c r="X32" s="1"/>
      <c r="Y32" s="1"/>
      <c r="Z32" s="1" t="s">
        <v>669</v>
      </c>
      <c r="AA32" s="1" t="s">
        <v>1179</v>
      </c>
      <c r="AB32" s="1" t="s">
        <v>224</v>
      </c>
      <c r="AC32" s="1">
        <v>-6.9</v>
      </c>
      <c r="AD32" s="1"/>
      <c r="AE32" s="1">
        <v>10</v>
      </c>
      <c r="AF32" s="1"/>
      <c r="AG32" s="1">
        <v>6.86933333333333</v>
      </c>
      <c r="AH32" s="1"/>
      <c r="AI32" s="1"/>
      <c r="AJ32" s="1"/>
      <c r="AK32" s="1"/>
      <c r="AL32" s="1"/>
      <c r="AM32" s="1"/>
      <c r="AN32" s="1"/>
      <c r="AO32" s="1"/>
      <c r="AP32" s="1"/>
      <c r="AQ32" s="1"/>
      <c r="AR32" s="1"/>
      <c r="AS32" s="1">
        <v>10</v>
      </c>
      <c r="AT32" s="1">
        <v>13</v>
      </c>
      <c r="AU32" s="1">
        <v>12.2727272727273</v>
      </c>
      <c r="AV32" s="1">
        <v>-3</v>
      </c>
      <c r="AW32" s="1">
        <v>-2.2727272727272698</v>
      </c>
      <c r="AX32" s="1">
        <v>0</v>
      </c>
      <c r="AY32" s="1">
        <v>0</v>
      </c>
      <c r="AZ32" s="1">
        <v>0</v>
      </c>
      <c r="BA32" s="1"/>
      <c r="BB32" s="1"/>
      <c r="BC32" s="1"/>
      <c r="BD32" s="1"/>
      <c r="BE32" s="1"/>
      <c r="BF32" s="1"/>
      <c r="BG32" s="1"/>
      <c r="BH32" s="1"/>
    </row>
    <row r="33" spans="1:60" x14ac:dyDescent="0.2">
      <c r="A33" s="3">
        <v>31</v>
      </c>
      <c r="B33" s="3" t="s">
        <v>325</v>
      </c>
      <c r="C33" s="3" t="s">
        <v>326</v>
      </c>
      <c r="D33" s="1"/>
      <c r="E33" s="1">
        <f t="shared" si="0"/>
        <v>3.0151134457776374</v>
      </c>
      <c r="F33" s="1">
        <f t="shared" si="1"/>
        <v>1.8181818181818199</v>
      </c>
      <c r="G33" s="1">
        <f t="shared" si="2"/>
        <v>5</v>
      </c>
      <c r="H33" s="1"/>
      <c r="I33" s="1">
        <v>4</v>
      </c>
      <c r="J33" s="1">
        <v>3</v>
      </c>
      <c r="K33" s="1">
        <v>4</v>
      </c>
      <c r="L33" s="1">
        <v>0</v>
      </c>
      <c r="M33" s="1">
        <v>0.8</v>
      </c>
      <c r="N33" s="1">
        <v>0</v>
      </c>
      <c r="O33" s="1">
        <v>3.8</v>
      </c>
      <c r="P33" s="1">
        <v>3.6666666666666701</v>
      </c>
      <c r="Q33" s="1">
        <v>1.1499999999999999</v>
      </c>
      <c r="R33" s="1">
        <v>2.4083333333333301</v>
      </c>
      <c r="S33" s="1">
        <v>2.66416510318949</v>
      </c>
      <c r="T33" s="1">
        <v>1.2</v>
      </c>
      <c r="U33" s="1">
        <v>3.9</v>
      </c>
      <c r="V33" s="1">
        <v>1.1000000000000001</v>
      </c>
      <c r="W33" s="1">
        <v>-4.3</v>
      </c>
      <c r="X33" s="1">
        <v>3.1</v>
      </c>
      <c r="Y33" s="1">
        <v>-5.4</v>
      </c>
      <c r="Z33" s="1" t="s">
        <v>788</v>
      </c>
      <c r="AA33" s="1" t="s">
        <v>1191</v>
      </c>
      <c r="AB33" s="1" t="s">
        <v>1159</v>
      </c>
      <c r="AC33" s="1">
        <v>-5.6</v>
      </c>
      <c r="AD33" s="1">
        <v>10</v>
      </c>
      <c r="AE33" s="1">
        <v>10</v>
      </c>
      <c r="AF33" s="1">
        <v>7.5333333333333297</v>
      </c>
      <c r="AG33" s="1">
        <v>7.3339999999999996</v>
      </c>
      <c r="AH33" s="1">
        <v>0</v>
      </c>
      <c r="AI33" s="1">
        <v>0</v>
      </c>
      <c r="AJ33" s="1">
        <v>0.5</v>
      </c>
      <c r="AK33" s="1">
        <v>0</v>
      </c>
      <c r="AL33" s="1">
        <v>0</v>
      </c>
      <c r="AM33" s="1">
        <v>1</v>
      </c>
      <c r="AN33" s="1">
        <v>1</v>
      </c>
      <c r="AO33" s="1">
        <v>0</v>
      </c>
      <c r="AP33" s="1">
        <v>0</v>
      </c>
      <c r="AQ33" s="1">
        <v>1.5</v>
      </c>
      <c r="AR33" s="1">
        <v>7.1428571428571397</v>
      </c>
      <c r="AS33" s="1">
        <v>25</v>
      </c>
      <c r="AT33" s="1">
        <v>25</v>
      </c>
      <c r="AU33" s="1">
        <v>25</v>
      </c>
      <c r="AV33" s="1">
        <v>0</v>
      </c>
      <c r="AW33" s="1">
        <v>0</v>
      </c>
      <c r="AX33" s="1">
        <v>1.8181818181818199</v>
      </c>
      <c r="AY33" s="1">
        <v>5</v>
      </c>
      <c r="AZ33" s="1">
        <v>1.8181818181818199</v>
      </c>
      <c r="BA33" s="1">
        <v>7.0999999999999994E-2</v>
      </c>
      <c r="BB33" s="1">
        <v>3.55</v>
      </c>
      <c r="BC33" s="1"/>
      <c r="BD33" s="1"/>
      <c r="BE33" s="1"/>
      <c r="BF33" s="1"/>
      <c r="BG33" s="1"/>
      <c r="BH33" s="1"/>
    </row>
    <row r="34" spans="1:60" x14ac:dyDescent="0.2">
      <c r="A34" s="3">
        <v>32</v>
      </c>
      <c r="B34" s="3" t="s">
        <v>331</v>
      </c>
      <c r="C34" s="3" t="s">
        <v>332</v>
      </c>
      <c r="D34" s="1"/>
      <c r="E34" s="1">
        <f t="shared" si="0"/>
        <v>5.4214876033057902</v>
      </c>
      <c r="F34" s="1">
        <f t="shared" si="1"/>
        <v>5.4214876033057902</v>
      </c>
      <c r="G34" s="1">
        <f t="shared" si="2"/>
        <v>0</v>
      </c>
      <c r="H34" s="1"/>
      <c r="I34" s="1">
        <v>4</v>
      </c>
      <c r="J34" s="1">
        <v>3</v>
      </c>
      <c r="K34" s="1">
        <v>4</v>
      </c>
      <c r="L34" s="1">
        <v>0</v>
      </c>
      <c r="M34" s="1">
        <v>2.4</v>
      </c>
      <c r="N34" s="1"/>
      <c r="O34" s="1">
        <v>1.2</v>
      </c>
      <c r="P34" s="1">
        <v>3.6666666666666701</v>
      </c>
      <c r="Q34" s="1">
        <v>1.2</v>
      </c>
      <c r="R34" s="1">
        <v>2.43333333333333</v>
      </c>
      <c r="S34" s="1">
        <v>2.77673545966229</v>
      </c>
      <c r="T34" s="1">
        <v>6.8</v>
      </c>
      <c r="U34" s="1">
        <v>6.6</v>
      </c>
      <c r="V34" s="1">
        <v>6.1</v>
      </c>
      <c r="W34" s="1">
        <v>1</v>
      </c>
      <c r="X34" s="1">
        <v>6.9</v>
      </c>
      <c r="Y34" s="1">
        <v>-5.0999999999999996</v>
      </c>
      <c r="Z34" s="1" t="s">
        <v>557</v>
      </c>
      <c r="AA34" s="1" t="s">
        <v>1178</v>
      </c>
      <c r="AB34" s="1" t="s">
        <v>1192</v>
      </c>
      <c r="AC34" s="1">
        <v>-4.9000000000000004</v>
      </c>
      <c r="AD34" s="1">
        <v>10</v>
      </c>
      <c r="AE34" s="1">
        <v>9.8000000000000007</v>
      </c>
      <c r="AF34" s="1">
        <v>2</v>
      </c>
      <c r="AG34" s="1">
        <v>2.0993333333333299</v>
      </c>
      <c r="AH34" s="1">
        <v>0</v>
      </c>
      <c r="AI34" s="1">
        <v>0</v>
      </c>
      <c r="AJ34" s="1">
        <v>0.5</v>
      </c>
      <c r="AK34" s="1">
        <v>1</v>
      </c>
      <c r="AL34" s="1">
        <v>0</v>
      </c>
      <c r="AM34" s="1">
        <v>0</v>
      </c>
      <c r="AN34" s="1">
        <v>0</v>
      </c>
      <c r="AO34" s="1">
        <v>0</v>
      </c>
      <c r="AP34" s="1">
        <v>0</v>
      </c>
      <c r="AQ34" s="1">
        <v>1.5</v>
      </c>
      <c r="AR34" s="1">
        <v>7.1428571428571397</v>
      </c>
      <c r="AS34" s="1">
        <v>40</v>
      </c>
      <c r="AT34" s="1">
        <v>43</v>
      </c>
      <c r="AU34" s="1">
        <v>44.818181818181799</v>
      </c>
      <c r="AV34" s="1">
        <v>-3</v>
      </c>
      <c r="AW34" s="1">
        <v>-4.8181818181818201</v>
      </c>
      <c r="AX34" s="1">
        <v>4.5454545454545503</v>
      </c>
      <c r="AY34" s="1">
        <v>0</v>
      </c>
      <c r="AZ34" s="1">
        <v>5.4214876033057902</v>
      </c>
      <c r="BA34" s="1">
        <v>0.11</v>
      </c>
      <c r="BB34" s="1">
        <v>5.5</v>
      </c>
      <c r="BC34" s="1"/>
      <c r="BD34" s="1"/>
      <c r="BE34" s="1"/>
      <c r="BF34" s="1"/>
      <c r="BG34" s="1"/>
      <c r="BH34" s="1"/>
    </row>
    <row r="35" spans="1:60" x14ac:dyDescent="0.2">
      <c r="A35" s="3">
        <v>33</v>
      </c>
      <c r="B35" s="3" t="s">
        <v>337</v>
      </c>
      <c r="C35" s="3" t="s">
        <v>338</v>
      </c>
      <c r="D35" s="1"/>
      <c r="E35" s="1">
        <f t="shared" ref="E35:E66" si="3">IFERROR(GEOMEAN(F35, G35), MAX(F35, G35))</f>
        <v>5.8775381364525865</v>
      </c>
      <c r="F35" s="1">
        <f t="shared" ref="F35:F66" si="4">MAX(AZ35)</f>
        <v>6.9090909090909101</v>
      </c>
      <c r="G35" s="1">
        <f t="shared" ref="G35:G66" si="5">MAX(AY35)</f>
        <v>5</v>
      </c>
      <c r="H35" s="1"/>
      <c r="I35" s="1">
        <v>5</v>
      </c>
      <c r="J35" s="1">
        <v>5</v>
      </c>
      <c r="K35" s="1">
        <v>3</v>
      </c>
      <c r="L35" s="1">
        <v>0</v>
      </c>
      <c r="M35" s="1"/>
      <c r="N35" s="1">
        <v>4</v>
      </c>
      <c r="O35" s="1">
        <v>4.2</v>
      </c>
      <c r="P35" s="1">
        <v>4.3333333333333304</v>
      </c>
      <c r="Q35" s="1">
        <v>2.7333333333333298</v>
      </c>
      <c r="R35" s="1">
        <v>3.5333333333333301</v>
      </c>
      <c r="S35" s="1">
        <v>7.7298311444652903</v>
      </c>
      <c r="T35" s="1">
        <v>7.4</v>
      </c>
      <c r="U35" s="1">
        <v>6.8</v>
      </c>
      <c r="V35" s="1">
        <v>6.9</v>
      </c>
      <c r="W35" s="1">
        <v>2.7</v>
      </c>
      <c r="X35" s="1">
        <v>8.6999999999999993</v>
      </c>
      <c r="Y35" s="1">
        <v>-4.2</v>
      </c>
      <c r="Z35" s="1" t="s">
        <v>345</v>
      </c>
      <c r="AA35" s="1" t="s">
        <v>1176</v>
      </c>
      <c r="AB35" s="1" t="s">
        <v>816</v>
      </c>
      <c r="AC35" s="1">
        <v>-4.2</v>
      </c>
      <c r="AD35" s="1">
        <v>8.4</v>
      </c>
      <c r="AE35" s="1">
        <v>8.4</v>
      </c>
      <c r="AF35" s="1">
        <v>2.1333333333333302</v>
      </c>
      <c r="AG35" s="1">
        <v>2.1333333333333302</v>
      </c>
      <c r="AH35" s="1"/>
      <c r="AI35" s="1"/>
      <c r="AJ35" s="1"/>
      <c r="AK35" s="1"/>
      <c r="AL35" s="1"/>
      <c r="AM35" s="1"/>
      <c r="AN35" s="1"/>
      <c r="AO35" s="1"/>
      <c r="AP35" s="1"/>
      <c r="AQ35" s="1"/>
      <c r="AR35" s="1"/>
      <c r="AS35" s="1">
        <v>53</v>
      </c>
      <c r="AT35" s="1">
        <v>53</v>
      </c>
      <c r="AU35" s="1">
        <v>53</v>
      </c>
      <c r="AV35" s="1">
        <v>0</v>
      </c>
      <c r="AW35" s="1">
        <v>0</v>
      </c>
      <c r="AX35" s="1">
        <v>6.9090909090909101</v>
      </c>
      <c r="AY35" s="1">
        <v>5</v>
      </c>
      <c r="AZ35" s="1">
        <v>6.9090909090909101</v>
      </c>
      <c r="BA35" s="1">
        <v>0.16</v>
      </c>
      <c r="BB35" s="1">
        <v>8</v>
      </c>
      <c r="BC35" s="1"/>
      <c r="BD35" s="1"/>
      <c r="BE35" s="1"/>
      <c r="BF35" s="1"/>
      <c r="BG35" s="1"/>
      <c r="BH35" s="1"/>
    </row>
    <row r="36" spans="1:60" x14ac:dyDescent="0.2">
      <c r="A36" s="3">
        <v>34</v>
      </c>
      <c r="B36" s="3" t="s">
        <v>343</v>
      </c>
      <c r="C36" s="3" t="s">
        <v>344</v>
      </c>
      <c r="D36" s="1"/>
      <c r="E36" s="1">
        <f t="shared" si="3"/>
        <v>6.310284022750773</v>
      </c>
      <c r="F36" s="1">
        <f t="shared" si="4"/>
        <v>8.7603305785124004</v>
      </c>
      <c r="G36" s="1">
        <f t="shared" si="5"/>
        <v>4.5454545454545503</v>
      </c>
      <c r="H36" s="1"/>
      <c r="I36" s="1"/>
      <c r="J36" s="1"/>
      <c r="K36" s="1">
        <v>3</v>
      </c>
      <c r="L36" s="1">
        <v>0</v>
      </c>
      <c r="M36" s="1">
        <v>0.5</v>
      </c>
      <c r="N36" s="1">
        <v>6</v>
      </c>
      <c r="O36" s="1">
        <v>4.0999999999999996</v>
      </c>
      <c r="P36" s="1">
        <v>3</v>
      </c>
      <c r="Q36" s="1">
        <v>2.65</v>
      </c>
      <c r="R36" s="1">
        <v>2.8250000000000002</v>
      </c>
      <c r="S36" s="1">
        <v>4.5403377110694203</v>
      </c>
      <c r="T36" s="1">
        <v>3.5</v>
      </c>
      <c r="U36" s="1">
        <v>4.0999999999999996</v>
      </c>
      <c r="V36" s="1">
        <v>3.9</v>
      </c>
      <c r="W36" s="1">
        <v>-0.2</v>
      </c>
      <c r="X36" s="1">
        <v>3.4</v>
      </c>
      <c r="Y36" s="1">
        <v>-4.0999999999999996</v>
      </c>
      <c r="Z36" s="1" t="s">
        <v>1193</v>
      </c>
      <c r="AA36" s="1" t="s">
        <v>1194</v>
      </c>
      <c r="AB36" s="1" t="s">
        <v>1195</v>
      </c>
      <c r="AC36" s="1">
        <v>-4.9000000000000004</v>
      </c>
      <c r="AD36" s="1">
        <v>8.1999999999999993</v>
      </c>
      <c r="AE36" s="1">
        <v>9.8000000000000007</v>
      </c>
      <c r="AF36" s="1">
        <v>5</v>
      </c>
      <c r="AG36" s="1">
        <v>5.1793333333333296</v>
      </c>
      <c r="AH36" s="1"/>
      <c r="AI36" s="1"/>
      <c r="AJ36" s="1"/>
      <c r="AK36" s="1"/>
      <c r="AL36" s="1"/>
      <c r="AM36" s="1"/>
      <c r="AN36" s="1"/>
      <c r="AO36" s="1"/>
      <c r="AP36" s="1"/>
      <c r="AQ36" s="1"/>
      <c r="AR36" s="1"/>
      <c r="AS36" s="1">
        <v>63</v>
      </c>
      <c r="AT36" s="1">
        <v>63</v>
      </c>
      <c r="AU36" s="1">
        <v>63.181818181818201</v>
      </c>
      <c r="AV36" s="1">
        <v>0</v>
      </c>
      <c r="AW36" s="1">
        <v>-0.18181818181817999</v>
      </c>
      <c r="AX36" s="1">
        <v>8.7272727272727302</v>
      </c>
      <c r="AY36" s="1">
        <v>4.5454545454545503</v>
      </c>
      <c r="AZ36" s="1">
        <v>8.7603305785124004</v>
      </c>
      <c r="BA36" s="1"/>
      <c r="BB36" s="1"/>
      <c r="BC36" s="1"/>
      <c r="BD36" s="1"/>
      <c r="BE36" s="1"/>
      <c r="BF36" s="1"/>
      <c r="BG36" s="1"/>
      <c r="BH36" s="1"/>
    </row>
    <row r="37" spans="1:60" x14ac:dyDescent="0.2">
      <c r="A37" s="3">
        <v>35</v>
      </c>
      <c r="B37" s="3" t="s">
        <v>352</v>
      </c>
      <c r="C37" s="3" t="s">
        <v>353</v>
      </c>
      <c r="D37" s="1"/>
      <c r="E37" s="1">
        <f t="shared" si="3"/>
        <v>7.6870611478580688</v>
      </c>
      <c r="F37" s="1">
        <f t="shared" si="4"/>
        <v>10</v>
      </c>
      <c r="G37" s="1">
        <f t="shared" si="5"/>
        <v>5.9090909090909003</v>
      </c>
      <c r="H37" s="1"/>
      <c r="I37" s="1"/>
      <c r="J37" s="1"/>
      <c r="K37" s="1">
        <v>0</v>
      </c>
      <c r="L37" s="1">
        <v>0</v>
      </c>
      <c r="M37" s="1">
        <v>0.1</v>
      </c>
      <c r="N37" s="1"/>
      <c r="O37" s="1">
        <v>4.8</v>
      </c>
      <c r="P37" s="1">
        <v>0</v>
      </c>
      <c r="Q37" s="1">
        <v>1.63333333333333</v>
      </c>
      <c r="R37" s="1">
        <v>0.81666666666666698</v>
      </c>
      <c r="S37" s="1">
        <v>0</v>
      </c>
      <c r="T37" s="1">
        <v>3.7</v>
      </c>
      <c r="U37" s="1">
        <v>5.8</v>
      </c>
      <c r="V37" s="1">
        <v>4.4000000000000004</v>
      </c>
      <c r="W37" s="1">
        <v>-2.2000000000000002</v>
      </c>
      <c r="X37" s="1">
        <v>3.5</v>
      </c>
      <c r="Y37" s="1">
        <v>-6.6</v>
      </c>
      <c r="Z37" s="1" t="s">
        <v>1156</v>
      </c>
      <c r="AA37" s="1" t="s">
        <v>1154</v>
      </c>
      <c r="AB37" s="1" t="s">
        <v>1177</v>
      </c>
      <c r="AC37" s="1">
        <v>-6.6</v>
      </c>
      <c r="AD37" s="1">
        <v>10</v>
      </c>
      <c r="AE37" s="1">
        <v>10</v>
      </c>
      <c r="AF37" s="1">
        <v>5.8</v>
      </c>
      <c r="AG37" s="1">
        <v>4.7666666666666702</v>
      </c>
      <c r="AH37" s="1"/>
      <c r="AI37" s="1"/>
      <c r="AJ37" s="1"/>
      <c r="AK37" s="1"/>
      <c r="AL37" s="1"/>
      <c r="AM37" s="1"/>
      <c r="AN37" s="1"/>
      <c r="AO37" s="1"/>
      <c r="AP37" s="1"/>
      <c r="AQ37" s="1"/>
      <c r="AR37" s="1"/>
      <c r="AS37" s="1">
        <v>78</v>
      </c>
      <c r="AT37" s="1">
        <v>78</v>
      </c>
      <c r="AU37" s="1">
        <v>77.636363636363598</v>
      </c>
      <c r="AV37" s="1">
        <v>0</v>
      </c>
      <c r="AW37" s="1">
        <v>0.36363636363635998</v>
      </c>
      <c r="AX37" s="1">
        <v>10</v>
      </c>
      <c r="AY37" s="1">
        <v>5.9090909090909003</v>
      </c>
      <c r="AZ37" s="1">
        <v>10</v>
      </c>
      <c r="BA37" s="1"/>
      <c r="BB37" s="1"/>
      <c r="BC37" s="1"/>
      <c r="BD37" s="1"/>
      <c r="BE37" s="1"/>
      <c r="BF37" s="1"/>
      <c r="BG37" s="1"/>
      <c r="BH37" s="1"/>
    </row>
    <row r="38" spans="1:60" x14ac:dyDescent="0.2">
      <c r="A38" s="3">
        <v>36</v>
      </c>
      <c r="B38" s="3" t="s">
        <v>360</v>
      </c>
      <c r="C38" s="3" t="s">
        <v>361</v>
      </c>
      <c r="D38" s="1"/>
      <c r="E38" s="1">
        <f t="shared" si="3"/>
        <v>7.6404947503452041</v>
      </c>
      <c r="F38" s="1">
        <f t="shared" si="4"/>
        <v>9.1735537190082592</v>
      </c>
      <c r="G38" s="1">
        <f t="shared" si="5"/>
        <v>6.3636363636363704</v>
      </c>
      <c r="H38" s="1"/>
      <c r="I38" s="1"/>
      <c r="J38" s="1"/>
      <c r="K38" s="1">
        <v>0</v>
      </c>
      <c r="L38" s="1"/>
      <c r="M38" s="1">
        <v>0.2</v>
      </c>
      <c r="N38" s="1"/>
      <c r="O38" s="1">
        <v>6.4</v>
      </c>
      <c r="P38" s="1">
        <v>0</v>
      </c>
      <c r="Q38" s="1">
        <v>3.3</v>
      </c>
      <c r="R38" s="1">
        <v>1.65</v>
      </c>
      <c r="S38" s="1">
        <v>0</v>
      </c>
      <c r="T38" s="1">
        <v>-1.8</v>
      </c>
      <c r="U38" s="1">
        <v>1.6</v>
      </c>
      <c r="V38" s="1">
        <v>-0.9</v>
      </c>
      <c r="W38" s="1">
        <v>-6.2</v>
      </c>
      <c r="X38" s="1">
        <v>-1.1000000000000001</v>
      </c>
      <c r="Y38" s="1">
        <v>-5.3</v>
      </c>
      <c r="Z38" s="1" t="s">
        <v>1196</v>
      </c>
      <c r="AA38" s="1" t="s">
        <v>1197</v>
      </c>
      <c r="AB38" s="1" t="s">
        <v>1172</v>
      </c>
      <c r="AC38" s="1">
        <v>-1.4</v>
      </c>
      <c r="AD38" s="1">
        <v>10</v>
      </c>
      <c r="AE38" s="1">
        <v>2.8</v>
      </c>
      <c r="AF38" s="1">
        <v>10</v>
      </c>
      <c r="AG38" s="1">
        <v>10</v>
      </c>
      <c r="AH38" s="1"/>
      <c r="AI38" s="1"/>
      <c r="AJ38" s="1"/>
      <c r="AK38" s="1"/>
      <c r="AL38" s="1"/>
      <c r="AM38" s="1"/>
      <c r="AN38" s="1"/>
      <c r="AO38" s="1"/>
      <c r="AP38" s="1"/>
      <c r="AQ38" s="1"/>
      <c r="AR38" s="1"/>
      <c r="AS38" s="1">
        <v>66</v>
      </c>
      <c r="AT38" s="1">
        <v>66</v>
      </c>
      <c r="AU38" s="1">
        <v>65.454545454545496</v>
      </c>
      <c r="AV38" s="1">
        <v>0</v>
      </c>
      <c r="AW38" s="1">
        <v>0.54545454545454697</v>
      </c>
      <c r="AX38" s="1">
        <v>9.2727272727272698</v>
      </c>
      <c r="AY38" s="1">
        <v>6.3636363636363704</v>
      </c>
      <c r="AZ38" s="1">
        <v>9.1735537190082592</v>
      </c>
      <c r="BA38" s="1"/>
      <c r="BB38" s="1"/>
      <c r="BC38" s="1"/>
      <c r="BD38" s="1"/>
      <c r="BE38" s="1"/>
      <c r="BF38" s="1"/>
      <c r="BG38" s="1"/>
      <c r="BH38" s="1"/>
    </row>
    <row r="39" spans="1:60" x14ac:dyDescent="0.2">
      <c r="A39" s="3">
        <v>37</v>
      </c>
      <c r="B39" s="3" t="s">
        <v>365</v>
      </c>
      <c r="C39" s="3" t="s">
        <v>366</v>
      </c>
      <c r="D39" s="1"/>
      <c r="E39" s="1">
        <f t="shared" si="3"/>
        <v>2.1756110051385513</v>
      </c>
      <c r="F39" s="1">
        <f t="shared" si="4"/>
        <v>5.2066115702479303</v>
      </c>
      <c r="G39" s="1">
        <f t="shared" si="5"/>
        <v>0.90909090909091705</v>
      </c>
      <c r="H39" s="1"/>
      <c r="I39" s="1">
        <v>3</v>
      </c>
      <c r="J39" s="1">
        <v>4</v>
      </c>
      <c r="K39" s="1">
        <v>3</v>
      </c>
      <c r="L39" s="1">
        <v>0</v>
      </c>
      <c r="M39" s="1">
        <v>1.2</v>
      </c>
      <c r="N39" s="1">
        <v>0</v>
      </c>
      <c r="O39" s="1">
        <v>4.0999999999999996</v>
      </c>
      <c r="P39" s="1">
        <v>3.3333333333333299</v>
      </c>
      <c r="Q39" s="1">
        <v>1.325</v>
      </c>
      <c r="R39" s="1">
        <v>2.3291666666666702</v>
      </c>
      <c r="S39" s="1">
        <v>2.3076923076923102</v>
      </c>
      <c r="T39" s="1">
        <v>1.4</v>
      </c>
      <c r="U39" s="1">
        <v>2.5</v>
      </c>
      <c r="V39" s="1">
        <v>3.3</v>
      </c>
      <c r="W39" s="1">
        <v>-4.9000000000000004</v>
      </c>
      <c r="X39" s="1">
        <v>3.6</v>
      </c>
      <c r="Y39" s="1">
        <v>-8.1999999999999993</v>
      </c>
      <c r="Z39" s="1" t="s">
        <v>1153</v>
      </c>
      <c r="AA39" s="1" t="s">
        <v>1198</v>
      </c>
      <c r="AB39" s="1" t="s">
        <v>1193</v>
      </c>
      <c r="AC39" s="1">
        <v>-5.7</v>
      </c>
      <c r="AD39" s="1">
        <v>10</v>
      </c>
      <c r="AE39" s="1">
        <v>10</v>
      </c>
      <c r="AF39" s="1">
        <v>8.3333333333333304</v>
      </c>
      <c r="AG39" s="1">
        <v>8.7880000000000003</v>
      </c>
      <c r="AH39" s="1">
        <v>0</v>
      </c>
      <c r="AI39" s="1">
        <v>1</v>
      </c>
      <c r="AJ39" s="1">
        <v>0</v>
      </c>
      <c r="AK39" s="1">
        <v>0</v>
      </c>
      <c r="AL39" s="1">
        <v>0</v>
      </c>
      <c r="AM39" s="1">
        <v>1</v>
      </c>
      <c r="AN39" s="1">
        <v>1</v>
      </c>
      <c r="AO39" s="1">
        <v>0</v>
      </c>
      <c r="AP39" s="1">
        <v>0</v>
      </c>
      <c r="AQ39" s="1">
        <v>2</v>
      </c>
      <c r="AR39" s="1">
        <v>9.5238095238095202</v>
      </c>
      <c r="AS39" s="1">
        <v>42</v>
      </c>
      <c r="AT39" s="1">
        <v>42</v>
      </c>
      <c r="AU39" s="1">
        <v>43.636363636363598</v>
      </c>
      <c r="AV39" s="1">
        <v>0</v>
      </c>
      <c r="AW39" s="1">
        <v>-1.63636363636363</v>
      </c>
      <c r="AX39" s="1">
        <v>4.9090909090909101</v>
      </c>
      <c r="AY39" s="1">
        <v>0.90909090909091705</v>
      </c>
      <c r="AZ39" s="1">
        <v>5.2066115702479303</v>
      </c>
      <c r="BA39" s="1">
        <v>4.0000000000000001E-3</v>
      </c>
      <c r="BB39" s="1">
        <v>0.19999999999999901</v>
      </c>
      <c r="BC39" s="1"/>
      <c r="BD39" s="1"/>
      <c r="BE39" s="1"/>
      <c r="BF39" s="1"/>
      <c r="BG39" s="1"/>
      <c r="BH39" s="1"/>
    </row>
    <row r="40" spans="1:60" x14ac:dyDescent="0.2">
      <c r="A40" s="3">
        <v>38</v>
      </c>
      <c r="B40" s="3" t="s">
        <v>373</v>
      </c>
      <c r="C40" s="3" t="s">
        <v>374</v>
      </c>
      <c r="D40" s="1"/>
      <c r="E40" s="1">
        <f t="shared" si="3"/>
        <v>0</v>
      </c>
      <c r="F40" s="1">
        <f t="shared" si="4"/>
        <v>0</v>
      </c>
      <c r="G40" s="1">
        <f t="shared" si="5"/>
        <v>0</v>
      </c>
      <c r="H40" s="1"/>
      <c r="I40" s="1"/>
      <c r="J40" s="1"/>
      <c r="K40" s="1">
        <v>3</v>
      </c>
      <c r="L40" s="1">
        <v>4</v>
      </c>
      <c r="M40" s="1">
        <v>1</v>
      </c>
      <c r="N40" s="1"/>
      <c r="O40" s="1">
        <v>5.0999999999999996</v>
      </c>
      <c r="P40" s="1">
        <v>3</v>
      </c>
      <c r="Q40" s="1">
        <v>3.3666666666666698</v>
      </c>
      <c r="R40" s="1">
        <v>3.18333333333333</v>
      </c>
      <c r="S40" s="1">
        <v>6.1538461538461604</v>
      </c>
      <c r="T40" s="1">
        <v>3.8</v>
      </c>
      <c r="U40" s="1">
        <v>3.4</v>
      </c>
      <c r="V40" s="1">
        <v>1.9</v>
      </c>
      <c r="W40" s="1">
        <v>-1.4</v>
      </c>
      <c r="X40" s="1">
        <v>3.2</v>
      </c>
      <c r="Y40" s="1">
        <v>-3.3</v>
      </c>
      <c r="Z40" s="1" t="s">
        <v>354</v>
      </c>
      <c r="AA40" s="1" t="s">
        <v>1194</v>
      </c>
      <c r="AB40" s="1" t="s">
        <v>1199</v>
      </c>
      <c r="AC40" s="1">
        <v>-3.1</v>
      </c>
      <c r="AD40" s="1">
        <v>6.6</v>
      </c>
      <c r="AE40" s="1">
        <v>6.2</v>
      </c>
      <c r="AF40" s="1">
        <v>5.2</v>
      </c>
      <c r="AG40" s="1">
        <v>4.5453333333333301</v>
      </c>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row>
    <row r="41" spans="1:60" x14ac:dyDescent="0.2">
      <c r="A41" s="3">
        <v>39</v>
      </c>
      <c r="B41" s="3" t="s">
        <v>377</v>
      </c>
      <c r="C41" s="3" t="s">
        <v>378</v>
      </c>
      <c r="D41" s="1"/>
      <c r="E41" s="1">
        <f t="shared" si="3"/>
        <v>4.0284487956872486</v>
      </c>
      <c r="F41" s="1">
        <f t="shared" si="4"/>
        <v>4.4628099173553704</v>
      </c>
      <c r="G41" s="1">
        <f t="shared" si="5"/>
        <v>3.63636363636363</v>
      </c>
      <c r="H41" s="1"/>
      <c r="I41" s="1">
        <v>4</v>
      </c>
      <c r="J41" s="1">
        <v>6</v>
      </c>
      <c r="K41" s="1">
        <v>7</v>
      </c>
      <c r="L41" s="1">
        <v>4</v>
      </c>
      <c r="M41" s="1">
        <v>0.9</v>
      </c>
      <c r="N41" s="1">
        <v>5</v>
      </c>
      <c r="O41" s="1">
        <v>2.5</v>
      </c>
      <c r="P41" s="1">
        <v>5.6666666666666696</v>
      </c>
      <c r="Q41" s="1">
        <v>3.1</v>
      </c>
      <c r="R41" s="1">
        <v>4.3833333333333302</v>
      </c>
      <c r="S41" s="1">
        <v>10</v>
      </c>
      <c r="T41" s="1">
        <v>3.7</v>
      </c>
      <c r="U41" s="1">
        <v>5.0999999999999996</v>
      </c>
      <c r="V41" s="1">
        <v>5.5</v>
      </c>
      <c r="W41" s="1">
        <v>-5.5</v>
      </c>
      <c r="X41" s="1">
        <v>5</v>
      </c>
      <c r="Y41" s="1">
        <v>-11</v>
      </c>
      <c r="Z41" s="1" t="s">
        <v>1200</v>
      </c>
      <c r="AA41" s="1" t="s">
        <v>1173</v>
      </c>
      <c r="AB41" s="1" t="s">
        <v>1200</v>
      </c>
      <c r="AC41" s="1">
        <v>-9.5</v>
      </c>
      <c r="AD41" s="1">
        <v>10</v>
      </c>
      <c r="AE41" s="1">
        <v>10</v>
      </c>
      <c r="AF41" s="1">
        <v>10</v>
      </c>
      <c r="AG41" s="1">
        <v>7.8473333333333297</v>
      </c>
      <c r="AH41" s="1"/>
      <c r="AI41" s="1"/>
      <c r="AJ41" s="1"/>
      <c r="AK41" s="1"/>
      <c r="AL41" s="1"/>
      <c r="AM41" s="1"/>
      <c r="AN41" s="1"/>
      <c r="AO41" s="1"/>
      <c r="AP41" s="1"/>
      <c r="AQ41" s="1"/>
      <c r="AR41" s="1"/>
      <c r="AS41" s="1">
        <v>39</v>
      </c>
      <c r="AT41" s="1">
        <v>39</v>
      </c>
      <c r="AU41" s="1">
        <v>39.545454545454497</v>
      </c>
      <c r="AV41" s="1">
        <v>0</v>
      </c>
      <c r="AW41" s="1">
        <v>-0.54545454545454697</v>
      </c>
      <c r="AX41" s="1">
        <v>4.3636363636363598</v>
      </c>
      <c r="AY41" s="1">
        <v>3.63636363636363</v>
      </c>
      <c r="AZ41" s="1">
        <v>4.4628099173553704</v>
      </c>
      <c r="BA41" s="1"/>
      <c r="BB41" s="1"/>
      <c r="BC41" s="1"/>
      <c r="BD41" s="1"/>
      <c r="BE41" s="1"/>
      <c r="BF41" s="1"/>
      <c r="BG41" s="1"/>
      <c r="BH41" s="1"/>
    </row>
    <row r="42" spans="1:60" x14ac:dyDescent="0.2">
      <c r="A42" s="3">
        <v>40</v>
      </c>
      <c r="B42" s="3" t="s">
        <v>383</v>
      </c>
      <c r="C42" s="3" t="s">
        <v>384</v>
      </c>
      <c r="D42" s="1"/>
      <c r="E42" s="1">
        <f t="shared" si="3"/>
        <v>4.3529483432195475</v>
      </c>
      <c r="F42" s="1">
        <f t="shared" si="4"/>
        <v>3.2066115702479299</v>
      </c>
      <c r="G42" s="1">
        <f t="shared" si="5"/>
        <v>5.9090909090909198</v>
      </c>
      <c r="H42" s="1"/>
      <c r="I42" s="1">
        <v>4</v>
      </c>
      <c r="J42" s="1">
        <v>4</v>
      </c>
      <c r="K42" s="1">
        <v>4</v>
      </c>
      <c r="L42" s="1">
        <v>0</v>
      </c>
      <c r="M42" s="1">
        <v>0.6</v>
      </c>
      <c r="N42" s="1">
        <v>0</v>
      </c>
      <c r="O42" s="1">
        <v>4.4000000000000004</v>
      </c>
      <c r="P42" s="1">
        <v>4</v>
      </c>
      <c r="Q42" s="1">
        <v>1.25</v>
      </c>
      <c r="R42" s="1">
        <v>2.625</v>
      </c>
      <c r="S42" s="1">
        <v>3.63977485928705</v>
      </c>
      <c r="T42" s="1">
        <v>3.9</v>
      </c>
      <c r="U42" s="1">
        <v>2.7</v>
      </c>
      <c r="V42" s="1">
        <v>2.1</v>
      </c>
      <c r="W42" s="1">
        <v>-3.3</v>
      </c>
      <c r="X42" s="1">
        <v>3</v>
      </c>
      <c r="Y42" s="1">
        <v>-5.4</v>
      </c>
      <c r="Z42" s="1" t="s">
        <v>967</v>
      </c>
      <c r="AA42" s="1" t="s">
        <v>1201</v>
      </c>
      <c r="AB42" s="1" t="s">
        <v>1146</v>
      </c>
      <c r="AC42" s="1">
        <v>-5.4</v>
      </c>
      <c r="AD42" s="1">
        <v>10</v>
      </c>
      <c r="AE42" s="1">
        <v>10</v>
      </c>
      <c r="AF42" s="1">
        <v>6.5333333333333297</v>
      </c>
      <c r="AG42" s="1">
        <v>6.9980000000000002</v>
      </c>
      <c r="AH42" s="1">
        <v>0</v>
      </c>
      <c r="AI42" s="1">
        <v>1</v>
      </c>
      <c r="AJ42" s="1">
        <v>0</v>
      </c>
      <c r="AK42" s="1">
        <v>1</v>
      </c>
      <c r="AL42" s="1">
        <v>0</v>
      </c>
      <c r="AM42" s="1">
        <v>1</v>
      </c>
      <c r="AN42" s="1">
        <v>0.5</v>
      </c>
      <c r="AO42" s="1">
        <v>0.5</v>
      </c>
      <c r="AP42" s="1">
        <v>1</v>
      </c>
      <c r="AQ42" s="1">
        <v>3</v>
      </c>
      <c r="AR42" s="1">
        <v>10</v>
      </c>
      <c r="AS42" s="1">
        <v>33</v>
      </c>
      <c r="AT42" s="1">
        <v>34</v>
      </c>
      <c r="AU42" s="1">
        <v>32.636363636363598</v>
      </c>
      <c r="AV42" s="1">
        <v>-1</v>
      </c>
      <c r="AW42" s="1">
        <v>0.36363636363636698</v>
      </c>
      <c r="AX42" s="1">
        <v>3.2727272727272698</v>
      </c>
      <c r="AY42" s="1">
        <v>5.9090909090909198</v>
      </c>
      <c r="AZ42" s="1">
        <v>3.2066115702479299</v>
      </c>
      <c r="BA42" s="1">
        <v>3.3000000000000002E-2</v>
      </c>
      <c r="BB42" s="1">
        <v>1.65</v>
      </c>
      <c r="BC42" s="1"/>
      <c r="BD42" s="1"/>
      <c r="BE42" s="1"/>
      <c r="BF42" s="1"/>
      <c r="BG42" s="1"/>
      <c r="BH42" s="1"/>
    </row>
    <row r="43" spans="1:60" x14ac:dyDescent="0.2">
      <c r="A43" s="3">
        <v>41</v>
      </c>
      <c r="B43" s="3" t="s">
        <v>390</v>
      </c>
      <c r="C43" s="3" t="s">
        <v>391</v>
      </c>
      <c r="D43" s="1"/>
      <c r="E43" s="1">
        <f t="shared" si="3"/>
        <v>5.7443664625089177</v>
      </c>
      <c r="F43" s="1">
        <f t="shared" si="4"/>
        <v>8.0661157024793404</v>
      </c>
      <c r="G43" s="1">
        <f t="shared" si="5"/>
        <v>4.0909090909090802</v>
      </c>
      <c r="H43" s="1"/>
      <c r="I43" s="1"/>
      <c r="J43" s="1"/>
      <c r="K43" s="1">
        <v>4</v>
      </c>
      <c r="L43" s="1"/>
      <c r="M43" s="1"/>
      <c r="N43" s="1"/>
      <c r="O43" s="1"/>
      <c r="P43" s="1">
        <v>4</v>
      </c>
      <c r="Q43" s="1"/>
      <c r="R43" s="1">
        <v>4</v>
      </c>
      <c r="S43" s="1">
        <v>9.8311444652908104</v>
      </c>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v>59</v>
      </c>
      <c r="AT43" s="1">
        <v>59</v>
      </c>
      <c r="AU43" s="1">
        <v>59.363636363636402</v>
      </c>
      <c r="AV43" s="1">
        <v>0</v>
      </c>
      <c r="AW43" s="1">
        <v>-0.36363636363636698</v>
      </c>
      <c r="AX43" s="1">
        <v>8</v>
      </c>
      <c r="AY43" s="1">
        <v>4.0909090909090802</v>
      </c>
      <c r="AZ43" s="1">
        <v>8.0661157024793404</v>
      </c>
      <c r="BA43" s="1"/>
      <c r="BB43" s="1"/>
      <c r="BC43" s="1"/>
      <c r="BD43" s="1"/>
      <c r="BE43" s="1"/>
      <c r="BF43" s="1"/>
      <c r="BG43" s="1"/>
      <c r="BH43" s="1"/>
    </row>
    <row r="44" spans="1:60" x14ac:dyDescent="0.2">
      <c r="A44" s="3">
        <v>42</v>
      </c>
      <c r="B44" s="3" t="s">
        <v>394</v>
      </c>
      <c r="C44" s="3" t="s">
        <v>395</v>
      </c>
      <c r="D44" s="1"/>
      <c r="E44" s="1">
        <f t="shared" si="3"/>
        <v>4.6208621102152447</v>
      </c>
      <c r="F44" s="1">
        <f t="shared" si="4"/>
        <v>3.3553719008264502</v>
      </c>
      <c r="G44" s="1">
        <f t="shared" si="5"/>
        <v>6.3636363636363704</v>
      </c>
      <c r="H44" s="1"/>
      <c r="I44" s="1">
        <v>5</v>
      </c>
      <c r="J44" s="1">
        <v>4</v>
      </c>
      <c r="K44" s="1">
        <v>5</v>
      </c>
      <c r="L44" s="1">
        <v>0</v>
      </c>
      <c r="M44" s="1">
        <v>0</v>
      </c>
      <c r="N44" s="1"/>
      <c r="O44" s="1">
        <v>4.5999999999999996</v>
      </c>
      <c r="P44" s="1">
        <v>4.6666666666666696</v>
      </c>
      <c r="Q44" s="1">
        <v>1.5333333333333301</v>
      </c>
      <c r="R44" s="1">
        <v>3.1</v>
      </c>
      <c r="S44" s="1">
        <v>5.7786116322701702</v>
      </c>
      <c r="T44" s="1"/>
      <c r="U44" s="1"/>
      <c r="V44" s="1"/>
      <c r="W44" s="1"/>
      <c r="X44" s="1"/>
      <c r="Y44" s="1"/>
      <c r="Z44" s="1" t="s">
        <v>1202</v>
      </c>
      <c r="AA44" s="1" t="s">
        <v>1203</v>
      </c>
      <c r="AB44" s="1" t="s">
        <v>1204</v>
      </c>
      <c r="AC44" s="1">
        <v>-9.6999999999999993</v>
      </c>
      <c r="AD44" s="1"/>
      <c r="AE44" s="1">
        <v>10</v>
      </c>
      <c r="AF44" s="1"/>
      <c r="AG44" s="1">
        <v>7.6253333333333302</v>
      </c>
      <c r="AH44" s="1"/>
      <c r="AI44" s="1"/>
      <c r="AJ44" s="1"/>
      <c r="AK44" s="1"/>
      <c r="AL44" s="1"/>
      <c r="AM44" s="1"/>
      <c r="AN44" s="1"/>
      <c r="AO44" s="1"/>
      <c r="AP44" s="1"/>
      <c r="AQ44" s="1"/>
      <c r="AR44" s="1"/>
      <c r="AS44" s="1">
        <v>34</v>
      </c>
      <c r="AT44" s="1">
        <v>34</v>
      </c>
      <c r="AU44" s="1">
        <v>33.454545454545503</v>
      </c>
      <c r="AV44" s="1">
        <v>0</v>
      </c>
      <c r="AW44" s="1">
        <v>0.54545454545454697</v>
      </c>
      <c r="AX44" s="1">
        <v>3.4545454545454599</v>
      </c>
      <c r="AY44" s="1">
        <v>6.3636363636363704</v>
      </c>
      <c r="AZ44" s="1">
        <v>3.3553719008264502</v>
      </c>
      <c r="BA44" s="1"/>
      <c r="BB44" s="1"/>
      <c r="BC44" s="1"/>
      <c r="BD44" s="1"/>
      <c r="BE44" s="1"/>
      <c r="BF44" s="1"/>
      <c r="BG44" s="1"/>
      <c r="BH44" s="1"/>
    </row>
    <row r="45" spans="1:60" x14ac:dyDescent="0.2">
      <c r="A45" s="3">
        <v>43</v>
      </c>
      <c r="B45" s="3" t="s">
        <v>401</v>
      </c>
      <c r="C45" s="3" t="s">
        <v>402</v>
      </c>
      <c r="D45" s="1"/>
      <c r="E45" s="1">
        <f t="shared" si="3"/>
        <v>3.0578512396694202</v>
      </c>
      <c r="F45" s="1">
        <f t="shared" si="4"/>
        <v>3.0578512396694202</v>
      </c>
      <c r="G45" s="1">
        <f t="shared" si="5"/>
        <v>0</v>
      </c>
      <c r="H45" s="1"/>
      <c r="I45" s="1">
        <v>3</v>
      </c>
      <c r="J45" s="1">
        <v>3</v>
      </c>
      <c r="K45" s="1">
        <v>3</v>
      </c>
      <c r="L45" s="1">
        <v>0</v>
      </c>
      <c r="M45" s="1">
        <v>0.9</v>
      </c>
      <c r="N45" s="1"/>
      <c r="O45" s="1">
        <v>3.1</v>
      </c>
      <c r="P45" s="1">
        <v>3</v>
      </c>
      <c r="Q45" s="1">
        <v>1.3333333333333299</v>
      </c>
      <c r="R45" s="1">
        <v>2.1666666666666701</v>
      </c>
      <c r="S45" s="1">
        <v>1.5759849906191401</v>
      </c>
      <c r="T45" s="1"/>
      <c r="U45" s="1"/>
      <c r="V45" s="1"/>
      <c r="W45" s="1"/>
      <c r="X45" s="1"/>
      <c r="Y45" s="1"/>
      <c r="Z45" s="1" t="s">
        <v>889</v>
      </c>
      <c r="AA45" s="1" t="s">
        <v>1203</v>
      </c>
      <c r="AB45" s="1" t="s">
        <v>1205</v>
      </c>
      <c r="AC45" s="1">
        <v>-9.1</v>
      </c>
      <c r="AD45" s="1"/>
      <c r="AE45" s="1">
        <v>10</v>
      </c>
      <c r="AF45" s="1"/>
      <c r="AG45" s="1">
        <v>7.6660000000000004</v>
      </c>
      <c r="AH45" s="1"/>
      <c r="AI45" s="1"/>
      <c r="AJ45" s="1"/>
      <c r="AK45" s="1"/>
      <c r="AL45" s="1"/>
      <c r="AM45" s="1"/>
      <c r="AN45" s="1"/>
      <c r="AO45" s="1"/>
      <c r="AP45" s="1"/>
      <c r="AQ45" s="1"/>
      <c r="AR45" s="1"/>
      <c r="AS45" s="1">
        <v>29</v>
      </c>
      <c r="AT45" s="1">
        <v>32</v>
      </c>
      <c r="AU45" s="1">
        <v>31.818181818181799</v>
      </c>
      <c r="AV45" s="1">
        <v>-3</v>
      </c>
      <c r="AW45" s="1">
        <v>-2.8181818181818201</v>
      </c>
      <c r="AX45" s="1">
        <v>2.5454545454545401</v>
      </c>
      <c r="AY45" s="1">
        <v>0</v>
      </c>
      <c r="AZ45" s="1">
        <v>3.0578512396694202</v>
      </c>
      <c r="BA45" s="1">
        <v>8.9999999999999993E-3</v>
      </c>
      <c r="BB45" s="1">
        <v>0.45000000000000101</v>
      </c>
      <c r="BC45" s="1"/>
      <c r="BD45" s="1"/>
      <c r="BE45" s="1"/>
      <c r="BF45" s="1"/>
      <c r="BG45" s="1"/>
      <c r="BH45" s="1"/>
    </row>
    <row r="46" spans="1:60" x14ac:dyDescent="0.2">
      <c r="A46" s="3">
        <v>44</v>
      </c>
      <c r="B46" s="3" t="s">
        <v>406</v>
      </c>
      <c r="C46" s="3" t="s">
        <v>407</v>
      </c>
      <c r="D46" s="1"/>
      <c r="E46" s="1">
        <f t="shared" si="3"/>
        <v>1.2066115702479301</v>
      </c>
      <c r="F46" s="1">
        <f t="shared" si="4"/>
        <v>1.2066115702479301</v>
      </c>
      <c r="G46" s="1">
        <f t="shared" si="5"/>
        <v>0</v>
      </c>
      <c r="H46" s="1"/>
      <c r="I46" s="1">
        <v>3</v>
      </c>
      <c r="J46" s="1">
        <v>3</v>
      </c>
      <c r="K46" s="1">
        <v>4</v>
      </c>
      <c r="L46" s="1">
        <v>0</v>
      </c>
      <c r="M46" s="1">
        <v>0.2</v>
      </c>
      <c r="N46" s="1"/>
      <c r="O46" s="1">
        <v>2.9</v>
      </c>
      <c r="P46" s="1">
        <v>3.3333333333333299</v>
      </c>
      <c r="Q46" s="1">
        <v>1.0333333333333301</v>
      </c>
      <c r="R46" s="1">
        <v>2.18333333333333</v>
      </c>
      <c r="S46" s="1">
        <v>1.6510318949343299</v>
      </c>
      <c r="T46" s="1"/>
      <c r="U46" s="1"/>
      <c r="V46" s="1"/>
      <c r="W46" s="1"/>
      <c r="X46" s="1"/>
      <c r="Y46" s="1"/>
      <c r="Z46" s="1" t="s">
        <v>1206</v>
      </c>
      <c r="AA46" s="1" t="s">
        <v>1164</v>
      </c>
      <c r="AB46" s="1" t="s">
        <v>1207</v>
      </c>
      <c r="AC46" s="1">
        <v>-7.6</v>
      </c>
      <c r="AD46" s="1"/>
      <c r="AE46" s="1">
        <v>10</v>
      </c>
      <c r="AF46" s="1"/>
      <c r="AG46" s="1">
        <v>7.3220000000000001</v>
      </c>
      <c r="AH46" s="1"/>
      <c r="AI46" s="1"/>
      <c r="AJ46" s="1"/>
      <c r="AK46" s="1"/>
      <c r="AL46" s="1"/>
      <c r="AM46" s="1"/>
      <c r="AN46" s="1"/>
      <c r="AO46" s="1"/>
      <c r="AP46" s="1"/>
      <c r="AQ46" s="1"/>
      <c r="AR46" s="1"/>
      <c r="AS46" s="1">
        <v>18</v>
      </c>
      <c r="AT46" s="1">
        <v>21</v>
      </c>
      <c r="AU46" s="1">
        <v>21.636363636363601</v>
      </c>
      <c r="AV46" s="1">
        <v>-3</v>
      </c>
      <c r="AW46" s="1">
        <v>-3.6363636363636398</v>
      </c>
      <c r="AX46" s="1">
        <v>0.54545454545454497</v>
      </c>
      <c r="AY46" s="1">
        <v>0</v>
      </c>
      <c r="AZ46" s="1">
        <v>1.2066115702479301</v>
      </c>
      <c r="BA46" s="1"/>
      <c r="BB46" s="1"/>
      <c r="BC46" s="1"/>
      <c r="BD46" s="1"/>
      <c r="BE46" s="1"/>
      <c r="BF46" s="1"/>
      <c r="BG46" s="1"/>
      <c r="BH46" s="1"/>
    </row>
    <row r="47" spans="1:60" x14ac:dyDescent="0.2">
      <c r="A47" s="3">
        <v>45</v>
      </c>
      <c r="B47" s="3" t="s">
        <v>412</v>
      </c>
      <c r="C47" s="3" t="s">
        <v>413</v>
      </c>
      <c r="D47" s="1"/>
      <c r="E47" s="1">
        <f t="shared" si="3"/>
        <v>5.0482272182006112</v>
      </c>
      <c r="F47" s="1">
        <f t="shared" si="4"/>
        <v>7.0082644628099198</v>
      </c>
      <c r="G47" s="1">
        <f t="shared" si="5"/>
        <v>3.63636363636363</v>
      </c>
      <c r="H47" s="1"/>
      <c r="I47" s="1"/>
      <c r="J47" s="1"/>
      <c r="K47" s="1"/>
      <c r="L47" s="1">
        <v>0</v>
      </c>
      <c r="M47" s="1">
        <v>0.7</v>
      </c>
      <c r="N47" s="1"/>
      <c r="O47" s="1">
        <v>3.5</v>
      </c>
      <c r="P47" s="1"/>
      <c r="Q47" s="1">
        <v>1.4</v>
      </c>
      <c r="R47" s="1">
        <v>1.4</v>
      </c>
      <c r="S47" s="1">
        <v>0</v>
      </c>
      <c r="T47" s="1">
        <v>5.4</v>
      </c>
      <c r="U47" s="1">
        <v>8.4</v>
      </c>
      <c r="V47" s="1">
        <v>7.5</v>
      </c>
      <c r="W47" s="1">
        <v>1.3</v>
      </c>
      <c r="X47" s="1">
        <v>9.1999999999999993</v>
      </c>
      <c r="Y47" s="1">
        <v>-6.2</v>
      </c>
      <c r="Z47" s="1" t="s">
        <v>1205</v>
      </c>
      <c r="AA47" s="1" t="s">
        <v>121</v>
      </c>
      <c r="AB47" s="1" t="s">
        <v>1208</v>
      </c>
      <c r="AC47" s="1">
        <v>-6.5</v>
      </c>
      <c r="AD47" s="1">
        <v>10</v>
      </c>
      <c r="AE47" s="1">
        <v>10</v>
      </c>
      <c r="AF47" s="1">
        <v>4</v>
      </c>
      <c r="AG47" s="1">
        <v>4</v>
      </c>
      <c r="AH47" s="1"/>
      <c r="AI47" s="1"/>
      <c r="AJ47" s="1"/>
      <c r="AK47" s="1"/>
      <c r="AL47" s="1"/>
      <c r="AM47" s="1"/>
      <c r="AN47" s="1"/>
      <c r="AO47" s="1"/>
      <c r="AP47" s="1"/>
      <c r="AQ47" s="1"/>
      <c r="AR47" s="1"/>
      <c r="AS47" s="1">
        <v>53</v>
      </c>
      <c r="AT47" s="1">
        <v>53</v>
      </c>
      <c r="AU47" s="1">
        <v>53.545454545454497</v>
      </c>
      <c r="AV47" s="1">
        <v>0</v>
      </c>
      <c r="AW47" s="1">
        <v>-0.54545454545454697</v>
      </c>
      <c r="AX47" s="1">
        <v>6.9090909090909101</v>
      </c>
      <c r="AY47" s="1">
        <v>3.63636363636363</v>
      </c>
      <c r="AZ47" s="1">
        <v>7.0082644628099198</v>
      </c>
      <c r="BA47" s="1"/>
      <c r="BB47" s="1"/>
      <c r="BC47" s="1"/>
      <c r="BD47" s="1"/>
      <c r="BE47" s="1"/>
      <c r="BF47" s="1"/>
      <c r="BG47" s="1"/>
      <c r="BH47" s="1"/>
    </row>
    <row r="48" spans="1:60" x14ac:dyDescent="0.2">
      <c r="A48" s="3">
        <v>46</v>
      </c>
      <c r="B48" s="3" t="s">
        <v>416</v>
      </c>
      <c r="C48" s="3" t="s">
        <v>417</v>
      </c>
      <c r="D48" s="1"/>
      <c r="E48" s="1">
        <f t="shared" si="3"/>
        <v>0</v>
      </c>
      <c r="F48" s="1">
        <f t="shared" si="4"/>
        <v>0</v>
      </c>
      <c r="G48" s="1">
        <f t="shared" si="5"/>
        <v>0</v>
      </c>
      <c r="H48" s="1"/>
      <c r="I48" s="1"/>
      <c r="J48" s="1"/>
      <c r="K48" s="1">
        <v>6</v>
      </c>
      <c r="L48" s="1">
        <v>3</v>
      </c>
      <c r="M48" s="1">
        <v>1.1000000000000001</v>
      </c>
      <c r="N48" s="1"/>
      <c r="O48" s="1"/>
      <c r="P48" s="1">
        <v>6</v>
      </c>
      <c r="Q48" s="1">
        <v>2.0499999999999998</v>
      </c>
      <c r="R48" s="1">
        <v>4.0250000000000004</v>
      </c>
      <c r="S48" s="1">
        <v>9.9437148217635993</v>
      </c>
      <c r="T48" s="1">
        <v>-9.5</v>
      </c>
      <c r="U48" s="1">
        <v>0.5</v>
      </c>
      <c r="V48" s="1">
        <v>9.6</v>
      </c>
      <c r="W48" s="1">
        <v>-4</v>
      </c>
      <c r="X48" s="1">
        <v>4</v>
      </c>
      <c r="Y48" s="1">
        <v>-13.6</v>
      </c>
      <c r="Z48" s="1" t="s">
        <v>1192</v>
      </c>
      <c r="AA48" s="1" t="s">
        <v>1209</v>
      </c>
      <c r="AB48" s="1" t="s">
        <v>1172</v>
      </c>
      <c r="AC48" s="1">
        <v>-13.9</v>
      </c>
      <c r="AD48" s="1">
        <v>10</v>
      </c>
      <c r="AE48" s="1">
        <v>10</v>
      </c>
      <c r="AF48" s="1">
        <v>10</v>
      </c>
      <c r="AG48" s="1">
        <v>9.1880000000000006</v>
      </c>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row>
    <row r="49" spans="1:60" x14ac:dyDescent="0.2">
      <c r="A49" s="3">
        <v>47</v>
      </c>
      <c r="B49" s="3" t="s">
        <v>421</v>
      </c>
      <c r="C49" s="3" t="s">
        <v>422</v>
      </c>
      <c r="D49" s="1"/>
      <c r="E49" s="1">
        <f t="shared" si="3"/>
        <v>0.72520366837951067</v>
      </c>
      <c r="F49" s="1">
        <f t="shared" si="4"/>
        <v>8.2644628099172807E-2</v>
      </c>
      <c r="G49" s="1">
        <f t="shared" si="5"/>
        <v>6.3636363636363598</v>
      </c>
      <c r="H49" s="1"/>
      <c r="I49" s="1">
        <v>3</v>
      </c>
      <c r="J49" s="1">
        <v>4</v>
      </c>
      <c r="K49" s="1">
        <v>3</v>
      </c>
      <c r="L49" s="1">
        <v>0</v>
      </c>
      <c r="M49" s="1">
        <v>0.7</v>
      </c>
      <c r="N49" s="1"/>
      <c r="O49" s="1">
        <v>2.9</v>
      </c>
      <c r="P49" s="1">
        <v>3.3333333333333299</v>
      </c>
      <c r="Q49" s="1">
        <v>1.2</v>
      </c>
      <c r="R49" s="1">
        <v>2.2666666666666702</v>
      </c>
      <c r="S49" s="1">
        <v>2.0262664165103201</v>
      </c>
      <c r="T49" s="1"/>
      <c r="U49" s="1"/>
      <c r="V49" s="1"/>
      <c r="W49" s="1"/>
      <c r="X49" s="1"/>
      <c r="Y49" s="1"/>
      <c r="Z49" s="1" t="s">
        <v>1210</v>
      </c>
      <c r="AA49" s="1" t="s">
        <v>1203</v>
      </c>
      <c r="AB49" s="1" t="s">
        <v>1005</v>
      </c>
      <c r="AC49" s="1">
        <v>-8.9</v>
      </c>
      <c r="AD49" s="1"/>
      <c r="AE49" s="1">
        <v>10</v>
      </c>
      <c r="AF49" s="1"/>
      <c r="AG49" s="1">
        <v>6.3333333333333304</v>
      </c>
      <c r="AH49" s="1"/>
      <c r="AI49" s="1"/>
      <c r="AJ49" s="1"/>
      <c r="AK49" s="1"/>
      <c r="AL49" s="1"/>
      <c r="AM49" s="1"/>
      <c r="AN49" s="1"/>
      <c r="AO49" s="1"/>
      <c r="AP49" s="1"/>
      <c r="AQ49" s="1"/>
      <c r="AR49" s="1"/>
      <c r="AS49" s="1">
        <v>16</v>
      </c>
      <c r="AT49" s="1">
        <v>16</v>
      </c>
      <c r="AU49" s="1">
        <v>15.454545454545499</v>
      </c>
      <c r="AV49" s="1">
        <v>0</v>
      </c>
      <c r="AW49" s="1">
        <v>0.54545454545454497</v>
      </c>
      <c r="AX49" s="1">
        <v>0.18181818181818199</v>
      </c>
      <c r="AY49" s="1">
        <v>6.3636363636363598</v>
      </c>
      <c r="AZ49" s="1">
        <v>8.2644628099172807E-2</v>
      </c>
      <c r="BA49" s="1"/>
      <c r="BB49" s="1"/>
      <c r="BC49" s="1"/>
      <c r="BD49" s="1"/>
      <c r="BE49" s="1"/>
      <c r="BF49" s="1"/>
      <c r="BG49" s="1"/>
      <c r="BH49" s="1"/>
    </row>
    <row r="50" spans="1:60" x14ac:dyDescent="0.2">
      <c r="A50" s="3">
        <v>48</v>
      </c>
      <c r="B50" s="3" t="s">
        <v>427</v>
      </c>
      <c r="C50" s="3" t="s">
        <v>428</v>
      </c>
      <c r="D50" s="1"/>
      <c r="E50" s="1">
        <f t="shared" si="3"/>
        <v>6.0327182062211779</v>
      </c>
      <c r="F50" s="1">
        <f t="shared" si="4"/>
        <v>5.7190082644628104</v>
      </c>
      <c r="G50" s="1">
        <f t="shared" si="5"/>
        <v>6.3636363636363704</v>
      </c>
      <c r="H50" s="1"/>
      <c r="I50" s="1"/>
      <c r="J50" s="1"/>
      <c r="K50" s="1">
        <v>4</v>
      </c>
      <c r="L50" s="1">
        <v>3</v>
      </c>
      <c r="M50" s="1">
        <v>0.4</v>
      </c>
      <c r="N50" s="1">
        <v>0</v>
      </c>
      <c r="O50" s="1">
        <v>3.7</v>
      </c>
      <c r="P50" s="1">
        <v>4</v>
      </c>
      <c r="Q50" s="1">
        <v>1.7749999999999999</v>
      </c>
      <c r="R50" s="1">
        <v>2.8875000000000002</v>
      </c>
      <c r="S50" s="1">
        <v>4.8217636022514103</v>
      </c>
      <c r="T50" s="1">
        <v>4.7</v>
      </c>
      <c r="U50" s="1">
        <v>7</v>
      </c>
      <c r="V50" s="1">
        <v>5.0999999999999996</v>
      </c>
      <c r="W50" s="1">
        <v>-0.8</v>
      </c>
      <c r="X50" s="1">
        <v>2.5</v>
      </c>
      <c r="Y50" s="1">
        <v>-5.9</v>
      </c>
      <c r="Z50" s="1" t="s">
        <v>1211</v>
      </c>
      <c r="AA50" s="1" t="s">
        <v>1212</v>
      </c>
      <c r="AB50" s="1" t="s">
        <v>1189</v>
      </c>
      <c r="AC50" s="1">
        <v>-6.1</v>
      </c>
      <c r="AD50" s="1">
        <v>10</v>
      </c>
      <c r="AE50" s="1">
        <v>10</v>
      </c>
      <c r="AF50" s="1">
        <v>7.8</v>
      </c>
      <c r="AG50" s="1">
        <v>7.32466666666667</v>
      </c>
      <c r="AH50" s="1"/>
      <c r="AI50" s="1"/>
      <c r="AJ50" s="1"/>
      <c r="AK50" s="1"/>
      <c r="AL50" s="1"/>
      <c r="AM50" s="1"/>
      <c r="AN50" s="1"/>
      <c r="AO50" s="1"/>
      <c r="AP50" s="1"/>
      <c r="AQ50" s="1"/>
      <c r="AR50" s="1"/>
      <c r="AS50" s="1">
        <v>47</v>
      </c>
      <c r="AT50" s="1">
        <v>47</v>
      </c>
      <c r="AU50" s="1">
        <v>46.454545454545503</v>
      </c>
      <c r="AV50" s="1">
        <v>0</v>
      </c>
      <c r="AW50" s="1">
        <v>0.54545454545454697</v>
      </c>
      <c r="AX50" s="1">
        <v>5.8181818181818201</v>
      </c>
      <c r="AY50" s="1">
        <v>6.3636363636363704</v>
      </c>
      <c r="AZ50" s="1">
        <v>5.7190082644628104</v>
      </c>
      <c r="BA50" s="1"/>
      <c r="BB50" s="1"/>
      <c r="BC50" s="1"/>
      <c r="BD50" s="1"/>
      <c r="BE50" s="1"/>
      <c r="BF50" s="1"/>
      <c r="BG50" s="1"/>
      <c r="BH50" s="1"/>
    </row>
    <row r="51" spans="1:60" x14ac:dyDescent="0.2">
      <c r="A51" s="3">
        <v>49</v>
      </c>
      <c r="B51" s="3" t="s">
        <v>432</v>
      </c>
      <c r="C51" s="3" t="s">
        <v>433</v>
      </c>
      <c r="D51" s="1"/>
      <c r="E51" s="1">
        <f t="shared" si="3"/>
        <v>6.8872534405901709</v>
      </c>
      <c r="F51" s="1">
        <f t="shared" si="4"/>
        <v>9.0743801652892593</v>
      </c>
      <c r="G51" s="1">
        <f t="shared" si="5"/>
        <v>5.2272727272727302</v>
      </c>
      <c r="H51" s="1"/>
      <c r="I51" s="1"/>
      <c r="J51" s="1"/>
      <c r="K51" s="1">
        <v>3</v>
      </c>
      <c r="L51" s="1">
        <v>0</v>
      </c>
      <c r="M51" s="1">
        <v>3.2</v>
      </c>
      <c r="N51" s="1"/>
      <c r="O51" s="1">
        <v>2</v>
      </c>
      <c r="P51" s="1">
        <v>3</v>
      </c>
      <c r="Q51" s="1">
        <v>1.7333333333333301</v>
      </c>
      <c r="R51" s="1">
        <v>2.3666666666666698</v>
      </c>
      <c r="S51" s="1">
        <v>2.4765478424015002</v>
      </c>
      <c r="T51" s="1">
        <v>1.3</v>
      </c>
      <c r="U51" s="1">
        <v>1.4</v>
      </c>
      <c r="V51" s="1">
        <v>0.8</v>
      </c>
      <c r="W51" s="1">
        <v>-6.4</v>
      </c>
      <c r="X51" s="1">
        <v>1.9</v>
      </c>
      <c r="Y51" s="1">
        <v>-7.2</v>
      </c>
      <c r="Z51" s="1" t="s">
        <v>823</v>
      </c>
      <c r="AA51" s="1" t="s">
        <v>1213</v>
      </c>
      <c r="AB51" s="1" t="s">
        <v>1214</v>
      </c>
      <c r="AC51" s="1">
        <v>-5.9</v>
      </c>
      <c r="AD51" s="1">
        <v>10</v>
      </c>
      <c r="AE51" s="1">
        <v>10</v>
      </c>
      <c r="AF51" s="1">
        <v>7.6666666666666696</v>
      </c>
      <c r="AG51" s="1">
        <v>6.9740000000000002</v>
      </c>
      <c r="AH51" s="1"/>
      <c r="AI51" s="1"/>
      <c r="AJ51" s="1"/>
      <c r="AK51" s="1"/>
      <c r="AL51" s="1"/>
      <c r="AM51" s="1"/>
      <c r="AN51" s="1"/>
      <c r="AO51" s="1"/>
      <c r="AP51" s="1"/>
      <c r="AQ51" s="1"/>
      <c r="AR51" s="1"/>
      <c r="AS51" s="1">
        <v>65</v>
      </c>
      <c r="AT51" s="1">
        <v>65</v>
      </c>
      <c r="AU51" s="1">
        <v>64.909090909090907</v>
      </c>
      <c r="AV51" s="1">
        <v>0</v>
      </c>
      <c r="AW51" s="1">
        <v>9.0909090909093507E-2</v>
      </c>
      <c r="AX51" s="1">
        <v>9.0909090909090899</v>
      </c>
      <c r="AY51" s="1">
        <v>5.2272727272727302</v>
      </c>
      <c r="AZ51" s="1">
        <v>9.0743801652892593</v>
      </c>
      <c r="BA51" s="1"/>
      <c r="BB51" s="1"/>
      <c r="BC51" s="1"/>
      <c r="BD51" s="1"/>
      <c r="BE51" s="1"/>
      <c r="BF51" s="1"/>
      <c r="BG51" s="1"/>
      <c r="BH51" s="1"/>
    </row>
    <row r="52" spans="1:60" x14ac:dyDescent="0.2">
      <c r="A52" s="3">
        <v>50</v>
      </c>
      <c r="B52" s="3" t="s">
        <v>438</v>
      </c>
      <c r="C52" s="3" t="s">
        <v>439</v>
      </c>
      <c r="D52" s="1"/>
      <c r="E52" s="1">
        <f t="shared" si="3"/>
        <v>5.1132919994241339</v>
      </c>
      <c r="F52" s="1">
        <f t="shared" si="4"/>
        <v>7.1900826446280997</v>
      </c>
      <c r="G52" s="1">
        <f t="shared" si="5"/>
        <v>3.63636363636363</v>
      </c>
      <c r="H52" s="1"/>
      <c r="I52" s="1">
        <v>4</v>
      </c>
      <c r="J52" s="1">
        <v>4</v>
      </c>
      <c r="K52" s="1">
        <v>3</v>
      </c>
      <c r="L52" s="1">
        <v>0</v>
      </c>
      <c r="M52" s="1">
        <v>0.3</v>
      </c>
      <c r="N52" s="1"/>
      <c r="O52" s="1">
        <v>3.2</v>
      </c>
      <c r="P52" s="1">
        <v>3.6666666666666701</v>
      </c>
      <c r="Q52" s="1">
        <v>1.1666666666666701</v>
      </c>
      <c r="R52" s="1">
        <v>2.4166666666666701</v>
      </c>
      <c r="S52" s="1">
        <v>2.70168855534709</v>
      </c>
      <c r="T52" s="1">
        <v>2.4</v>
      </c>
      <c r="U52" s="1">
        <v>1.3</v>
      </c>
      <c r="V52" s="1">
        <v>0.1</v>
      </c>
      <c r="W52" s="1">
        <v>-7.4</v>
      </c>
      <c r="X52" s="1">
        <v>4.0999999999999996</v>
      </c>
      <c r="Y52" s="1">
        <v>-7.5</v>
      </c>
      <c r="Z52" s="1" t="s">
        <v>333</v>
      </c>
      <c r="AA52" s="1" t="s">
        <v>1215</v>
      </c>
      <c r="AB52" s="1" t="s">
        <v>1186</v>
      </c>
      <c r="AC52" s="1">
        <v>-6.4</v>
      </c>
      <c r="AD52" s="1">
        <v>10</v>
      </c>
      <c r="AE52" s="1">
        <v>10</v>
      </c>
      <c r="AF52" s="1">
        <v>9.6666666666666696</v>
      </c>
      <c r="AG52" s="1">
        <v>10</v>
      </c>
      <c r="AH52" s="1">
        <v>0.5</v>
      </c>
      <c r="AI52" s="1">
        <v>1</v>
      </c>
      <c r="AJ52" s="1">
        <v>0</v>
      </c>
      <c r="AK52" s="1">
        <v>1</v>
      </c>
      <c r="AL52" s="1">
        <v>0</v>
      </c>
      <c r="AM52" s="1">
        <v>0</v>
      </c>
      <c r="AN52" s="1">
        <v>0.5</v>
      </c>
      <c r="AO52" s="1">
        <v>0.5</v>
      </c>
      <c r="AP52" s="1">
        <v>1</v>
      </c>
      <c r="AQ52" s="1">
        <v>2.5</v>
      </c>
      <c r="AR52" s="1">
        <v>10</v>
      </c>
      <c r="AS52" s="1">
        <v>54</v>
      </c>
      <c r="AT52" s="1">
        <v>56</v>
      </c>
      <c r="AU52" s="1">
        <v>54.545454545454497</v>
      </c>
      <c r="AV52" s="1">
        <v>-2</v>
      </c>
      <c r="AW52" s="1">
        <v>-0.54545454545454697</v>
      </c>
      <c r="AX52" s="1">
        <v>7.0909090909090899</v>
      </c>
      <c r="AY52" s="1">
        <v>3.63636363636363</v>
      </c>
      <c r="AZ52" s="1">
        <v>7.1900826446280997</v>
      </c>
      <c r="BA52" s="1">
        <v>4.5999999999999999E-2</v>
      </c>
      <c r="BB52" s="1">
        <v>2.2999999999999998</v>
      </c>
      <c r="BC52" s="1"/>
      <c r="BD52" s="1"/>
      <c r="BE52" s="1"/>
      <c r="BF52" s="1"/>
      <c r="BG52" s="1"/>
      <c r="BH52" s="1"/>
    </row>
    <row r="53" spans="1:60" x14ac:dyDescent="0.2">
      <c r="A53" s="3">
        <v>51</v>
      </c>
      <c r="B53" s="3" t="s">
        <v>443</v>
      </c>
      <c r="C53" s="3" t="s">
        <v>444</v>
      </c>
      <c r="D53" s="1"/>
      <c r="E53" s="1">
        <f t="shared" si="3"/>
        <v>5.0604905877523692</v>
      </c>
      <c r="F53" s="1">
        <f t="shared" si="4"/>
        <v>6.6280991735537196</v>
      </c>
      <c r="G53" s="1">
        <f t="shared" si="5"/>
        <v>3.86363636363637</v>
      </c>
      <c r="H53" s="1"/>
      <c r="I53" s="1">
        <v>4</v>
      </c>
      <c r="J53" s="1">
        <v>4</v>
      </c>
      <c r="K53" s="1">
        <v>4</v>
      </c>
      <c r="L53" s="1">
        <v>4</v>
      </c>
      <c r="M53" s="1">
        <v>0.6</v>
      </c>
      <c r="N53" s="1"/>
      <c r="O53" s="1">
        <v>4.9000000000000004</v>
      </c>
      <c r="P53" s="1">
        <v>4</v>
      </c>
      <c r="Q53" s="1">
        <v>3.1666666666666701</v>
      </c>
      <c r="R53" s="1">
        <v>3.5833333333333299</v>
      </c>
      <c r="S53" s="1">
        <v>7.9549718574108796</v>
      </c>
      <c r="T53" s="1">
        <v>4.2</v>
      </c>
      <c r="U53" s="1">
        <v>5.3</v>
      </c>
      <c r="V53" s="1">
        <v>5.6</v>
      </c>
      <c r="W53" s="1">
        <v>3</v>
      </c>
      <c r="X53" s="1">
        <v>2.1</v>
      </c>
      <c r="Y53" s="1">
        <v>-2.6</v>
      </c>
      <c r="Z53" s="1" t="s">
        <v>1204</v>
      </c>
      <c r="AA53" s="1" t="s">
        <v>147</v>
      </c>
      <c r="AB53" s="1" t="s">
        <v>1181</v>
      </c>
      <c r="AC53" s="1">
        <v>-3.6</v>
      </c>
      <c r="AD53" s="1">
        <v>5.2</v>
      </c>
      <c r="AE53" s="1">
        <v>7.2</v>
      </c>
      <c r="AF53" s="1">
        <v>4.5999999999999996</v>
      </c>
      <c r="AG53" s="1">
        <v>4.49</v>
      </c>
      <c r="AH53" s="1">
        <v>0</v>
      </c>
      <c r="AI53" s="1">
        <v>1</v>
      </c>
      <c r="AJ53" s="1">
        <v>0</v>
      </c>
      <c r="AK53" s="1">
        <v>1</v>
      </c>
      <c r="AL53" s="1">
        <v>0</v>
      </c>
      <c r="AM53" s="1">
        <v>0.5</v>
      </c>
      <c r="AN53" s="1">
        <v>0</v>
      </c>
      <c r="AO53" s="1">
        <v>0</v>
      </c>
      <c r="AP53" s="1">
        <v>1</v>
      </c>
      <c r="AQ53" s="1">
        <v>2.5</v>
      </c>
      <c r="AR53" s="1">
        <v>10</v>
      </c>
      <c r="AS53" s="1">
        <v>51</v>
      </c>
      <c r="AT53" s="1">
        <v>53</v>
      </c>
      <c r="AU53" s="1">
        <v>51.454545454545503</v>
      </c>
      <c r="AV53" s="1">
        <v>-2</v>
      </c>
      <c r="AW53" s="1">
        <v>-0.45454545454545298</v>
      </c>
      <c r="AX53" s="1">
        <v>6.5454545454545396</v>
      </c>
      <c r="AY53" s="1">
        <v>3.86363636363637</v>
      </c>
      <c r="AZ53" s="1">
        <v>6.6280991735537196</v>
      </c>
      <c r="BA53" s="1">
        <v>0.17299999999999999</v>
      </c>
      <c r="BB53" s="1">
        <v>8.65</v>
      </c>
      <c r="BC53" s="1"/>
      <c r="BD53" s="1"/>
      <c r="BE53" s="1"/>
      <c r="BF53" s="1"/>
      <c r="BG53" s="1"/>
      <c r="BH53" s="1"/>
    </row>
    <row r="54" spans="1:60" x14ac:dyDescent="0.2">
      <c r="A54" s="3">
        <v>52</v>
      </c>
      <c r="B54" s="3" t="s">
        <v>449</v>
      </c>
      <c r="C54" s="3" t="s">
        <v>450</v>
      </c>
      <c r="D54" s="1"/>
      <c r="E54" s="1">
        <f t="shared" si="3"/>
        <v>6.0302268915552677</v>
      </c>
      <c r="F54" s="1">
        <f t="shared" si="4"/>
        <v>10</v>
      </c>
      <c r="G54" s="1">
        <f t="shared" si="5"/>
        <v>3.63636363636363</v>
      </c>
      <c r="H54" s="1"/>
      <c r="I54" s="1"/>
      <c r="J54" s="1"/>
      <c r="K54" s="1"/>
      <c r="L54" s="1"/>
      <c r="M54" s="1"/>
      <c r="N54" s="1"/>
      <c r="O54" s="1"/>
      <c r="P54" s="1"/>
      <c r="Q54" s="1"/>
      <c r="R54" s="1"/>
      <c r="S54" s="1"/>
      <c r="T54" s="1">
        <v>-10</v>
      </c>
      <c r="U54" s="1">
        <v>13</v>
      </c>
      <c r="V54" s="1">
        <v>3.7</v>
      </c>
      <c r="W54" s="1">
        <v>-0.7</v>
      </c>
      <c r="X54" s="1">
        <v>5.7</v>
      </c>
      <c r="Y54" s="1">
        <v>-4.4000000000000004</v>
      </c>
      <c r="Z54" s="1" t="s">
        <v>224</v>
      </c>
      <c r="AA54" s="1" t="s">
        <v>333</v>
      </c>
      <c r="AB54" s="1" t="s">
        <v>1216</v>
      </c>
      <c r="AC54" s="1">
        <v>-3.7</v>
      </c>
      <c r="AD54" s="1">
        <v>8.8000000000000007</v>
      </c>
      <c r="AE54" s="1">
        <v>7.4</v>
      </c>
      <c r="AF54" s="1">
        <v>3.7333333333333298</v>
      </c>
      <c r="AG54" s="1">
        <v>3.7513333333333301</v>
      </c>
      <c r="AH54" s="1"/>
      <c r="AI54" s="1"/>
      <c r="AJ54" s="1"/>
      <c r="AK54" s="1"/>
      <c r="AL54" s="1"/>
      <c r="AM54" s="1"/>
      <c r="AN54" s="1"/>
      <c r="AO54" s="1"/>
      <c r="AP54" s="1"/>
      <c r="AQ54" s="1"/>
      <c r="AR54" s="1"/>
      <c r="AS54" s="1">
        <v>71</v>
      </c>
      <c r="AT54" s="1">
        <v>71</v>
      </c>
      <c r="AU54" s="1">
        <v>71.545454545454504</v>
      </c>
      <c r="AV54" s="1">
        <v>0</v>
      </c>
      <c r="AW54" s="1">
        <v>-0.54545454545454697</v>
      </c>
      <c r="AX54" s="1">
        <v>10</v>
      </c>
      <c r="AY54" s="1">
        <v>3.63636363636363</v>
      </c>
      <c r="AZ54" s="1">
        <v>10</v>
      </c>
      <c r="BA54" s="1"/>
      <c r="BB54" s="1"/>
      <c r="BC54" s="1"/>
      <c r="BD54" s="1"/>
      <c r="BE54" s="1"/>
      <c r="BF54" s="1"/>
      <c r="BG54" s="1"/>
      <c r="BH54" s="1"/>
    </row>
    <row r="55" spans="1:60" x14ac:dyDescent="0.2">
      <c r="A55" s="3">
        <v>53</v>
      </c>
      <c r="B55" s="3" t="s">
        <v>453</v>
      </c>
      <c r="C55" s="3" t="s">
        <v>454</v>
      </c>
      <c r="D55" s="1"/>
      <c r="E55" s="1">
        <f t="shared" si="3"/>
        <v>5.2223296786709374</v>
      </c>
      <c r="F55" s="1">
        <f t="shared" si="4"/>
        <v>2.7272727272727302</v>
      </c>
      <c r="G55" s="1">
        <f t="shared" si="5"/>
        <v>10</v>
      </c>
      <c r="H55" s="1"/>
      <c r="I55" s="1">
        <v>4</v>
      </c>
      <c r="J55" s="1">
        <v>4</v>
      </c>
      <c r="K55" s="1">
        <v>4</v>
      </c>
      <c r="L55" s="1">
        <v>0</v>
      </c>
      <c r="M55" s="1">
        <v>0.2</v>
      </c>
      <c r="N55" s="1"/>
      <c r="O55" s="1">
        <v>3.6</v>
      </c>
      <c r="P55" s="1">
        <v>4</v>
      </c>
      <c r="Q55" s="1">
        <v>1.2666666666666699</v>
      </c>
      <c r="R55" s="1">
        <v>2.6333333333333302</v>
      </c>
      <c r="S55" s="1">
        <v>3.67729831144465</v>
      </c>
      <c r="T55" s="1"/>
      <c r="U55" s="1"/>
      <c r="V55" s="1"/>
      <c r="W55" s="1"/>
      <c r="X55" s="1"/>
      <c r="Y55" s="1"/>
      <c r="Z55" s="1" t="s">
        <v>147</v>
      </c>
      <c r="AA55" s="1" t="s">
        <v>1217</v>
      </c>
      <c r="AB55" s="1" t="s">
        <v>1218</v>
      </c>
      <c r="AC55" s="1">
        <v>-10</v>
      </c>
      <c r="AD55" s="1"/>
      <c r="AE55" s="1">
        <v>10</v>
      </c>
      <c r="AF55" s="1"/>
      <c r="AG55" s="1">
        <v>10</v>
      </c>
      <c r="AH55" s="1"/>
      <c r="AI55" s="1"/>
      <c r="AJ55" s="1"/>
      <c r="AK55" s="1"/>
      <c r="AL55" s="1"/>
      <c r="AM55" s="1"/>
      <c r="AN55" s="1"/>
      <c r="AO55" s="1"/>
      <c r="AP55" s="1"/>
      <c r="AQ55" s="1"/>
      <c r="AR55" s="1"/>
      <c r="AS55" s="1">
        <v>32</v>
      </c>
      <c r="AT55" s="1">
        <v>32</v>
      </c>
      <c r="AU55" s="1">
        <v>30</v>
      </c>
      <c r="AV55" s="1">
        <v>0</v>
      </c>
      <c r="AW55" s="1">
        <v>2</v>
      </c>
      <c r="AX55" s="1">
        <v>3.0909090909090899</v>
      </c>
      <c r="AY55" s="1">
        <v>10</v>
      </c>
      <c r="AZ55" s="1">
        <v>2.7272727272727302</v>
      </c>
      <c r="BA55" s="1"/>
      <c r="BB55" s="1"/>
      <c r="BC55" s="1"/>
      <c r="BD55" s="1"/>
      <c r="BE55" s="1"/>
      <c r="BF55" s="1"/>
      <c r="BG55" s="1"/>
      <c r="BH55" s="1"/>
    </row>
    <row r="56" spans="1:60" x14ac:dyDescent="0.2">
      <c r="A56" s="3">
        <v>54</v>
      </c>
      <c r="B56" s="3" t="s">
        <v>459</v>
      </c>
      <c r="C56" s="3" t="s">
        <v>460</v>
      </c>
      <c r="D56" s="1"/>
      <c r="E56" s="1">
        <f t="shared" si="3"/>
        <v>1.7314000276069359</v>
      </c>
      <c r="F56" s="1">
        <f t="shared" si="4"/>
        <v>1.8842975206611601</v>
      </c>
      <c r="G56" s="1">
        <f t="shared" si="5"/>
        <v>1.5909090909090899</v>
      </c>
      <c r="H56" s="1"/>
      <c r="I56" s="1">
        <v>4</v>
      </c>
      <c r="J56" s="1">
        <v>4</v>
      </c>
      <c r="K56" s="1">
        <v>4</v>
      </c>
      <c r="L56" s="1">
        <v>0</v>
      </c>
      <c r="M56" s="1">
        <v>0</v>
      </c>
      <c r="N56" s="1"/>
      <c r="O56" s="1">
        <v>3.3</v>
      </c>
      <c r="P56" s="1">
        <v>4</v>
      </c>
      <c r="Q56" s="1">
        <v>1.1000000000000001</v>
      </c>
      <c r="R56" s="1">
        <v>2.5499999999999998</v>
      </c>
      <c r="S56" s="1">
        <v>3.30206378986867</v>
      </c>
      <c r="T56" s="1"/>
      <c r="U56" s="1"/>
      <c r="V56" s="1"/>
      <c r="W56" s="1"/>
      <c r="X56" s="1"/>
      <c r="Y56" s="1"/>
      <c r="Z56" s="1" t="s">
        <v>1218</v>
      </c>
      <c r="AA56" s="1" t="s">
        <v>1219</v>
      </c>
      <c r="AB56" s="1" t="s">
        <v>1171</v>
      </c>
      <c r="AC56" s="1">
        <v>-11.8</v>
      </c>
      <c r="AD56" s="1"/>
      <c r="AE56" s="1">
        <v>10</v>
      </c>
      <c r="AF56" s="1"/>
      <c r="AG56" s="1">
        <v>6.8</v>
      </c>
      <c r="AH56" s="1"/>
      <c r="AI56" s="1"/>
      <c r="AJ56" s="1"/>
      <c r="AK56" s="1"/>
      <c r="AL56" s="1"/>
      <c r="AM56" s="1"/>
      <c r="AN56" s="1"/>
      <c r="AO56" s="1"/>
      <c r="AP56" s="1"/>
      <c r="AQ56" s="1"/>
      <c r="AR56" s="1"/>
      <c r="AS56" s="1">
        <v>24</v>
      </c>
      <c r="AT56" s="1">
        <v>24</v>
      </c>
      <c r="AU56" s="1">
        <v>25.363636363636399</v>
      </c>
      <c r="AV56" s="1">
        <v>0</v>
      </c>
      <c r="AW56" s="1">
        <v>-1.36363636363636</v>
      </c>
      <c r="AX56" s="1">
        <v>1.63636363636364</v>
      </c>
      <c r="AY56" s="1">
        <v>1.5909090909090899</v>
      </c>
      <c r="AZ56" s="1">
        <v>1.8842975206611601</v>
      </c>
      <c r="BA56" s="1">
        <v>0.01</v>
      </c>
      <c r="BB56" s="1">
        <v>0.5</v>
      </c>
      <c r="BC56" s="1"/>
      <c r="BD56" s="1"/>
      <c r="BE56" s="1"/>
      <c r="BF56" s="1"/>
      <c r="BG56" s="1"/>
      <c r="BH56" s="1"/>
    </row>
    <row r="57" spans="1:60" x14ac:dyDescent="0.2">
      <c r="A57" s="3">
        <v>55</v>
      </c>
      <c r="B57" s="3" t="s">
        <v>465</v>
      </c>
      <c r="C57" s="3" t="s">
        <v>466</v>
      </c>
      <c r="D57" s="1"/>
      <c r="E57" s="1">
        <f t="shared" si="3"/>
        <v>8.1742389136959925</v>
      </c>
      <c r="F57" s="1">
        <f t="shared" si="4"/>
        <v>8.9090909090909101</v>
      </c>
      <c r="G57" s="1">
        <f t="shared" si="5"/>
        <v>7.5</v>
      </c>
      <c r="H57" s="1"/>
      <c r="I57" s="1"/>
      <c r="J57" s="1"/>
      <c r="K57" s="1">
        <v>3</v>
      </c>
      <c r="L57" s="1">
        <v>0</v>
      </c>
      <c r="M57" s="1">
        <v>0.2</v>
      </c>
      <c r="N57" s="1">
        <v>7</v>
      </c>
      <c r="O57" s="1">
        <v>2.7</v>
      </c>
      <c r="P57" s="1">
        <v>3</v>
      </c>
      <c r="Q57" s="1">
        <v>2.4750000000000001</v>
      </c>
      <c r="R57" s="1">
        <v>2.7374999999999998</v>
      </c>
      <c r="S57" s="1">
        <v>4.1463414634146298</v>
      </c>
      <c r="T57" s="1">
        <v>10</v>
      </c>
      <c r="U57" s="1">
        <v>7.9</v>
      </c>
      <c r="V57" s="1">
        <v>9</v>
      </c>
      <c r="W57" s="1">
        <v>3.2</v>
      </c>
      <c r="X57" s="1">
        <v>3.6</v>
      </c>
      <c r="Y57" s="1">
        <v>-5.8</v>
      </c>
      <c r="Z57" s="1" t="s">
        <v>1220</v>
      </c>
      <c r="AA57" s="1" t="s">
        <v>1202</v>
      </c>
      <c r="AB57" s="1" t="s">
        <v>1218</v>
      </c>
      <c r="AC57" s="1">
        <v>-5.8</v>
      </c>
      <c r="AD57" s="1">
        <v>10</v>
      </c>
      <c r="AE57" s="1">
        <v>10</v>
      </c>
      <c r="AF57" s="1">
        <v>10</v>
      </c>
      <c r="AG57" s="1">
        <v>10</v>
      </c>
      <c r="AH57" s="1"/>
      <c r="AI57" s="1"/>
      <c r="AJ57" s="1"/>
      <c r="AK57" s="1"/>
      <c r="AL57" s="1"/>
      <c r="AM57" s="1"/>
      <c r="AN57" s="1"/>
      <c r="AO57" s="1"/>
      <c r="AP57" s="1"/>
      <c r="AQ57" s="1"/>
      <c r="AR57" s="1"/>
      <c r="AS57" s="1">
        <v>65</v>
      </c>
      <c r="AT57" s="1">
        <v>65</v>
      </c>
      <c r="AU57" s="1">
        <v>64</v>
      </c>
      <c r="AV57" s="1">
        <v>0</v>
      </c>
      <c r="AW57" s="1">
        <v>1</v>
      </c>
      <c r="AX57" s="1">
        <v>9.0909090909090899</v>
      </c>
      <c r="AY57" s="1">
        <v>7.5</v>
      </c>
      <c r="AZ57" s="1">
        <v>8.9090909090909101</v>
      </c>
      <c r="BA57" s="1"/>
      <c r="BB57" s="1"/>
      <c r="BC57" s="1"/>
      <c r="BD57" s="1"/>
      <c r="BE57" s="1"/>
      <c r="BF57" s="1"/>
      <c r="BG57" s="1"/>
      <c r="BH57" s="1"/>
    </row>
    <row r="58" spans="1:60" x14ac:dyDescent="0.2">
      <c r="A58" s="3">
        <v>56</v>
      </c>
      <c r="B58" s="3" t="s">
        <v>471</v>
      </c>
      <c r="C58" s="3" t="s">
        <v>472</v>
      </c>
      <c r="D58" s="1"/>
      <c r="E58" s="1">
        <f t="shared" si="3"/>
        <v>1.6377404676012104</v>
      </c>
      <c r="F58" s="1">
        <f t="shared" si="4"/>
        <v>0.34710743801652899</v>
      </c>
      <c r="G58" s="1">
        <f t="shared" si="5"/>
        <v>7.7272727272727204</v>
      </c>
      <c r="H58" s="1"/>
      <c r="I58" s="1">
        <v>4</v>
      </c>
      <c r="J58" s="1">
        <v>3</v>
      </c>
      <c r="K58" s="1">
        <v>3</v>
      </c>
      <c r="L58" s="1">
        <v>0</v>
      </c>
      <c r="M58" s="1">
        <v>0.2</v>
      </c>
      <c r="N58" s="1"/>
      <c r="O58" s="1">
        <v>3.7</v>
      </c>
      <c r="P58" s="1">
        <v>3.3333333333333299</v>
      </c>
      <c r="Q58" s="1">
        <v>1.3</v>
      </c>
      <c r="R58" s="1">
        <v>2.31666666666667</v>
      </c>
      <c r="S58" s="1">
        <v>2.2514071294559099</v>
      </c>
      <c r="T58" s="1"/>
      <c r="U58" s="1"/>
      <c r="V58" s="1"/>
      <c r="W58" s="1"/>
      <c r="X58" s="1"/>
      <c r="Y58" s="1"/>
      <c r="Z58" s="1" t="s">
        <v>121</v>
      </c>
      <c r="AA58" s="1" t="s">
        <v>1179</v>
      </c>
      <c r="AB58" s="1" t="s">
        <v>1199</v>
      </c>
      <c r="AC58" s="1">
        <v>-7</v>
      </c>
      <c r="AD58" s="1"/>
      <c r="AE58" s="1">
        <v>10</v>
      </c>
      <c r="AF58" s="1"/>
      <c r="AG58" s="1">
        <v>5.9859999999999998</v>
      </c>
      <c r="AH58" s="1"/>
      <c r="AI58" s="1"/>
      <c r="AJ58" s="1"/>
      <c r="AK58" s="1"/>
      <c r="AL58" s="1"/>
      <c r="AM58" s="1"/>
      <c r="AN58" s="1"/>
      <c r="AO58" s="1"/>
      <c r="AP58" s="1"/>
      <c r="AQ58" s="1"/>
      <c r="AR58" s="1"/>
      <c r="AS58" s="1">
        <v>18</v>
      </c>
      <c r="AT58" s="1">
        <v>18</v>
      </c>
      <c r="AU58" s="1">
        <v>16.909090909090899</v>
      </c>
      <c r="AV58" s="1">
        <v>0</v>
      </c>
      <c r="AW58" s="1">
        <v>1.0909090909090899</v>
      </c>
      <c r="AX58" s="1">
        <v>0.54545454545454497</v>
      </c>
      <c r="AY58" s="1">
        <v>7.7272727272727204</v>
      </c>
      <c r="AZ58" s="1">
        <v>0.34710743801652899</v>
      </c>
      <c r="BA58" s="1"/>
      <c r="BB58" s="1"/>
      <c r="BC58" s="1"/>
      <c r="BD58" s="1"/>
      <c r="BE58" s="1"/>
      <c r="BF58" s="1"/>
      <c r="BG58" s="1"/>
      <c r="BH58" s="1"/>
    </row>
    <row r="59" spans="1:60" x14ac:dyDescent="0.2">
      <c r="A59" s="3">
        <v>57</v>
      </c>
      <c r="B59" s="3" t="s">
        <v>476</v>
      </c>
      <c r="C59" s="3" t="s">
        <v>477</v>
      </c>
      <c r="D59" s="1"/>
      <c r="E59" s="1">
        <f t="shared" si="3"/>
        <v>0</v>
      </c>
      <c r="F59" s="1">
        <f t="shared" si="4"/>
        <v>0</v>
      </c>
      <c r="G59" s="1">
        <f t="shared" si="5"/>
        <v>0</v>
      </c>
      <c r="H59" s="1"/>
      <c r="I59" s="1">
        <v>5</v>
      </c>
      <c r="J59" s="1">
        <v>4</v>
      </c>
      <c r="K59" s="1">
        <v>6</v>
      </c>
      <c r="L59" s="1">
        <v>3</v>
      </c>
      <c r="M59" s="1">
        <v>0.5</v>
      </c>
      <c r="N59" s="1">
        <v>4</v>
      </c>
      <c r="O59" s="1"/>
      <c r="P59" s="1">
        <v>5</v>
      </c>
      <c r="Q59" s="1">
        <v>2.5</v>
      </c>
      <c r="R59" s="1">
        <v>3.75</v>
      </c>
      <c r="S59" s="1">
        <v>8.7054409005628504</v>
      </c>
      <c r="T59" s="1">
        <v>5.4</v>
      </c>
      <c r="U59" s="1">
        <v>3.5</v>
      </c>
      <c r="V59" s="1">
        <v>1</v>
      </c>
      <c r="W59" s="1">
        <v>-4.3</v>
      </c>
      <c r="X59" s="1">
        <v>1.9</v>
      </c>
      <c r="Y59" s="1">
        <v>-5.3</v>
      </c>
      <c r="Z59" s="1" t="s">
        <v>854</v>
      </c>
      <c r="AA59" s="1" t="s">
        <v>1221</v>
      </c>
      <c r="AB59" s="1" t="s">
        <v>1222</v>
      </c>
      <c r="AC59" s="1">
        <v>-6.3</v>
      </c>
      <c r="AD59" s="1">
        <v>10</v>
      </c>
      <c r="AE59" s="1">
        <v>10</v>
      </c>
      <c r="AF59" s="1">
        <v>10</v>
      </c>
      <c r="AG59" s="1">
        <v>10</v>
      </c>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row>
    <row r="60" spans="1:60" x14ac:dyDescent="0.2">
      <c r="A60" s="3">
        <v>58</v>
      </c>
      <c r="B60" s="3" t="s">
        <v>481</v>
      </c>
      <c r="C60" s="3" t="s">
        <v>482</v>
      </c>
      <c r="D60" s="1"/>
      <c r="E60" s="1">
        <f t="shared" si="3"/>
        <v>1.7314000276069359</v>
      </c>
      <c r="F60" s="1">
        <f t="shared" si="4"/>
        <v>1.8842975206611601</v>
      </c>
      <c r="G60" s="1">
        <f t="shared" si="5"/>
        <v>1.5909090909090899</v>
      </c>
      <c r="H60" s="1"/>
      <c r="I60" s="1">
        <v>4</v>
      </c>
      <c r="J60" s="1">
        <v>3</v>
      </c>
      <c r="K60" s="1">
        <v>3</v>
      </c>
      <c r="L60" s="1">
        <v>0</v>
      </c>
      <c r="M60" s="1">
        <v>0.3</v>
      </c>
      <c r="N60" s="1"/>
      <c r="O60" s="1">
        <v>3.6</v>
      </c>
      <c r="P60" s="1">
        <v>3.3333333333333299</v>
      </c>
      <c r="Q60" s="1">
        <v>1.3</v>
      </c>
      <c r="R60" s="1">
        <v>2.31666666666667</v>
      </c>
      <c r="S60" s="1">
        <v>2.2514071294559099</v>
      </c>
      <c r="T60" s="1"/>
      <c r="U60" s="1"/>
      <c r="V60" s="1"/>
      <c r="W60" s="1"/>
      <c r="X60" s="1"/>
      <c r="Y60" s="1"/>
      <c r="Z60" s="1" t="s">
        <v>95</v>
      </c>
      <c r="AA60" s="1" t="s">
        <v>1223</v>
      </c>
      <c r="AB60" s="1" t="s">
        <v>1148</v>
      </c>
      <c r="AC60" s="1">
        <v>-8.5</v>
      </c>
      <c r="AD60" s="1"/>
      <c r="AE60" s="1">
        <v>10</v>
      </c>
      <c r="AF60" s="1"/>
      <c r="AG60" s="1">
        <v>9.8379999999999992</v>
      </c>
      <c r="AH60" s="1"/>
      <c r="AI60" s="1"/>
      <c r="AJ60" s="1"/>
      <c r="AK60" s="1"/>
      <c r="AL60" s="1"/>
      <c r="AM60" s="1"/>
      <c r="AN60" s="1"/>
      <c r="AO60" s="1"/>
      <c r="AP60" s="1"/>
      <c r="AQ60" s="1"/>
      <c r="AR60" s="1"/>
      <c r="AS60" s="1">
        <v>24</v>
      </c>
      <c r="AT60" s="1">
        <v>24</v>
      </c>
      <c r="AU60" s="1">
        <v>25.363636363636399</v>
      </c>
      <c r="AV60" s="1">
        <v>0</v>
      </c>
      <c r="AW60" s="1">
        <v>-1.36363636363636</v>
      </c>
      <c r="AX60" s="1">
        <v>1.63636363636364</v>
      </c>
      <c r="AY60" s="1">
        <v>1.5909090909090899</v>
      </c>
      <c r="AZ60" s="1">
        <v>1.8842975206611601</v>
      </c>
      <c r="BA60" s="1"/>
      <c r="BB60" s="1"/>
      <c r="BC60" s="1"/>
      <c r="BD60" s="1"/>
      <c r="BE60" s="1"/>
      <c r="BF60" s="1"/>
      <c r="BG60" s="1"/>
      <c r="BH60" s="1"/>
    </row>
    <row r="61" spans="1:60" x14ac:dyDescent="0.2">
      <c r="A61" s="3">
        <v>59</v>
      </c>
      <c r="B61" s="3" t="s">
        <v>486</v>
      </c>
      <c r="C61" s="3" t="s">
        <v>487</v>
      </c>
      <c r="D61" s="1"/>
      <c r="E61" s="1">
        <f t="shared" si="3"/>
        <v>0</v>
      </c>
      <c r="F61" s="1">
        <f t="shared" si="4"/>
        <v>0</v>
      </c>
      <c r="G61" s="1">
        <f t="shared" si="5"/>
        <v>0</v>
      </c>
      <c r="H61" s="1"/>
      <c r="I61" s="1"/>
      <c r="J61" s="1"/>
      <c r="K61" s="1"/>
      <c r="L61" s="1">
        <v>3</v>
      </c>
      <c r="M61" s="1"/>
      <c r="N61" s="1">
        <v>10</v>
      </c>
      <c r="O61" s="1"/>
      <c r="P61" s="1"/>
      <c r="Q61" s="1">
        <v>6.5</v>
      </c>
      <c r="R61" s="1">
        <v>6.5</v>
      </c>
      <c r="S61" s="1">
        <v>10</v>
      </c>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row>
    <row r="62" spans="1:60" x14ac:dyDescent="0.2">
      <c r="A62" s="3">
        <v>60</v>
      </c>
      <c r="B62" s="3" t="s">
        <v>488</v>
      </c>
      <c r="C62" s="3" t="s">
        <v>489</v>
      </c>
      <c r="D62" s="1"/>
      <c r="E62" s="1">
        <f t="shared" si="3"/>
        <v>4.2197346813949528</v>
      </c>
      <c r="F62" s="1">
        <f t="shared" si="4"/>
        <v>7.8347107438016499</v>
      </c>
      <c r="G62" s="1">
        <f t="shared" si="5"/>
        <v>2.2727272727272698</v>
      </c>
      <c r="H62" s="1"/>
      <c r="I62" s="1"/>
      <c r="J62" s="1"/>
      <c r="K62" s="1">
        <v>0</v>
      </c>
      <c r="L62" s="1">
        <v>0</v>
      </c>
      <c r="M62" s="1"/>
      <c r="N62" s="1">
        <v>0</v>
      </c>
      <c r="O62" s="1"/>
      <c r="P62" s="1">
        <v>0</v>
      </c>
      <c r="Q62" s="1">
        <v>0</v>
      </c>
      <c r="R62" s="1">
        <v>0</v>
      </c>
      <c r="S62" s="1">
        <v>0</v>
      </c>
      <c r="T62" s="1">
        <v>0.5</v>
      </c>
      <c r="U62" s="1">
        <v>0.8</v>
      </c>
      <c r="V62" s="1">
        <v>3.3</v>
      </c>
      <c r="W62" s="1">
        <v>-3.2</v>
      </c>
      <c r="X62" s="1">
        <v>-2.6</v>
      </c>
      <c r="Y62" s="1">
        <v>-6.5</v>
      </c>
      <c r="Z62" s="1" t="s">
        <v>1172</v>
      </c>
      <c r="AA62" s="1" t="s">
        <v>1194</v>
      </c>
      <c r="AB62" s="1" t="s">
        <v>628</v>
      </c>
      <c r="AC62" s="1">
        <v>-4.5999999999999996</v>
      </c>
      <c r="AD62" s="1">
        <v>10</v>
      </c>
      <c r="AE62" s="1">
        <v>9.1999999999999993</v>
      </c>
      <c r="AF62" s="1">
        <v>6.2</v>
      </c>
      <c r="AG62" s="1">
        <v>5.726</v>
      </c>
      <c r="AH62" s="1"/>
      <c r="AI62" s="1"/>
      <c r="AJ62" s="1"/>
      <c r="AK62" s="1"/>
      <c r="AL62" s="1"/>
      <c r="AM62" s="1"/>
      <c r="AN62" s="1"/>
      <c r="AO62" s="1"/>
      <c r="AP62" s="1"/>
      <c r="AQ62" s="1"/>
      <c r="AR62" s="1"/>
      <c r="AS62" s="1">
        <v>57</v>
      </c>
      <c r="AT62" s="1">
        <v>58</v>
      </c>
      <c r="AU62" s="1">
        <v>58.090909090909101</v>
      </c>
      <c r="AV62" s="1">
        <v>-1</v>
      </c>
      <c r="AW62" s="1">
        <v>-1.0909090909090899</v>
      </c>
      <c r="AX62" s="1">
        <v>7.6363636363636402</v>
      </c>
      <c r="AY62" s="1">
        <v>2.2727272727272698</v>
      </c>
      <c r="AZ62" s="1">
        <v>7.8347107438016499</v>
      </c>
      <c r="BA62" s="1"/>
      <c r="BB62" s="1"/>
      <c r="BC62" s="1"/>
      <c r="BD62" s="1"/>
      <c r="BE62" s="1"/>
      <c r="BF62" s="1"/>
      <c r="BG62" s="1"/>
      <c r="BH62" s="1"/>
    </row>
    <row r="63" spans="1:60" x14ac:dyDescent="0.2">
      <c r="A63" s="3">
        <v>61</v>
      </c>
      <c r="B63" s="3" t="s">
        <v>492</v>
      </c>
      <c r="C63" s="3" t="s">
        <v>493</v>
      </c>
      <c r="D63" s="1"/>
      <c r="E63" s="1">
        <f t="shared" si="3"/>
        <v>3.2024126892557976</v>
      </c>
      <c r="F63" s="1">
        <f t="shared" si="4"/>
        <v>1.5041322314049601</v>
      </c>
      <c r="G63" s="1">
        <f t="shared" si="5"/>
        <v>6.8181818181818201</v>
      </c>
      <c r="H63" s="1"/>
      <c r="I63" s="1">
        <v>4</v>
      </c>
      <c r="J63" s="1">
        <v>3</v>
      </c>
      <c r="K63" s="1">
        <v>4</v>
      </c>
      <c r="L63" s="1">
        <v>0</v>
      </c>
      <c r="M63" s="1">
        <v>0.2</v>
      </c>
      <c r="N63" s="1"/>
      <c r="O63" s="1">
        <v>4.7</v>
      </c>
      <c r="P63" s="1">
        <v>3.6666666666666701</v>
      </c>
      <c r="Q63" s="1">
        <v>1.63333333333333</v>
      </c>
      <c r="R63" s="1">
        <v>2.65</v>
      </c>
      <c r="S63" s="1">
        <v>3.75234521575985</v>
      </c>
      <c r="T63" s="1"/>
      <c r="U63" s="1"/>
      <c r="V63" s="1"/>
      <c r="W63" s="1"/>
      <c r="X63" s="1"/>
      <c r="Y63" s="1"/>
      <c r="Z63" s="1" t="s">
        <v>291</v>
      </c>
      <c r="AA63" s="1" t="s">
        <v>1203</v>
      </c>
      <c r="AB63" s="1" t="s">
        <v>1189</v>
      </c>
      <c r="AC63" s="1">
        <v>-7.9</v>
      </c>
      <c r="AD63" s="1"/>
      <c r="AE63" s="1">
        <v>10</v>
      </c>
      <c r="AF63" s="1"/>
      <c r="AG63" s="1">
        <v>9.8413333333333295</v>
      </c>
      <c r="AH63" s="1"/>
      <c r="AI63" s="1"/>
      <c r="AJ63" s="1"/>
      <c r="AK63" s="1"/>
      <c r="AL63" s="1"/>
      <c r="AM63" s="1"/>
      <c r="AN63" s="1"/>
      <c r="AO63" s="1"/>
      <c r="AP63" s="1"/>
      <c r="AQ63" s="1"/>
      <c r="AR63" s="1"/>
      <c r="AS63" s="1">
        <v>24</v>
      </c>
      <c r="AT63" s="1">
        <v>24</v>
      </c>
      <c r="AU63" s="1">
        <v>23.272727272727298</v>
      </c>
      <c r="AV63" s="1">
        <v>0</v>
      </c>
      <c r="AW63" s="1">
        <v>0.72727272727272696</v>
      </c>
      <c r="AX63" s="1">
        <v>1.63636363636364</v>
      </c>
      <c r="AY63" s="1">
        <v>6.8181818181818201</v>
      </c>
      <c r="AZ63" s="1">
        <v>1.5041322314049601</v>
      </c>
      <c r="BA63" s="1"/>
      <c r="BB63" s="1"/>
      <c r="BC63" s="1"/>
      <c r="BD63" s="1"/>
      <c r="BE63" s="1"/>
      <c r="BF63" s="1"/>
      <c r="BG63" s="1"/>
      <c r="BH63" s="1"/>
    </row>
    <row r="64" spans="1:60" x14ac:dyDescent="0.2">
      <c r="A64" s="3">
        <v>62</v>
      </c>
      <c r="B64" s="3" t="s">
        <v>495</v>
      </c>
      <c r="C64" s="3" t="s">
        <v>496</v>
      </c>
      <c r="D64" s="1"/>
      <c r="E64" s="1">
        <f t="shared" si="3"/>
        <v>1.9343080696956956</v>
      </c>
      <c r="F64" s="1">
        <f t="shared" si="4"/>
        <v>4.1157024793388404</v>
      </c>
      <c r="G64" s="1">
        <f t="shared" si="5"/>
        <v>0.90909090909091705</v>
      </c>
      <c r="H64" s="1"/>
      <c r="I64" s="1">
        <v>4</v>
      </c>
      <c r="J64" s="1">
        <v>4</v>
      </c>
      <c r="K64" s="1">
        <v>6</v>
      </c>
      <c r="L64" s="1">
        <v>4</v>
      </c>
      <c r="M64" s="1">
        <v>0.5</v>
      </c>
      <c r="N64" s="1">
        <v>4</v>
      </c>
      <c r="O64" s="1">
        <v>4.0999999999999996</v>
      </c>
      <c r="P64" s="1">
        <v>4.6666666666666696</v>
      </c>
      <c r="Q64" s="1">
        <v>3.15</v>
      </c>
      <c r="R64" s="1">
        <v>3.9083333333333301</v>
      </c>
      <c r="S64" s="1">
        <v>9.4183864915572304</v>
      </c>
      <c r="T64" s="1">
        <v>4.8</v>
      </c>
      <c r="U64" s="1">
        <v>4.8</v>
      </c>
      <c r="V64" s="1">
        <v>5.0999999999999996</v>
      </c>
      <c r="W64" s="1">
        <v>-4.8</v>
      </c>
      <c r="X64" s="1">
        <v>4</v>
      </c>
      <c r="Y64" s="1">
        <v>-9.9</v>
      </c>
      <c r="Z64" s="1" t="s">
        <v>1211</v>
      </c>
      <c r="AA64" s="1" t="s">
        <v>1173</v>
      </c>
      <c r="AB64" s="1" t="s">
        <v>1146</v>
      </c>
      <c r="AC64" s="1">
        <v>-9.1</v>
      </c>
      <c r="AD64" s="1">
        <v>10</v>
      </c>
      <c r="AE64" s="1">
        <v>10</v>
      </c>
      <c r="AF64" s="1">
        <v>7.3333333333333304</v>
      </c>
      <c r="AG64" s="1">
        <v>6.6666666666666696</v>
      </c>
      <c r="AH64" s="1">
        <v>0</v>
      </c>
      <c r="AI64" s="1">
        <v>0</v>
      </c>
      <c r="AJ64" s="1">
        <v>1</v>
      </c>
      <c r="AK64" s="1">
        <v>0</v>
      </c>
      <c r="AL64" s="1">
        <v>0.5</v>
      </c>
      <c r="AM64" s="1">
        <v>1</v>
      </c>
      <c r="AN64" s="1">
        <v>1</v>
      </c>
      <c r="AO64" s="1">
        <v>0</v>
      </c>
      <c r="AP64" s="1">
        <v>0.5</v>
      </c>
      <c r="AQ64" s="1">
        <v>2.5</v>
      </c>
      <c r="AR64" s="1">
        <v>10</v>
      </c>
      <c r="AS64" s="1">
        <v>36</v>
      </c>
      <c r="AT64" s="1">
        <v>36</v>
      </c>
      <c r="AU64" s="1">
        <v>37.636363636363598</v>
      </c>
      <c r="AV64" s="1">
        <v>0</v>
      </c>
      <c r="AW64" s="1">
        <v>-1.63636363636363</v>
      </c>
      <c r="AX64" s="1">
        <v>3.8181818181818201</v>
      </c>
      <c r="AY64" s="1">
        <v>0.90909090909091705</v>
      </c>
      <c r="AZ64" s="1">
        <v>4.1157024793388404</v>
      </c>
      <c r="BA64" s="1">
        <v>0.15</v>
      </c>
      <c r="BB64" s="1">
        <v>7.5</v>
      </c>
      <c r="BC64" s="1"/>
      <c r="BD64" s="1"/>
      <c r="BE64" s="1"/>
      <c r="BF64" s="1"/>
      <c r="BG64" s="1"/>
      <c r="BH64" s="1"/>
    </row>
    <row r="65" spans="1:60" x14ac:dyDescent="0.2">
      <c r="A65" s="3">
        <v>63</v>
      </c>
      <c r="B65" s="3" t="s">
        <v>501</v>
      </c>
      <c r="C65" s="3" t="s">
        <v>502</v>
      </c>
      <c r="D65" s="1"/>
      <c r="E65" s="1">
        <f t="shared" si="3"/>
        <v>6.799699467438475</v>
      </c>
      <c r="F65" s="1">
        <f t="shared" si="4"/>
        <v>5.9834710743801596</v>
      </c>
      <c r="G65" s="1">
        <f t="shared" si="5"/>
        <v>7.7272727272727302</v>
      </c>
      <c r="H65" s="1"/>
      <c r="I65" s="1">
        <v>0</v>
      </c>
      <c r="J65" s="1">
        <v>5</v>
      </c>
      <c r="K65" s="1">
        <v>3</v>
      </c>
      <c r="L65" s="1">
        <v>3</v>
      </c>
      <c r="M65" s="1">
        <v>0.5</v>
      </c>
      <c r="N65" s="1"/>
      <c r="O65" s="1">
        <v>3.3</v>
      </c>
      <c r="P65" s="1">
        <v>2.6666666666666701</v>
      </c>
      <c r="Q65" s="1">
        <v>2.2666666666666702</v>
      </c>
      <c r="R65" s="1">
        <v>2.4666666666666699</v>
      </c>
      <c r="S65" s="1">
        <v>2.9268292682926802</v>
      </c>
      <c r="T65" s="1">
        <v>8.1</v>
      </c>
      <c r="U65" s="1">
        <v>6.3</v>
      </c>
      <c r="V65" s="1">
        <v>6.5</v>
      </c>
      <c r="W65" s="1">
        <v>1.5</v>
      </c>
      <c r="X65" s="1">
        <v>3.4</v>
      </c>
      <c r="Y65" s="1">
        <v>-5</v>
      </c>
      <c r="Z65" s="1" t="s">
        <v>557</v>
      </c>
      <c r="AA65" s="1" t="s">
        <v>803</v>
      </c>
      <c r="AB65" s="1" t="s">
        <v>1216</v>
      </c>
      <c r="AC65" s="1">
        <v>-4.5999999999999996</v>
      </c>
      <c r="AD65" s="1">
        <v>10</v>
      </c>
      <c r="AE65" s="1">
        <v>9.1999999999999993</v>
      </c>
      <c r="AF65" s="1">
        <v>7.2</v>
      </c>
      <c r="AG65" s="1">
        <v>2.71533333333333</v>
      </c>
      <c r="AH65" s="1">
        <v>0</v>
      </c>
      <c r="AI65" s="1">
        <v>1</v>
      </c>
      <c r="AJ65" s="1">
        <v>0</v>
      </c>
      <c r="AK65" s="1">
        <v>1</v>
      </c>
      <c r="AL65" s="1">
        <v>0</v>
      </c>
      <c r="AM65" s="1">
        <v>0</v>
      </c>
      <c r="AN65" s="1">
        <v>0</v>
      </c>
      <c r="AO65" s="1">
        <v>0</v>
      </c>
      <c r="AP65" s="1">
        <v>0.5</v>
      </c>
      <c r="AQ65" s="1">
        <v>2</v>
      </c>
      <c r="AR65" s="1">
        <v>9.5238095238095202</v>
      </c>
      <c r="AS65" s="1">
        <v>49</v>
      </c>
      <c r="AT65" s="1">
        <v>49</v>
      </c>
      <c r="AU65" s="1">
        <v>47.909090909090899</v>
      </c>
      <c r="AV65" s="1">
        <v>0</v>
      </c>
      <c r="AW65" s="1">
        <v>1.0909090909090899</v>
      </c>
      <c r="AX65" s="1">
        <v>6.1818181818181799</v>
      </c>
      <c r="AY65" s="1">
        <v>7.7272727272727302</v>
      </c>
      <c r="AZ65" s="1">
        <v>5.9834710743801596</v>
      </c>
      <c r="BA65" s="1">
        <v>0.105</v>
      </c>
      <c r="BB65" s="1">
        <v>5.25</v>
      </c>
      <c r="BC65" s="1"/>
      <c r="BD65" s="1"/>
      <c r="BE65" s="1"/>
      <c r="BF65" s="1"/>
      <c r="BG65" s="1"/>
      <c r="BH65" s="1"/>
    </row>
    <row r="66" spans="1:60" x14ac:dyDescent="0.2">
      <c r="A66" s="3">
        <v>64</v>
      </c>
      <c r="B66" s="3" t="s">
        <v>507</v>
      </c>
      <c r="C66" s="3" t="s">
        <v>508</v>
      </c>
      <c r="D66" s="1"/>
      <c r="E66" s="1">
        <f t="shared" si="3"/>
        <v>3.9886201760873394</v>
      </c>
      <c r="F66" s="1">
        <f t="shared" si="4"/>
        <v>10</v>
      </c>
      <c r="G66" s="1">
        <f t="shared" si="5"/>
        <v>1.5909090909090999</v>
      </c>
      <c r="H66" s="1"/>
      <c r="I66" s="1"/>
      <c r="J66" s="1"/>
      <c r="K66" s="1">
        <v>3</v>
      </c>
      <c r="L66" s="1">
        <v>0</v>
      </c>
      <c r="M66" s="1">
        <v>0.3</v>
      </c>
      <c r="N66" s="1"/>
      <c r="O66" s="1">
        <v>6</v>
      </c>
      <c r="P66" s="1">
        <v>3</v>
      </c>
      <c r="Q66" s="1">
        <v>2.1</v>
      </c>
      <c r="R66" s="1">
        <v>2.5499999999999998</v>
      </c>
      <c r="S66" s="1">
        <v>3.30206378986867</v>
      </c>
      <c r="T66" s="1">
        <v>10.3</v>
      </c>
      <c r="U66" s="1">
        <v>6.2</v>
      </c>
      <c r="V66" s="1">
        <v>5.6</v>
      </c>
      <c r="W66" s="1">
        <v>2.1</v>
      </c>
      <c r="X66" s="1">
        <v>7.9</v>
      </c>
      <c r="Y66" s="1">
        <v>-3.5</v>
      </c>
      <c r="Z66" s="1" t="s">
        <v>1204</v>
      </c>
      <c r="AA66" s="1" t="s">
        <v>414</v>
      </c>
      <c r="AB66" s="1" t="s">
        <v>1157</v>
      </c>
      <c r="AC66" s="1">
        <v>-2.7</v>
      </c>
      <c r="AD66" s="1">
        <v>7</v>
      </c>
      <c r="AE66" s="1">
        <v>5.4</v>
      </c>
      <c r="AF66" s="1">
        <v>0</v>
      </c>
      <c r="AG66" s="1">
        <v>2.3673333333333302</v>
      </c>
      <c r="AH66" s="1"/>
      <c r="AI66" s="1"/>
      <c r="AJ66" s="1"/>
      <c r="AK66" s="1"/>
      <c r="AL66" s="1"/>
      <c r="AM66" s="1"/>
      <c r="AN66" s="1"/>
      <c r="AO66" s="1"/>
      <c r="AP66" s="1"/>
      <c r="AQ66" s="1"/>
      <c r="AR66" s="1"/>
      <c r="AS66" s="1">
        <v>72</v>
      </c>
      <c r="AT66" s="1">
        <v>74</v>
      </c>
      <c r="AU66" s="1">
        <v>73.363636363636402</v>
      </c>
      <c r="AV66" s="1">
        <v>-2</v>
      </c>
      <c r="AW66" s="1">
        <v>-1.36363636363636</v>
      </c>
      <c r="AX66" s="1">
        <v>10</v>
      </c>
      <c r="AY66" s="1">
        <v>1.5909090909090999</v>
      </c>
      <c r="AZ66" s="1">
        <v>10</v>
      </c>
      <c r="BA66" s="1"/>
      <c r="BB66" s="1"/>
      <c r="BC66" s="1"/>
      <c r="BD66" s="1"/>
      <c r="BE66" s="1"/>
      <c r="BF66" s="1"/>
      <c r="BG66" s="1"/>
      <c r="BH66" s="1"/>
    </row>
    <row r="67" spans="1:60" x14ac:dyDescent="0.2">
      <c r="A67" s="3">
        <v>65</v>
      </c>
      <c r="B67" s="3" t="s">
        <v>512</v>
      </c>
      <c r="C67" s="3" t="s">
        <v>513</v>
      </c>
      <c r="D67" s="1"/>
      <c r="E67" s="1">
        <f t="shared" ref="E67:E98" si="6">IFERROR(GEOMEAN(F67, G67), MAX(F67, G67))</f>
        <v>6.44283654532786</v>
      </c>
      <c r="F67" s="1">
        <f t="shared" ref="F67:F98" si="7">MAX(AZ67)</f>
        <v>7.0247933884297504</v>
      </c>
      <c r="G67" s="1">
        <f t="shared" ref="G67:G98" si="8">MAX(AY67)</f>
        <v>5.9090909090909198</v>
      </c>
      <c r="H67" s="1"/>
      <c r="I67" s="1">
        <v>7</v>
      </c>
      <c r="J67" s="1">
        <v>5</v>
      </c>
      <c r="K67" s="1">
        <v>5</v>
      </c>
      <c r="L67" s="1">
        <v>4</v>
      </c>
      <c r="M67" s="1">
        <v>0.3</v>
      </c>
      <c r="N67" s="1"/>
      <c r="O67" s="1">
        <v>5</v>
      </c>
      <c r="P67" s="1">
        <v>5.6666666666666696</v>
      </c>
      <c r="Q67" s="1">
        <v>3.1</v>
      </c>
      <c r="R67" s="1">
        <v>4.3833333333333302</v>
      </c>
      <c r="S67" s="1">
        <v>10</v>
      </c>
      <c r="T67" s="1">
        <v>4.8</v>
      </c>
      <c r="U67" s="1">
        <v>6.6</v>
      </c>
      <c r="V67" s="1">
        <v>6</v>
      </c>
      <c r="W67" s="1">
        <v>2.5</v>
      </c>
      <c r="X67" s="1">
        <v>6.5</v>
      </c>
      <c r="Y67" s="1">
        <v>-3.5</v>
      </c>
      <c r="Z67" s="1" t="s">
        <v>1005</v>
      </c>
      <c r="AA67" s="1" t="s">
        <v>1224</v>
      </c>
      <c r="AB67" s="1" t="s">
        <v>1225</v>
      </c>
      <c r="AC67" s="1">
        <v>-3.5</v>
      </c>
      <c r="AD67" s="1">
        <v>7</v>
      </c>
      <c r="AE67" s="1">
        <v>7</v>
      </c>
      <c r="AF67" s="1">
        <v>4.5333333333333297</v>
      </c>
      <c r="AG67" s="1">
        <v>4.5333333333333297</v>
      </c>
      <c r="AH67" s="1"/>
      <c r="AI67" s="1"/>
      <c r="AJ67" s="1"/>
      <c r="AK67" s="1"/>
      <c r="AL67" s="1"/>
      <c r="AM67" s="1"/>
      <c r="AN67" s="1"/>
      <c r="AO67" s="1"/>
      <c r="AP67" s="1"/>
      <c r="AQ67" s="1"/>
      <c r="AR67" s="1"/>
      <c r="AS67" s="1">
        <v>54</v>
      </c>
      <c r="AT67" s="1">
        <v>54</v>
      </c>
      <c r="AU67" s="1">
        <v>53.636363636363598</v>
      </c>
      <c r="AV67" s="1">
        <v>0</v>
      </c>
      <c r="AW67" s="1">
        <v>0.36363636363636698</v>
      </c>
      <c r="AX67" s="1">
        <v>7.0909090909090899</v>
      </c>
      <c r="AY67" s="1">
        <v>5.9090909090909198</v>
      </c>
      <c r="AZ67" s="1">
        <v>7.0247933884297504</v>
      </c>
      <c r="BA67" s="1"/>
      <c r="BB67" s="1"/>
      <c r="BC67" s="1"/>
      <c r="BD67" s="1"/>
      <c r="BE67" s="1"/>
      <c r="BF67" s="1"/>
      <c r="BG67" s="1"/>
      <c r="BH67" s="1"/>
    </row>
    <row r="68" spans="1:60" x14ac:dyDescent="0.2">
      <c r="A68" s="3">
        <v>66</v>
      </c>
      <c r="B68" s="3" t="s">
        <v>517</v>
      </c>
      <c r="C68" s="3" t="s">
        <v>518</v>
      </c>
      <c r="D68" s="1"/>
      <c r="E68" s="1">
        <f t="shared" si="6"/>
        <v>0</v>
      </c>
      <c r="F68" s="1">
        <f t="shared" si="7"/>
        <v>0</v>
      </c>
      <c r="G68" s="1">
        <f t="shared" si="8"/>
        <v>0</v>
      </c>
      <c r="H68" s="1"/>
      <c r="I68" s="1"/>
      <c r="J68" s="1"/>
      <c r="K68" s="1"/>
      <c r="L68" s="1">
        <v>3</v>
      </c>
      <c r="M68" s="1"/>
      <c r="N68" s="1">
        <v>8</v>
      </c>
      <c r="O68" s="1">
        <v>5.0999999999999996</v>
      </c>
      <c r="P68" s="1"/>
      <c r="Q68" s="1">
        <v>5.3666666666666698</v>
      </c>
      <c r="R68" s="1">
        <v>5.3666666666666698</v>
      </c>
      <c r="S68" s="1">
        <v>10</v>
      </c>
      <c r="T68" s="1">
        <v>5.9</v>
      </c>
      <c r="U68" s="1">
        <v>3.8</v>
      </c>
      <c r="V68" s="1">
        <v>4.7</v>
      </c>
      <c r="W68" s="1">
        <v>-1.6</v>
      </c>
      <c r="X68" s="1">
        <v>3.1</v>
      </c>
      <c r="Y68" s="1">
        <v>-6.3</v>
      </c>
      <c r="Z68" s="1" t="s">
        <v>1168</v>
      </c>
      <c r="AA68" s="1" t="s">
        <v>1149</v>
      </c>
      <c r="AB68" s="1" t="s">
        <v>1146</v>
      </c>
      <c r="AC68" s="1">
        <v>-6.1</v>
      </c>
      <c r="AD68" s="1">
        <v>10</v>
      </c>
      <c r="AE68" s="1">
        <v>10</v>
      </c>
      <c r="AF68" s="1">
        <v>4.93333333333333</v>
      </c>
      <c r="AG68" s="1">
        <v>5.2666666666666702</v>
      </c>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row>
    <row r="69" spans="1:60" x14ac:dyDescent="0.2">
      <c r="A69" s="3">
        <v>67</v>
      </c>
      <c r="B69" s="3" t="s">
        <v>522</v>
      </c>
      <c r="C69" s="3" t="s">
        <v>523</v>
      </c>
      <c r="D69" s="1"/>
      <c r="E69" s="1">
        <f t="shared" si="6"/>
        <v>8.0176364575315358</v>
      </c>
      <c r="F69" s="1">
        <f t="shared" si="7"/>
        <v>9.1239669421487601</v>
      </c>
      <c r="G69" s="1">
        <f t="shared" si="8"/>
        <v>7.0454545454545299</v>
      </c>
      <c r="H69" s="1"/>
      <c r="I69" s="1"/>
      <c r="J69" s="1"/>
      <c r="K69" s="1"/>
      <c r="L69" s="1"/>
      <c r="M69" s="1"/>
      <c r="N69" s="1">
        <v>0</v>
      </c>
      <c r="O69" s="1"/>
      <c r="P69" s="1"/>
      <c r="Q69" s="1">
        <v>0</v>
      </c>
      <c r="R69" s="1">
        <v>0</v>
      </c>
      <c r="S69" s="1">
        <v>0</v>
      </c>
      <c r="T69" s="1">
        <v>-4.7</v>
      </c>
      <c r="U69" s="1">
        <v>-6.1</v>
      </c>
      <c r="V69" s="1">
        <v>-6.2</v>
      </c>
      <c r="W69" s="1">
        <v>-8.4</v>
      </c>
      <c r="X69" s="1">
        <v>-1.6</v>
      </c>
      <c r="Y69" s="1">
        <v>-2.2000000000000002</v>
      </c>
      <c r="Z69" s="1" t="s">
        <v>1226</v>
      </c>
      <c r="AA69" s="1" t="s">
        <v>1165</v>
      </c>
      <c r="AB69" s="1" t="s">
        <v>718</v>
      </c>
      <c r="AC69" s="1">
        <v>0.6</v>
      </c>
      <c r="AD69" s="1">
        <v>4.4000000000000004</v>
      </c>
      <c r="AE69" s="1">
        <v>0</v>
      </c>
      <c r="AF69" s="1">
        <v>10</v>
      </c>
      <c r="AG69" s="1">
        <v>7.3446666666666696</v>
      </c>
      <c r="AH69" s="1"/>
      <c r="AI69" s="1"/>
      <c r="AJ69" s="1"/>
      <c r="AK69" s="1"/>
      <c r="AL69" s="1"/>
      <c r="AM69" s="1"/>
      <c r="AN69" s="1"/>
      <c r="AO69" s="1"/>
      <c r="AP69" s="1"/>
      <c r="AQ69" s="1"/>
      <c r="AR69" s="1"/>
      <c r="AS69" s="1">
        <v>66</v>
      </c>
      <c r="AT69" s="1">
        <v>66</v>
      </c>
      <c r="AU69" s="1">
        <v>65.181818181818201</v>
      </c>
      <c r="AV69" s="1">
        <v>0</v>
      </c>
      <c r="AW69" s="1">
        <v>0.81818181818181301</v>
      </c>
      <c r="AX69" s="1">
        <v>9.2727272727272698</v>
      </c>
      <c r="AY69" s="1">
        <v>7.0454545454545299</v>
      </c>
      <c r="AZ69" s="1">
        <v>9.1239669421487601</v>
      </c>
      <c r="BA69" s="1"/>
      <c r="BB69" s="1"/>
      <c r="BC69" s="1"/>
      <c r="BD69" s="1"/>
      <c r="BE69" s="1"/>
      <c r="BF69" s="1"/>
      <c r="BG69" s="1"/>
      <c r="BH69" s="1"/>
    </row>
    <row r="70" spans="1:60" x14ac:dyDescent="0.2">
      <c r="A70" s="3">
        <v>68</v>
      </c>
      <c r="B70" s="3" t="s">
        <v>525</v>
      </c>
      <c r="C70" s="3" t="s">
        <v>526</v>
      </c>
      <c r="D70" s="1"/>
      <c r="E70" s="1">
        <f t="shared" si="6"/>
        <v>2.8133790053062651</v>
      </c>
      <c r="F70" s="1">
        <f t="shared" si="7"/>
        <v>4.9752066115702496</v>
      </c>
      <c r="G70" s="1">
        <f t="shared" si="8"/>
        <v>1.5909090909090799</v>
      </c>
      <c r="H70" s="1"/>
      <c r="I70" s="1">
        <v>5</v>
      </c>
      <c r="J70" s="1">
        <v>4</v>
      </c>
      <c r="K70" s="1">
        <v>5</v>
      </c>
      <c r="L70" s="1">
        <v>0</v>
      </c>
      <c r="M70" s="1">
        <v>0.2</v>
      </c>
      <c r="N70" s="1"/>
      <c r="O70" s="1">
        <v>4.9000000000000004</v>
      </c>
      <c r="P70" s="1">
        <v>4.6666666666666696</v>
      </c>
      <c r="Q70" s="1">
        <v>1.7</v>
      </c>
      <c r="R70" s="1">
        <v>3.18333333333333</v>
      </c>
      <c r="S70" s="1">
        <v>6.1538461538461604</v>
      </c>
      <c r="T70" s="1"/>
      <c r="U70" s="1"/>
      <c r="V70" s="1"/>
      <c r="W70" s="1"/>
      <c r="X70" s="1"/>
      <c r="Y70" s="1"/>
      <c r="Z70" s="1" t="s">
        <v>354</v>
      </c>
      <c r="AA70" s="1" t="s">
        <v>1160</v>
      </c>
      <c r="AB70" s="1" t="s">
        <v>1211</v>
      </c>
      <c r="AC70" s="1">
        <v>-11.9</v>
      </c>
      <c r="AD70" s="1"/>
      <c r="AE70" s="1">
        <v>10</v>
      </c>
      <c r="AF70" s="1"/>
      <c r="AG70" s="1">
        <v>9.6693333333333307</v>
      </c>
      <c r="AH70" s="1"/>
      <c r="AI70" s="1"/>
      <c r="AJ70" s="1"/>
      <c r="AK70" s="1"/>
      <c r="AL70" s="1"/>
      <c r="AM70" s="1"/>
      <c r="AN70" s="1"/>
      <c r="AO70" s="1"/>
      <c r="AP70" s="1"/>
      <c r="AQ70" s="1"/>
      <c r="AR70" s="1"/>
      <c r="AS70" s="1">
        <v>41</v>
      </c>
      <c r="AT70" s="1">
        <v>41</v>
      </c>
      <c r="AU70" s="1">
        <v>42.363636363636402</v>
      </c>
      <c r="AV70" s="1">
        <v>0</v>
      </c>
      <c r="AW70" s="1">
        <v>-1.36363636363637</v>
      </c>
      <c r="AX70" s="1">
        <v>4.7272727272727302</v>
      </c>
      <c r="AY70" s="1">
        <v>1.5909090909090799</v>
      </c>
      <c r="AZ70" s="1">
        <v>4.9752066115702496</v>
      </c>
      <c r="BA70" s="1"/>
      <c r="BB70" s="1"/>
      <c r="BC70" s="1"/>
      <c r="BD70" s="1"/>
      <c r="BE70" s="1"/>
      <c r="BF70" s="1"/>
      <c r="BG70" s="1"/>
      <c r="BH70" s="1"/>
    </row>
    <row r="71" spans="1:60" x14ac:dyDescent="0.2">
      <c r="A71" s="3">
        <v>69</v>
      </c>
      <c r="B71" s="3" t="s">
        <v>531</v>
      </c>
      <c r="C71" s="3" t="s">
        <v>532</v>
      </c>
      <c r="D71" s="1"/>
      <c r="E71" s="1">
        <f t="shared" si="6"/>
        <v>0</v>
      </c>
      <c r="F71" s="1">
        <f t="shared" si="7"/>
        <v>0</v>
      </c>
      <c r="G71" s="1">
        <f t="shared" si="8"/>
        <v>0</v>
      </c>
      <c r="H71" s="1"/>
      <c r="I71" s="1"/>
      <c r="J71" s="1"/>
      <c r="K71" s="1">
        <v>5</v>
      </c>
      <c r="L71" s="1">
        <v>0</v>
      </c>
      <c r="M71" s="1">
        <v>0.6</v>
      </c>
      <c r="N71" s="1"/>
      <c r="O71" s="1"/>
      <c r="P71" s="1">
        <v>5</v>
      </c>
      <c r="Q71" s="1">
        <v>0.3</v>
      </c>
      <c r="R71" s="1">
        <v>2.65</v>
      </c>
      <c r="S71" s="1">
        <v>3.75234521575985</v>
      </c>
      <c r="T71" s="1">
        <v>4.4000000000000004</v>
      </c>
      <c r="U71" s="1">
        <v>4.2</v>
      </c>
      <c r="V71" s="1">
        <v>3.1</v>
      </c>
      <c r="W71" s="1">
        <v>-9.6</v>
      </c>
      <c r="X71" s="1">
        <v>6.5</v>
      </c>
      <c r="Y71" s="1">
        <v>-12.7</v>
      </c>
      <c r="Z71" s="1" t="s">
        <v>1199</v>
      </c>
      <c r="AA71" s="1" t="s">
        <v>1217</v>
      </c>
      <c r="AB71" s="1" t="s">
        <v>557</v>
      </c>
      <c r="AC71" s="1">
        <v>-11.1</v>
      </c>
      <c r="AD71" s="1">
        <v>10</v>
      </c>
      <c r="AE71" s="1">
        <v>10</v>
      </c>
      <c r="AF71" s="1">
        <v>10</v>
      </c>
      <c r="AG71" s="1">
        <v>10</v>
      </c>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row>
    <row r="72" spans="1:60" x14ac:dyDescent="0.2">
      <c r="A72" s="3">
        <v>70</v>
      </c>
      <c r="B72" s="3" t="s">
        <v>534</v>
      </c>
      <c r="C72" s="3" t="s">
        <v>535</v>
      </c>
      <c r="D72" s="1"/>
      <c r="E72" s="1">
        <f t="shared" si="6"/>
        <v>5.4109830706752735</v>
      </c>
      <c r="F72" s="1">
        <f t="shared" si="7"/>
        <v>7.1570247933884303</v>
      </c>
      <c r="G72" s="1">
        <f t="shared" si="8"/>
        <v>4.0909090909090802</v>
      </c>
      <c r="H72" s="1"/>
      <c r="I72" s="1"/>
      <c r="J72" s="1"/>
      <c r="K72" s="1">
        <v>3</v>
      </c>
      <c r="L72" s="1">
        <v>4</v>
      </c>
      <c r="M72" s="1">
        <v>0.7</v>
      </c>
      <c r="N72" s="1"/>
      <c r="O72" s="1">
        <v>4.4000000000000004</v>
      </c>
      <c r="P72" s="1">
        <v>3</v>
      </c>
      <c r="Q72" s="1">
        <v>3.0333333333333301</v>
      </c>
      <c r="R72" s="1">
        <v>3.0166666666666702</v>
      </c>
      <c r="S72" s="1">
        <v>5.4033771106941799</v>
      </c>
      <c r="T72" s="1">
        <v>3</v>
      </c>
      <c r="U72" s="1">
        <v>3.1</v>
      </c>
      <c r="V72" s="1">
        <v>3.6</v>
      </c>
      <c r="W72" s="1">
        <v>-3</v>
      </c>
      <c r="X72" s="1">
        <v>4.0999999999999996</v>
      </c>
      <c r="Y72" s="1">
        <v>-6.6</v>
      </c>
      <c r="Z72" s="1" t="s">
        <v>628</v>
      </c>
      <c r="AA72" s="1" t="s">
        <v>1227</v>
      </c>
      <c r="AB72" s="1" t="s">
        <v>1200</v>
      </c>
      <c r="AC72" s="1">
        <v>-5.6</v>
      </c>
      <c r="AD72" s="1">
        <v>10</v>
      </c>
      <c r="AE72" s="1">
        <v>10</v>
      </c>
      <c r="AF72" s="1">
        <v>5.6666666666666696</v>
      </c>
      <c r="AG72" s="1">
        <v>4.6666666666666696</v>
      </c>
      <c r="AH72" s="1"/>
      <c r="AI72" s="1"/>
      <c r="AJ72" s="1"/>
      <c r="AK72" s="1"/>
      <c r="AL72" s="1"/>
      <c r="AM72" s="1"/>
      <c r="AN72" s="1"/>
      <c r="AO72" s="1"/>
      <c r="AP72" s="1"/>
      <c r="AQ72" s="1"/>
      <c r="AR72" s="1"/>
      <c r="AS72" s="1">
        <v>54</v>
      </c>
      <c r="AT72" s="1">
        <v>55</v>
      </c>
      <c r="AU72" s="1">
        <v>54.363636363636402</v>
      </c>
      <c r="AV72" s="1">
        <v>-1</v>
      </c>
      <c r="AW72" s="1">
        <v>-0.36363636363636698</v>
      </c>
      <c r="AX72" s="1">
        <v>7.0909090909090899</v>
      </c>
      <c r="AY72" s="1">
        <v>4.0909090909090802</v>
      </c>
      <c r="AZ72" s="1">
        <v>7.1570247933884303</v>
      </c>
      <c r="BA72" s="1"/>
      <c r="BB72" s="1"/>
      <c r="BC72" s="1"/>
      <c r="BD72" s="1"/>
      <c r="BE72" s="1"/>
      <c r="BF72" s="1"/>
      <c r="BG72" s="1"/>
      <c r="BH72" s="1"/>
    </row>
    <row r="73" spans="1:60" x14ac:dyDescent="0.2">
      <c r="A73" s="3">
        <v>71</v>
      </c>
      <c r="B73" s="3" t="s">
        <v>539</v>
      </c>
      <c r="C73" s="3" t="s">
        <v>540</v>
      </c>
      <c r="D73" s="1"/>
      <c r="E73" s="1">
        <f t="shared" si="6"/>
        <v>4.6334458490158958</v>
      </c>
      <c r="F73" s="1">
        <f t="shared" si="7"/>
        <v>6.2975206611570202</v>
      </c>
      <c r="G73" s="1">
        <f t="shared" si="8"/>
        <v>3.4090909090909198</v>
      </c>
      <c r="H73" s="1"/>
      <c r="I73" s="1">
        <v>4</v>
      </c>
      <c r="J73" s="1">
        <v>3</v>
      </c>
      <c r="K73" s="1">
        <v>3</v>
      </c>
      <c r="L73" s="1">
        <v>3</v>
      </c>
      <c r="M73" s="1">
        <v>0.5</v>
      </c>
      <c r="N73" s="1"/>
      <c r="O73" s="1">
        <v>3.1</v>
      </c>
      <c r="P73" s="1">
        <v>3.3333333333333299</v>
      </c>
      <c r="Q73" s="1">
        <v>2.2000000000000002</v>
      </c>
      <c r="R73" s="1">
        <v>2.7666666666666702</v>
      </c>
      <c r="S73" s="1">
        <v>4.2776735459662296</v>
      </c>
      <c r="T73" s="1">
        <v>2.1</v>
      </c>
      <c r="U73" s="1">
        <v>4.0999999999999996</v>
      </c>
      <c r="V73" s="1">
        <v>4.7</v>
      </c>
      <c r="W73" s="1">
        <v>51.1</v>
      </c>
      <c r="X73" s="1">
        <v>8.1</v>
      </c>
      <c r="Y73" s="1">
        <v>46.4</v>
      </c>
      <c r="Z73" s="1" t="s">
        <v>210</v>
      </c>
      <c r="AA73" s="1" t="s">
        <v>1228</v>
      </c>
      <c r="AB73" s="1" t="s">
        <v>1229</v>
      </c>
      <c r="AC73" s="1">
        <v>48.1</v>
      </c>
      <c r="AD73" s="1">
        <v>0</v>
      </c>
      <c r="AE73" s="1">
        <v>0</v>
      </c>
      <c r="AF73" s="1">
        <v>0</v>
      </c>
      <c r="AG73" s="1">
        <v>0</v>
      </c>
      <c r="AH73" s="1"/>
      <c r="AI73" s="1"/>
      <c r="AJ73" s="1"/>
      <c r="AK73" s="1"/>
      <c r="AL73" s="1"/>
      <c r="AM73" s="1"/>
      <c r="AN73" s="1"/>
      <c r="AO73" s="1"/>
      <c r="AP73" s="1"/>
      <c r="AQ73" s="1"/>
      <c r="AR73" s="1"/>
      <c r="AS73" s="1">
        <v>49</v>
      </c>
      <c r="AT73" s="1">
        <v>49</v>
      </c>
      <c r="AU73" s="1">
        <v>49.636363636363598</v>
      </c>
      <c r="AV73" s="1">
        <v>0</v>
      </c>
      <c r="AW73" s="1">
        <v>-0.63636363636363302</v>
      </c>
      <c r="AX73" s="1">
        <v>6.1818181818181799</v>
      </c>
      <c r="AY73" s="1">
        <v>3.4090909090909198</v>
      </c>
      <c r="AZ73" s="1">
        <v>6.2975206611570202</v>
      </c>
      <c r="BA73" s="1"/>
      <c r="BB73" s="1"/>
      <c r="BC73" s="1"/>
      <c r="BD73" s="1"/>
      <c r="BE73" s="1"/>
      <c r="BF73" s="1"/>
      <c r="BG73" s="1"/>
      <c r="BH73" s="1"/>
    </row>
    <row r="74" spans="1:60" x14ac:dyDescent="0.2">
      <c r="A74" s="3">
        <v>72</v>
      </c>
      <c r="B74" s="3" t="s">
        <v>543</v>
      </c>
      <c r="C74" s="3" t="s">
        <v>544</v>
      </c>
      <c r="D74" s="1"/>
      <c r="E74" s="1">
        <f t="shared" si="6"/>
        <v>6.6882944945389502</v>
      </c>
      <c r="F74" s="1">
        <f t="shared" si="7"/>
        <v>7.5702479338842998</v>
      </c>
      <c r="G74" s="1">
        <f t="shared" si="8"/>
        <v>5.9090909090909198</v>
      </c>
      <c r="H74" s="1"/>
      <c r="I74" s="1"/>
      <c r="J74" s="1"/>
      <c r="K74" s="1">
        <v>4</v>
      </c>
      <c r="L74" s="1">
        <v>4</v>
      </c>
      <c r="M74" s="1">
        <v>0.6</v>
      </c>
      <c r="N74" s="1"/>
      <c r="O74" s="1">
        <v>3.8</v>
      </c>
      <c r="P74" s="1">
        <v>4</v>
      </c>
      <c r="Q74" s="1">
        <v>2.8</v>
      </c>
      <c r="R74" s="1">
        <v>3.4</v>
      </c>
      <c r="S74" s="1">
        <v>7.1294559099437196</v>
      </c>
      <c r="T74" s="1">
        <v>4.8</v>
      </c>
      <c r="U74" s="1">
        <v>3.7</v>
      </c>
      <c r="V74" s="1">
        <v>2.7</v>
      </c>
      <c r="W74" s="1">
        <v>-5.8</v>
      </c>
      <c r="X74" s="1">
        <v>3.7</v>
      </c>
      <c r="Y74" s="1">
        <v>-8.5</v>
      </c>
      <c r="Z74" s="1" t="s">
        <v>1176</v>
      </c>
      <c r="AA74" s="1" t="s">
        <v>1198</v>
      </c>
      <c r="AB74" s="1" t="s">
        <v>1195</v>
      </c>
      <c r="AC74" s="1">
        <v>-5.0999999999999996</v>
      </c>
      <c r="AD74" s="1">
        <v>10</v>
      </c>
      <c r="AE74" s="1">
        <v>10</v>
      </c>
      <c r="AF74" s="1">
        <v>9.8000000000000007</v>
      </c>
      <c r="AG74" s="1">
        <v>7.7</v>
      </c>
      <c r="AH74" s="1"/>
      <c r="AI74" s="1"/>
      <c r="AJ74" s="1"/>
      <c r="AK74" s="1"/>
      <c r="AL74" s="1"/>
      <c r="AM74" s="1"/>
      <c r="AN74" s="1"/>
      <c r="AO74" s="1"/>
      <c r="AP74" s="1"/>
      <c r="AQ74" s="1"/>
      <c r="AR74" s="1"/>
      <c r="AS74" s="1">
        <v>57</v>
      </c>
      <c r="AT74" s="1">
        <v>57</v>
      </c>
      <c r="AU74" s="1">
        <v>56.636363636363598</v>
      </c>
      <c r="AV74" s="1">
        <v>0</v>
      </c>
      <c r="AW74" s="1">
        <v>0.36363636363636698</v>
      </c>
      <c r="AX74" s="1">
        <v>7.6363636363636402</v>
      </c>
      <c r="AY74" s="1">
        <v>5.9090909090909198</v>
      </c>
      <c r="AZ74" s="1">
        <v>7.5702479338842998</v>
      </c>
      <c r="BA74" s="1"/>
      <c r="BB74" s="1"/>
      <c r="BC74" s="1"/>
      <c r="BD74" s="1"/>
      <c r="BE74" s="1"/>
      <c r="BF74" s="1"/>
      <c r="BG74" s="1"/>
      <c r="BH74" s="1"/>
    </row>
    <row r="75" spans="1:60" x14ac:dyDescent="0.2">
      <c r="A75" s="3">
        <v>73</v>
      </c>
      <c r="B75" s="3" t="s">
        <v>549</v>
      </c>
      <c r="C75" s="3" t="s">
        <v>550</v>
      </c>
      <c r="D75" s="1"/>
      <c r="E75" s="1">
        <f t="shared" si="6"/>
        <v>5.6170690812791157</v>
      </c>
      <c r="F75" s="1">
        <f t="shared" si="7"/>
        <v>3.7520661157024802</v>
      </c>
      <c r="G75" s="1">
        <f t="shared" si="8"/>
        <v>8.4090909090909207</v>
      </c>
      <c r="H75" s="1"/>
      <c r="I75" s="1">
        <v>4</v>
      </c>
      <c r="J75" s="1">
        <v>4</v>
      </c>
      <c r="K75" s="1">
        <v>5</v>
      </c>
      <c r="L75" s="1">
        <v>0</v>
      </c>
      <c r="M75" s="1">
        <v>0.9</v>
      </c>
      <c r="N75" s="1"/>
      <c r="O75" s="1">
        <v>3.6</v>
      </c>
      <c r="P75" s="1">
        <v>4.3333333333333304</v>
      </c>
      <c r="Q75" s="1">
        <v>1.5</v>
      </c>
      <c r="R75" s="1">
        <v>2.9166666666666701</v>
      </c>
      <c r="S75" s="1">
        <v>4.9530956848030003</v>
      </c>
      <c r="T75" s="1">
        <v>3.1</v>
      </c>
      <c r="U75" s="1">
        <v>2.7</v>
      </c>
      <c r="V75" s="1">
        <v>2.9</v>
      </c>
      <c r="W75" s="1">
        <v>-9.3000000000000007</v>
      </c>
      <c r="X75" s="1">
        <v>5.4</v>
      </c>
      <c r="Y75" s="1">
        <v>-12.2</v>
      </c>
      <c r="Z75" s="1" t="s">
        <v>414</v>
      </c>
      <c r="AA75" s="1" t="s">
        <v>1230</v>
      </c>
      <c r="AB75" s="1" t="s">
        <v>362</v>
      </c>
      <c r="AC75" s="1">
        <v>-11.9</v>
      </c>
      <c r="AD75" s="1">
        <v>10</v>
      </c>
      <c r="AE75" s="1">
        <v>10</v>
      </c>
      <c r="AF75" s="1">
        <v>9.06666666666667</v>
      </c>
      <c r="AG75" s="1">
        <v>9.3333333333333304</v>
      </c>
      <c r="AH75" s="1">
        <v>0</v>
      </c>
      <c r="AI75" s="1">
        <v>0</v>
      </c>
      <c r="AJ75" s="1">
        <v>0</v>
      </c>
      <c r="AK75" s="1">
        <v>0.5</v>
      </c>
      <c r="AL75" s="1">
        <v>0</v>
      </c>
      <c r="AM75" s="1">
        <v>1</v>
      </c>
      <c r="AN75" s="1">
        <v>0</v>
      </c>
      <c r="AO75" s="1">
        <v>0</v>
      </c>
      <c r="AP75" s="1">
        <v>0</v>
      </c>
      <c r="AQ75" s="1">
        <v>1.5</v>
      </c>
      <c r="AR75" s="1">
        <v>7.1428571428571397</v>
      </c>
      <c r="AS75" s="1">
        <v>37</v>
      </c>
      <c r="AT75" s="1">
        <v>37</v>
      </c>
      <c r="AU75" s="1">
        <v>35.636363636363598</v>
      </c>
      <c r="AV75" s="1">
        <v>0</v>
      </c>
      <c r="AW75" s="1">
        <v>1.36363636363637</v>
      </c>
      <c r="AX75" s="1">
        <v>4</v>
      </c>
      <c r="AY75" s="1">
        <v>8.4090909090909207</v>
      </c>
      <c r="AZ75" s="1">
        <v>3.7520661157024802</v>
      </c>
      <c r="BA75" s="1">
        <v>0.13400000000000001</v>
      </c>
      <c r="BB75" s="1">
        <v>6.7</v>
      </c>
      <c r="BC75" s="1"/>
      <c r="BD75" s="1"/>
      <c r="BE75" s="1"/>
      <c r="BF75" s="1"/>
      <c r="BG75" s="1"/>
      <c r="BH75" s="1"/>
    </row>
    <row r="76" spans="1:60" x14ac:dyDescent="0.2">
      <c r="A76" s="3">
        <v>74</v>
      </c>
      <c r="B76" s="3" t="s">
        <v>555</v>
      </c>
      <c r="C76" s="3" t="s">
        <v>556</v>
      </c>
      <c r="D76" s="1"/>
      <c r="E76" s="1">
        <f t="shared" si="6"/>
        <v>5.834236630001052</v>
      </c>
      <c r="F76" s="1">
        <f t="shared" si="7"/>
        <v>8.8099173553718995</v>
      </c>
      <c r="G76" s="1">
        <f t="shared" si="8"/>
        <v>3.86363636363637</v>
      </c>
      <c r="H76" s="1"/>
      <c r="I76" s="1"/>
      <c r="J76" s="1"/>
      <c r="K76" s="1">
        <v>4</v>
      </c>
      <c r="L76" s="1">
        <v>6</v>
      </c>
      <c r="M76" s="1">
        <v>0.9</v>
      </c>
      <c r="N76" s="1"/>
      <c r="O76" s="1">
        <v>2.8</v>
      </c>
      <c r="P76" s="1">
        <v>4</v>
      </c>
      <c r="Q76" s="1">
        <v>3.2333333333333298</v>
      </c>
      <c r="R76" s="1">
        <v>3.6166666666666698</v>
      </c>
      <c r="S76" s="1">
        <v>8.1050656660412805</v>
      </c>
      <c r="T76" s="1">
        <v>1.2</v>
      </c>
      <c r="U76" s="1">
        <v>1.5</v>
      </c>
      <c r="V76" s="1">
        <v>-0.9</v>
      </c>
      <c r="W76" s="1">
        <v>-3.5</v>
      </c>
      <c r="X76" s="1">
        <v>1</v>
      </c>
      <c r="Y76" s="1">
        <v>-2.6</v>
      </c>
      <c r="Z76" s="1" t="s">
        <v>1194</v>
      </c>
      <c r="AA76" s="1" t="s">
        <v>1173</v>
      </c>
      <c r="AB76" s="1" t="s">
        <v>1178</v>
      </c>
      <c r="AC76" s="1">
        <v>-2.8</v>
      </c>
      <c r="AD76" s="1">
        <v>5.2</v>
      </c>
      <c r="AE76" s="1">
        <v>5.6</v>
      </c>
      <c r="AF76" s="1">
        <v>7.2</v>
      </c>
      <c r="AG76" s="1">
        <v>7.6</v>
      </c>
      <c r="AH76" s="1"/>
      <c r="AI76" s="1"/>
      <c r="AJ76" s="1"/>
      <c r="AK76" s="1"/>
      <c r="AL76" s="1"/>
      <c r="AM76" s="1"/>
      <c r="AN76" s="1"/>
      <c r="AO76" s="1"/>
      <c r="AP76" s="1"/>
      <c r="AQ76" s="1"/>
      <c r="AR76" s="1"/>
      <c r="AS76" s="1">
        <v>63</v>
      </c>
      <c r="AT76" s="1">
        <v>63</v>
      </c>
      <c r="AU76" s="1">
        <v>63.454545454545503</v>
      </c>
      <c r="AV76" s="1">
        <v>0</v>
      </c>
      <c r="AW76" s="1">
        <v>-0.45454545454545298</v>
      </c>
      <c r="AX76" s="1">
        <v>8.7272727272727302</v>
      </c>
      <c r="AY76" s="1">
        <v>3.86363636363637</v>
      </c>
      <c r="AZ76" s="1">
        <v>8.8099173553718995</v>
      </c>
      <c r="BA76" s="1"/>
      <c r="BB76" s="1"/>
      <c r="BC76" s="1"/>
      <c r="BD76" s="1"/>
      <c r="BE76" s="1"/>
      <c r="BF76" s="1"/>
      <c r="BG76" s="1"/>
      <c r="BH76" s="1"/>
    </row>
    <row r="77" spans="1:60" x14ac:dyDescent="0.2">
      <c r="A77" s="3">
        <v>75</v>
      </c>
      <c r="B77" s="3" t="s">
        <v>562</v>
      </c>
      <c r="C77" s="3" t="s">
        <v>563</v>
      </c>
      <c r="D77" s="1"/>
      <c r="E77" s="1">
        <f t="shared" si="6"/>
        <v>2.6709050965095127</v>
      </c>
      <c r="F77" s="1">
        <f t="shared" si="7"/>
        <v>3.4876033057851199</v>
      </c>
      <c r="G77" s="1">
        <f t="shared" si="8"/>
        <v>2.0454545454545499</v>
      </c>
      <c r="H77" s="1"/>
      <c r="I77" s="1">
        <v>3</v>
      </c>
      <c r="J77" s="1">
        <v>3</v>
      </c>
      <c r="K77" s="1">
        <v>3</v>
      </c>
      <c r="L77" s="1">
        <v>0</v>
      </c>
      <c r="M77" s="1">
        <v>0.4</v>
      </c>
      <c r="N77" s="1"/>
      <c r="O77" s="1">
        <v>3.2</v>
      </c>
      <c r="P77" s="1">
        <v>3</v>
      </c>
      <c r="Q77" s="1">
        <v>1.2</v>
      </c>
      <c r="R77" s="1">
        <v>2.1</v>
      </c>
      <c r="S77" s="1">
        <v>1.2757973733583501</v>
      </c>
      <c r="T77" s="1">
        <v>4.3</v>
      </c>
      <c r="U77" s="1">
        <v>5.0999999999999996</v>
      </c>
      <c r="V77" s="1">
        <v>4.9000000000000004</v>
      </c>
      <c r="W77" s="1">
        <v>-5</v>
      </c>
      <c r="X77" s="1">
        <v>4.5</v>
      </c>
      <c r="Y77" s="1">
        <v>-9.9</v>
      </c>
      <c r="Z77" s="1" t="s">
        <v>362</v>
      </c>
      <c r="AA77" s="1" t="s">
        <v>1231</v>
      </c>
      <c r="AB77" s="1" t="s">
        <v>1166</v>
      </c>
      <c r="AC77" s="1">
        <v>-8</v>
      </c>
      <c r="AD77" s="1">
        <v>10</v>
      </c>
      <c r="AE77" s="1">
        <v>10</v>
      </c>
      <c r="AF77" s="1">
        <v>7.2666666666666702</v>
      </c>
      <c r="AG77" s="1">
        <v>7.4</v>
      </c>
      <c r="AH77" s="1">
        <v>0.5</v>
      </c>
      <c r="AI77" s="1">
        <v>0.5</v>
      </c>
      <c r="AJ77" s="1">
        <v>0</v>
      </c>
      <c r="AK77" s="1">
        <v>1</v>
      </c>
      <c r="AL77" s="1">
        <v>0</v>
      </c>
      <c r="AM77" s="1">
        <v>0</v>
      </c>
      <c r="AN77" s="1">
        <v>0</v>
      </c>
      <c r="AO77" s="1">
        <v>0</v>
      </c>
      <c r="AP77" s="1">
        <v>0</v>
      </c>
      <c r="AQ77" s="1">
        <v>2</v>
      </c>
      <c r="AR77" s="1">
        <v>9.5238095238095202</v>
      </c>
      <c r="AS77" s="1">
        <v>33</v>
      </c>
      <c r="AT77" s="1">
        <v>35</v>
      </c>
      <c r="AU77" s="1">
        <v>34.181818181818201</v>
      </c>
      <c r="AV77" s="1">
        <v>-2</v>
      </c>
      <c r="AW77" s="1">
        <v>-1.1818181818181801</v>
      </c>
      <c r="AX77" s="1">
        <v>3.2727272727272698</v>
      </c>
      <c r="AY77" s="1">
        <v>2.0454545454545499</v>
      </c>
      <c r="AZ77" s="1">
        <v>3.4876033057851199</v>
      </c>
      <c r="BA77" s="1">
        <v>3.0000000000000001E-3</v>
      </c>
      <c r="BB77" s="1">
        <v>0.15</v>
      </c>
      <c r="BC77" s="1"/>
      <c r="BD77" s="1"/>
      <c r="BE77" s="1"/>
      <c r="BF77" s="1"/>
      <c r="BG77" s="1"/>
      <c r="BH77" s="1"/>
    </row>
    <row r="78" spans="1:60" x14ac:dyDescent="0.2">
      <c r="A78" s="3">
        <v>76</v>
      </c>
      <c r="B78" s="3" t="s">
        <v>567</v>
      </c>
      <c r="C78" s="3" t="s">
        <v>568</v>
      </c>
      <c r="D78" s="1"/>
      <c r="E78" s="1">
        <f t="shared" si="6"/>
        <v>2.6326562704456915</v>
      </c>
      <c r="F78" s="1">
        <f t="shared" si="7"/>
        <v>6.0991735537190097</v>
      </c>
      <c r="G78" s="1">
        <f t="shared" si="8"/>
        <v>1.13636363636363</v>
      </c>
      <c r="H78" s="1"/>
      <c r="I78" s="1">
        <v>4</v>
      </c>
      <c r="J78" s="1">
        <v>4</v>
      </c>
      <c r="K78" s="1">
        <v>3</v>
      </c>
      <c r="L78" s="1">
        <v>0</v>
      </c>
      <c r="M78" s="1">
        <v>1</v>
      </c>
      <c r="N78" s="1">
        <v>0</v>
      </c>
      <c r="O78" s="1">
        <v>2.8</v>
      </c>
      <c r="P78" s="1">
        <v>3.6666666666666701</v>
      </c>
      <c r="Q78" s="1">
        <v>0.95</v>
      </c>
      <c r="R78" s="1">
        <v>2.30833333333333</v>
      </c>
      <c r="S78" s="1">
        <v>2.2138836772983099</v>
      </c>
      <c r="T78" s="1">
        <v>5.0999999999999996</v>
      </c>
      <c r="U78" s="1">
        <v>5.2</v>
      </c>
      <c r="V78" s="1">
        <v>5</v>
      </c>
      <c r="W78" s="1">
        <v>0</v>
      </c>
      <c r="X78" s="1">
        <v>4.8</v>
      </c>
      <c r="Y78" s="1">
        <v>-5</v>
      </c>
      <c r="Z78" s="1" t="s">
        <v>1232</v>
      </c>
      <c r="AA78" s="1" t="s">
        <v>854</v>
      </c>
      <c r="AB78" s="1" t="s">
        <v>1233</v>
      </c>
      <c r="AC78" s="1">
        <v>-4.5</v>
      </c>
      <c r="AD78" s="1">
        <v>10</v>
      </c>
      <c r="AE78" s="1">
        <v>9</v>
      </c>
      <c r="AF78" s="1">
        <v>4.8</v>
      </c>
      <c r="AG78" s="1">
        <v>4.3319999999999999</v>
      </c>
      <c r="AH78" s="1">
        <v>0</v>
      </c>
      <c r="AI78" s="1">
        <v>0.5</v>
      </c>
      <c r="AJ78" s="1">
        <v>0</v>
      </c>
      <c r="AK78" s="1">
        <v>0</v>
      </c>
      <c r="AL78" s="1">
        <v>0.5</v>
      </c>
      <c r="AM78" s="1">
        <v>0</v>
      </c>
      <c r="AN78" s="1">
        <v>0.5</v>
      </c>
      <c r="AO78" s="1">
        <v>0.5</v>
      </c>
      <c r="AP78" s="1">
        <v>0.5</v>
      </c>
      <c r="AQ78" s="1">
        <v>1</v>
      </c>
      <c r="AR78" s="1">
        <v>4.7619047619047601</v>
      </c>
      <c r="AS78" s="1">
        <v>47</v>
      </c>
      <c r="AT78" s="1">
        <v>47</v>
      </c>
      <c r="AU78" s="1">
        <v>48.545454545454497</v>
      </c>
      <c r="AV78" s="1">
        <v>0</v>
      </c>
      <c r="AW78" s="1">
        <v>-1.5454545454545501</v>
      </c>
      <c r="AX78" s="1">
        <v>5.8181818181818201</v>
      </c>
      <c r="AY78" s="1">
        <v>1.13636363636363</v>
      </c>
      <c r="AZ78" s="1">
        <v>6.0991735537190097</v>
      </c>
      <c r="BA78" s="1">
        <v>0.107</v>
      </c>
      <c r="BB78" s="1">
        <v>5.35</v>
      </c>
      <c r="BC78" s="1"/>
      <c r="BD78" s="1"/>
      <c r="BE78" s="1"/>
      <c r="BF78" s="1"/>
      <c r="BG78" s="1"/>
      <c r="BH78" s="1"/>
    </row>
    <row r="79" spans="1:60" x14ac:dyDescent="0.2">
      <c r="A79" s="3">
        <v>77</v>
      </c>
      <c r="B79" s="3" t="s">
        <v>571</v>
      </c>
      <c r="C79" s="3" t="s">
        <v>572</v>
      </c>
      <c r="D79" s="1"/>
      <c r="E79" s="1">
        <f t="shared" si="6"/>
        <v>6.0991735537190097</v>
      </c>
      <c r="F79" s="1">
        <f t="shared" si="7"/>
        <v>6.0991735537190097</v>
      </c>
      <c r="G79" s="1">
        <f t="shared" si="8"/>
        <v>0</v>
      </c>
      <c r="H79" s="1"/>
      <c r="I79" s="1">
        <v>6</v>
      </c>
      <c r="J79" s="1">
        <v>0</v>
      </c>
      <c r="K79" s="1">
        <v>3</v>
      </c>
      <c r="L79" s="1">
        <v>0</v>
      </c>
      <c r="M79" s="1">
        <v>1.2</v>
      </c>
      <c r="N79" s="1">
        <v>0</v>
      </c>
      <c r="O79" s="1">
        <v>2.6</v>
      </c>
      <c r="P79" s="1">
        <v>3</v>
      </c>
      <c r="Q79" s="1">
        <v>0.95</v>
      </c>
      <c r="R79" s="1">
        <v>1.9750000000000001</v>
      </c>
      <c r="S79" s="1">
        <v>0.71294559099437105</v>
      </c>
      <c r="T79" s="1">
        <v>7</v>
      </c>
      <c r="U79" s="1">
        <v>6.1</v>
      </c>
      <c r="V79" s="1">
        <v>4.2</v>
      </c>
      <c r="W79" s="1">
        <v>-3.2</v>
      </c>
      <c r="X79" s="1">
        <v>3.1</v>
      </c>
      <c r="Y79" s="1">
        <v>-7.4</v>
      </c>
      <c r="Z79" s="1" t="s">
        <v>1166</v>
      </c>
      <c r="AA79" s="1" t="s">
        <v>354</v>
      </c>
      <c r="AB79" s="1" t="s">
        <v>925</v>
      </c>
      <c r="AC79" s="1">
        <v>-2.2999999999999998</v>
      </c>
      <c r="AD79" s="1">
        <v>10</v>
      </c>
      <c r="AE79" s="1">
        <v>4.5999999999999996</v>
      </c>
      <c r="AF79" s="1">
        <v>9.7333333333333307</v>
      </c>
      <c r="AG79" s="1">
        <v>10</v>
      </c>
      <c r="AH79" s="1">
        <v>0</v>
      </c>
      <c r="AI79" s="1">
        <v>0.5</v>
      </c>
      <c r="AJ79" s="1">
        <v>1</v>
      </c>
      <c r="AK79" s="1">
        <v>1</v>
      </c>
      <c r="AL79" s="1">
        <v>0</v>
      </c>
      <c r="AM79" s="1">
        <v>0.5</v>
      </c>
      <c r="AN79" s="1">
        <v>0</v>
      </c>
      <c r="AO79" s="1">
        <v>0</v>
      </c>
      <c r="AP79" s="1">
        <v>0</v>
      </c>
      <c r="AQ79" s="1">
        <v>3</v>
      </c>
      <c r="AR79" s="1">
        <v>10</v>
      </c>
      <c r="AS79" s="1">
        <v>46</v>
      </c>
      <c r="AT79" s="1">
        <v>46</v>
      </c>
      <c r="AU79" s="1">
        <v>48.545454545454497</v>
      </c>
      <c r="AV79" s="1">
        <v>0</v>
      </c>
      <c r="AW79" s="1">
        <v>-2.5454545454545499</v>
      </c>
      <c r="AX79" s="1">
        <v>5.6363636363636402</v>
      </c>
      <c r="AY79" s="1">
        <v>0</v>
      </c>
      <c r="AZ79" s="1">
        <v>6.0991735537190097</v>
      </c>
      <c r="BA79" s="1">
        <v>0.27900000000000003</v>
      </c>
      <c r="BB79" s="1">
        <v>10</v>
      </c>
      <c r="BC79" s="1"/>
      <c r="BD79" s="1"/>
      <c r="BE79" s="1"/>
      <c r="BF79" s="1"/>
      <c r="BG79" s="1"/>
      <c r="BH79" s="1"/>
    </row>
    <row r="80" spans="1:60" x14ac:dyDescent="0.2">
      <c r="A80" s="3">
        <v>78</v>
      </c>
      <c r="B80" s="3" t="s">
        <v>577</v>
      </c>
      <c r="C80" s="3" t="s">
        <v>578</v>
      </c>
      <c r="D80" s="1"/>
      <c r="E80" s="1">
        <f t="shared" si="6"/>
        <v>2.1764741716097773</v>
      </c>
      <c r="F80" s="1">
        <f t="shared" si="7"/>
        <v>1.60330578512397</v>
      </c>
      <c r="G80" s="1">
        <f t="shared" si="8"/>
        <v>2.9545454545454599</v>
      </c>
      <c r="H80" s="1"/>
      <c r="I80" s="1">
        <v>3</v>
      </c>
      <c r="J80" s="1">
        <v>3</v>
      </c>
      <c r="K80" s="1">
        <v>3</v>
      </c>
      <c r="L80" s="1">
        <v>0</v>
      </c>
      <c r="M80" s="1">
        <v>0</v>
      </c>
      <c r="N80" s="1"/>
      <c r="O80" s="1">
        <v>2.2999999999999998</v>
      </c>
      <c r="P80" s="1">
        <v>3</v>
      </c>
      <c r="Q80" s="1">
        <v>0.76666666666666705</v>
      </c>
      <c r="R80" s="1">
        <v>1.88333333333333</v>
      </c>
      <c r="S80" s="1">
        <v>0.30018761726078602</v>
      </c>
      <c r="T80" s="1"/>
      <c r="U80" s="1"/>
      <c r="V80" s="1"/>
      <c r="W80" s="1"/>
      <c r="X80" s="1"/>
      <c r="Y80" s="1"/>
      <c r="Z80" s="1" t="s">
        <v>1200</v>
      </c>
      <c r="AA80" s="1" t="s">
        <v>1234</v>
      </c>
      <c r="AB80" s="1" t="s">
        <v>1229</v>
      </c>
      <c r="AC80" s="1">
        <v>-12.3</v>
      </c>
      <c r="AD80" s="1"/>
      <c r="AE80" s="1">
        <v>10</v>
      </c>
      <c r="AF80" s="1"/>
      <c r="AG80" s="1">
        <v>5.3360000000000003</v>
      </c>
      <c r="AH80" s="1"/>
      <c r="AI80" s="1"/>
      <c r="AJ80" s="1"/>
      <c r="AK80" s="1"/>
      <c r="AL80" s="1"/>
      <c r="AM80" s="1"/>
      <c r="AN80" s="1"/>
      <c r="AO80" s="1"/>
      <c r="AP80" s="1"/>
      <c r="AQ80" s="1"/>
      <c r="AR80" s="1"/>
      <c r="AS80" s="1">
        <v>23</v>
      </c>
      <c r="AT80" s="1">
        <v>24</v>
      </c>
      <c r="AU80" s="1">
        <v>23.818181818181799</v>
      </c>
      <c r="AV80" s="1">
        <v>-1</v>
      </c>
      <c r="AW80" s="1">
        <v>-0.81818181818181701</v>
      </c>
      <c r="AX80" s="1">
        <v>1.4545454545454599</v>
      </c>
      <c r="AY80" s="1">
        <v>2.9545454545454599</v>
      </c>
      <c r="AZ80" s="1">
        <v>1.60330578512397</v>
      </c>
      <c r="BA80" s="1"/>
      <c r="BB80" s="1"/>
      <c r="BC80" s="1"/>
      <c r="BD80" s="1"/>
      <c r="BE80" s="1"/>
      <c r="BF80" s="1"/>
      <c r="BG80" s="1"/>
      <c r="BH80" s="1"/>
    </row>
    <row r="81" spans="1:60" x14ac:dyDescent="0.2">
      <c r="A81" s="3">
        <v>79</v>
      </c>
      <c r="B81" s="3" t="s">
        <v>581</v>
      </c>
      <c r="C81" s="3" t="s">
        <v>582</v>
      </c>
      <c r="D81" s="1"/>
      <c r="E81" s="1">
        <f t="shared" si="6"/>
        <v>10</v>
      </c>
      <c r="F81" s="1">
        <f t="shared" si="7"/>
        <v>10</v>
      </c>
      <c r="G81" s="1">
        <f t="shared" si="8"/>
        <v>10</v>
      </c>
      <c r="H81" s="1"/>
      <c r="I81" s="1"/>
      <c r="J81" s="1"/>
      <c r="K81" s="1">
        <v>3</v>
      </c>
      <c r="L81" s="1">
        <v>0</v>
      </c>
      <c r="M81" s="1"/>
      <c r="N81" s="1"/>
      <c r="O81" s="1"/>
      <c r="P81" s="1">
        <v>3</v>
      </c>
      <c r="Q81" s="1">
        <v>0</v>
      </c>
      <c r="R81" s="1">
        <v>1.5</v>
      </c>
      <c r="S81" s="1">
        <v>0</v>
      </c>
      <c r="T81" s="1">
        <v>3.8</v>
      </c>
      <c r="U81" s="1">
        <v>-4.7</v>
      </c>
      <c r="V81" s="1">
        <v>-8.1999999999999993</v>
      </c>
      <c r="W81" s="1">
        <v>-5.3</v>
      </c>
      <c r="X81" s="1">
        <v>2.1</v>
      </c>
      <c r="Y81" s="1">
        <v>2.9</v>
      </c>
      <c r="Z81" s="1" t="s">
        <v>1185</v>
      </c>
      <c r="AA81" s="1" t="s">
        <v>1179</v>
      </c>
      <c r="AB81" s="1" t="s">
        <v>1199</v>
      </c>
      <c r="AC81" s="1">
        <v>1.6</v>
      </c>
      <c r="AD81" s="1">
        <v>0</v>
      </c>
      <c r="AE81" s="1">
        <v>0</v>
      </c>
      <c r="AF81" s="1">
        <v>7</v>
      </c>
      <c r="AG81" s="1">
        <v>6.66</v>
      </c>
      <c r="AH81" s="1"/>
      <c r="AI81" s="1"/>
      <c r="AJ81" s="1"/>
      <c r="AK81" s="1"/>
      <c r="AL81" s="1"/>
      <c r="AM81" s="1"/>
      <c r="AN81" s="1"/>
      <c r="AO81" s="1"/>
      <c r="AP81" s="1"/>
      <c r="AQ81" s="1"/>
      <c r="AR81" s="1"/>
      <c r="AS81" s="1">
        <v>72</v>
      </c>
      <c r="AT81" s="1">
        <v>72</v>
      </c>
      <c r="AU81" s="1">
        <v>70</v>
      </c>
      <c r="AV81" s="1">
        <v>0</v>
      </c>
      <c r="AW81" s="1">
        <v>2</v>
      </c>
      <c r="AX81" s="1">
        <v>10</v>
      </c>
      <c r="AY81" s="1">
        <v>10</v>
      </c>
      <c r="AZ81" s="1">
        <v>10</v>
      </c>
      <c r="BA81" s="1"/>
      <c r="BB81" s="1"/>
      <c r="BC81" s="1"/>
      <c r="BD81" s="1"/>
      <c r="BE81" s="1"/>
      <c r="BF81" s="1"/>
      <c r="BG81" s="1"/>
      <c r="BH81" s="1"/>
    </row>
    <row r="82" spans="1:60" x14ac:dyDescent="0.2">
      <c r="A82" s="3">
        <v>80</v>
      </c>
      <c r="B82" s="3" t="s">
        <v>588</v>
      </c>
      <c r="C82" s="3" t="s">
        <v>589</v>
      </c>
      <c r="D82" s="1"/>
      <c r="E82" s="1">
        <f t="shared" si="6"/>
        <v>6.215815605080615</v>
      </c>
      <c r="F82" s="1">
        <f t="shared" si="7"/>
        <v>10</v>
      </c>
      <c r="G82" s="1">
        <f t="shared" si="8"/>
        <v>3.86363636363637</v>
      </c>
      <c r="H82" s="1"/>
      <c r="I82" s="1"/>
      <c r="J82" s="1"/>
      <c r="K82" s="1">
        <v>3</v>
      </c>
      <c r="L82" s="1">
        <v>0</v>
      </c>
      <c r="M82" s="1">
        <v>1.7</v>
      </c>
      <c r="N82" s="1"/>
      <c r="O82" s="1">
        <v>4.5999999999999996</v>
      </c>
      <c r="P82" s="1">
        <v>3</v>
      </c>
      <c r="Q82" s="1">
        <v>2.1</v>
      </c>
      <c r="R82" s="1">
        <v>2.5499999999999998</v>
      </c>
      <c r="S82" s="1">
        <v>3.30206378986867</v>
      </c>
      <c r="T82" s="1">
        <v>-2.5</v>
      </c>
      <c r="U82" s="1">
        <v>-0.6</v>
      </c>
      <c r="V82" s="1">
        <v>4.4000000000000004</v>
      </c>
      <c r="W82" s="1">
        <v>-9.6999999999999993</v>
      </c>
      <c r="X82" s="1">
        <v>1.9</v>
      </c>
      <c r="Y82" s="1">
        <v>-14.1</v>
      </c>
      <c r="Z82" s="1" t="s">
        <v>1186</v>
      </c>
      <c r="AA82" s="1" t="s">
        <v>1209</v>
      </c>
      <c r="AB82" s="1" t="s">
        <v>1235</v>
      </c>
      <c r="AC82" s="1">
        <v>-8.6</v>
      </c>
      <c r="AD82" s="1">
        <v>10</v>
      </c>
      <c r="AE82" s="1">
        <v>10</v>
      </c>
      <c r="AF82" s="1">
        <v>9.6666666666666696</v>
      </c>
      <c r="AG82" s="1">
        <v>10</v>
      </c>
      <c r="AH82" s="1"/>
      <c r="AI82" s="1"/>
      <c r="AJ82" s="1"/>
      <c r="AK82" s="1"/>
      <c r="AL82" s="1"/>
      <c r="AM82" s="1"/>
      <c r="AN82" s="1"/>
      <c r="AO82" s="1"/>
      <c r="AP82" s="1"/>
      <c r="AQ82" s="1"/>
      <c r="AR82" s="1"/>
      <c r="AS82" s="1">
        <v>75</v>
      </c>
      <c r="AT82" s="1">
        <v>76</v>
      </c>
      <c r="AU82" s="1">
        <v>75.454545454545496</v>
      </c>
      <c r="AV82" s="1">
        <v>-1</v>
      </c>
      <c r="AW82" s="1">
        <v>-0.45454545454545298</v>
      </c>
      <c r="AX82" s="1">
        <v>10</v>
      </c>
      <c r="AY82" s="1">
        <v>3.86363636363637</v>
      </c>
      <c r="AZ82" s="1">
        <v>10</v>
      </c>
      <c r="BA82" s="1"/>
      <c r="BB82" s="1"/>
      <c r="BC82" s="1"/>
      <c r="BD82" s="1"/>
      <c r="BE82" s="1"/>
      <c r="BF82" s="1"/>
      <c r="BG82" s="1"/>
      <c r="BH82" s="1"/>
    </row>
    <row r="83" spans="1:60" x14ac:dyDescent="0.2">
      <c r="A83" s="3">
        <v>81</v>
      </c>
      <c r="B83" s="3" t="s">
        <v>593</v>
      </c>
      <c r="C83" s="3" t="s">
        <v>594</v>
      </c>
      <c r="D83" s="1"/>
      <c r="E83" s="1">
        <f t="shared" si="6"/>
        <v>2.0420081158026191</v>
      </c>
      <c r="F83" s="1">
        <f t="shared" si="7"/>
        <v>1.8347107438016499</v>
      </c>
      <c r="G83" s="1">
        <f t="shared" si="8"/>
        <v>2.27272727272728</v>
      </c>
      <c r="H83" s="1"/>
      <c r="I83" s="1">
        <v>4</v>
      </c>
      <c r="J83" s="1">
        <v>3</v>
      </c>
      <c r="K83" s="1">
        <v>6</v>
      </c>
      <c r="L83" s="1">
        <v>0</v>
      </c>
      <c r="M83" s="1">
        <v>1.3</v>
      </c>
      <c r="N83" s="1"/>
      <c r="O83" s="1">
        <v>3.5</v>
      </c>
      <c r="P83" s="1">
        <v>4.3333333333333304</v>
      </c>
      <c r="Q83" s="1">
        <v>1.6</v>
      </c>
      <c r="R83" s="1">
        <v>2.9666666666666699</v>
      </c>
      <c r="S83" s="1">
        <v>5.1782363977485897</v>
      </c>
      <c r="T83" s="1"/>
      <c r="U83" s="1"/>
      <c r="V83" s="1"/>
      <c r="W83" s="1"/>
      <c r="X83" s="1"/>
      <c r="Y83" s="1"/>
      <c r="Z83" s="1" t="s">
        <v>354</v>
      </c>
      <c r="AA83" s="1" t="s">
        <v>1223</v>
      </c>
      <c r="AB83" s="1" t="s">
        <v>1005</v>
      </c>
      <c r="AC83" s="1">
        <v>-9.1</v>
      </c>
      <c r="AD83" s="1"/>
      <c r="AE83" s="1">
        <v>10</v>
      </c>
      <c r="AF83" s="1"/>
      <c r="AG83" s="1">
        <v>8.1026666666666696</v>
      </c>
      <c r="AH83" s="1"/>
      <c r="AI83" s="1"/>
      <c r="AJ83" s="1"/>
      <c r="AK83" s="1"/>
      <c r="AL83" s="1"/>
      <c r="AM83" s="1"/>
      <c r="AN83" s="1"/>
      <c r="AO83" s="1"/>
      <c r="AP83" s="1"/>
      <c r="AQ83" s="1"/>
      <c r="AR83" s="1"/>
      <c r="AS83" s="1">
        <v>24</v>
      </c>
      <c r="AT83" s="1">
        <v>26</v>
      </c>
      <c r="AU83" s="1">
        <v>25.090909090909101</v>
      </c>
      <c r="AV83" s="1">
        <v>-2</v>
      </c>
      <c r="AW83" s="1">
        <v>-1.0909090909090899</v>
      </c>
      <c r="AX83" s="1">
        <v>1.63636363636364</v>
      </c>
      <c r="AY83" s="1">
        <v>2.27272727272728</v>
      </c>
      <c r="AZ83" s="1">
        <v>1.8347107438016499</v>
      </c>
      <c r="BA83" s="1"/>
      <c r="BB83" s="1"/>
      <c r="BC83" s="1"/>
      <c r="BD83" s="1"/>
      <c r="BE83" s="1"/>
      <c r="BF83" s="1"/>
      <c r="BG83" s="1"/>
      <c r="BH83" s="1"/>
    </row>
    <row r="84" spans="1:60" x14ac:dyDescent="0.2">
      <c r="A84" s="3">
        <v>82</v>
      </c>
      <c r="B84" s="3" t="s">
        <v>598</v>
      </c>
      <c r="C84" s="3" t="s">
        <v>599</v>
      </c>
      <c r="D84" s="1"/>
      <c r="E84" s="1">
        <f t="shared" si="6"/>
        <v>2.657509948894798</v>
      </c>
      <c r="F84" s="1">
        <f t="shared" si="7"/>
        <v>3.1074380165289299</v>
      </c>
      <c r="G84" s="1">
        <f t="shared" si="8"/>
        <v>2.2727272727272698</v>
      </c>
      <c r="H84" s="1"/>
      <c r="I84" s="1">
        <v>4</v>
      </c>
      <c r="J84" s="1">
        <v>3</v>
      </c>
      <c r="K84" s="1">
        <v>3</v>
      </c>
      <c r="L84" s="1">
        <v>0</v>
      </c>
      <c r="M84" s="1">
        <v>1.6</v>
      </c>
      <c r="N84" s="1"/>
      <c r="O84" s="1">
        <v>3.3</v>
      </c>
      <c r="P84" s="1">
        <v>3.3333333333333299</v>
      </c>
      <c r="Q84" s="1">
        <v>1.63333333333333</v>
      </c>
      <c r="R84" s="1">
        <v>2.4833333333333298</v>
      </c>
      <c r="S84" s="1">
        <v>3.0018761726078802</v>
      </c>
      <c r="T84" s="1"/>
      <c r="U84" s="1"/>
      <c r="V84" s="1"/>
      <c r="W84" s="1"/>
      <c r="X84" s="1"/>
      <c r="Y84" s="1"/>
      <c r="Z84" s="1" t="s">
        <v>1177</v>
      </c>
      <c r="AA84" s="1" t="s">
        <v>1215</v>
      </c>
      <c r="AB84" s="1" t="s">
        <v>1232</v>
      </c>
      <c r="AC84" s="1">
        <v>-9.8000000000000007</v>
      </c>
      <c r="AD84" s="1"/>
      <c r="AE84" s="1">
        <v>10</v>
      </c>
      <c r="AF84" s="1"/>
      <c r="AG84" s="1">
        <v>7.2566666666666704</v>
      </c>
      <c r="AH84" s="1"/>
      <c r="AI84" s="1"/>
      <c r="AJ84" s="1"/>
      <c r="AK84" s="1"/>
      <c r="AL84" s="1"/>
      <c r="AM84" s="1"/>
      <c r="AN84" s="1"/>
      <c r="AO84" s="1"/>
      <c r="AP84" s="1"/>
      <c r="AQ84" s="1"/>
      <c r="AR84" s="1"/>
      <c r="AS84" s="1">
        <v>31</v>
      </c>
      <c r="AT84" s="1">
        <v>31</v>
      </c>
      <c r="AU84" s="1">
        <v>32.090909090909101</v>
      </c>
      <c r="AV84" s="1">
        <v>0</v>
      </c>
      <c r="AW84" s="1">
        <v>-1.0909090909090899</v>
      </c>
      <c r="AX84" s="1">
        <v>2.9090909090909101</v>
      </c>
      <c r="AY84" s="1">
        <v>2.2727272727272698</v>
      </c>
      <c r="AZ84" s="1">
        <v>3.1074380165289299</v>
      </c>
      <c r="BA84" s="1">
        <v>0.13900000000000001</v>
      </c>
      <c r="BB84" s="1">
        <v>6.95</v>
      </c>
      <c r="BC84" s="1"/>
      <c r="BD84" s="1"/>
      <c r="BE84" s="1"/>
      <c r="BF84" s="1"/>
      <c r="BG84" s="1"/>
      <c r="BH84" s="1"/>
    </row>
    <row r="85" spans="1:60" x14ac:dyDescent="0.2">
      <c r="A85" s="3">
        <v>83</v>
      </c>
      <c r="B85" s="3" t="s">
        <v>605</v>
      </c>
      <c r="C85" s="3" t="s">
        <v>606</v>
      </c>
      <c r="D85" s="1"/>
      <c r="E85" s="1">
        <f t="shared" si="6"/>
        <v>3.5764695560495694</v>
      </c>
      <c r="F85" s="1">
        <f t="shared" si="7"/>
        <v>3.7520661157024802</v>
      </c>
      <c r="G85" s="1">
        <f t="shared" si="8"/>
        <v>3.4090909090909198</v>
      </c>
      <c r="H85" s="1"/>
      <c r="I85" s="1">
        <v>4</v>
      </c>
      <c r="J85" s="1">
        <v>3</v>
      </c>
      <c r="K85" s="1">
        <v>4</v>
      </c>
      <c r="L85" s="1">
        <v>0</v>
      </c>
      <c r="M85" s="1">
        <v>0.4</v>
      </c>
      <c r="N85" s="1"/>
      <c r="O85" s="1">
        <v>3.8</v>
      </c>
      <c r="P85" s="1">
        <v>3.6666666666666701</v>
      </c>
      <c r="Q85" s="1">
        <v>1.4</v>
      </c>
      <c r="R85" s="1">
        <v>2.5333333333333301</v>
      </c>
      <c r="S85" s="1">
        <v>3.22701688555347</v>
      </c>
      <c r="T85" s="1"/>
      <c r="U85" s="1"/>
      <c r="V85" s="1"/>
      <c r="W85" s="1"/>
      <c r="X85" s="1"/>
      <c r="Y85" s="1"/>
      <c r="Z85" s="1" t="s">
        <v>172</v>
      </c>
      <c r="AA85" s="1" t="s">
        <v>1236</v>
      </c>
      <c r="AB85" s="1" t="s">
        <v>1158</v>
      </c>
      <c r="AC85" s="1">
        <v>-9.4</v>
      </c>
      <c r="AD85" s="1"/>
      <c r="AE85" s="1">
        <v>10</v>
      </c>
      <c r="AF85" s="1"/>
      <c r="AG85" s="1">
        <v>10</v>
      </c>
      <c r="AH85" s="1"/>
      <c r="AI85" s="1"/>
      <c r="AJ85" s="1"/>
      <c r="AK85" s="1"/>
      <c r="AL85" s="1"/>
      <c r="AM85" s="1"/>
      <c r="AN85" s="1"/>
      <c r="AO85" s="1"/>
      <c r="AP85" s="1"/>
      <c r="AQ85" s="1"/>
      <c r="AR85" s="1"/>
      <c r="AS85" s="1">
        <v>35</v>
      </c>
      <c r="AT85" s="1">
        <v>35</v>
      </c>
      <c r="AU85" s="1">
        <v>35.636363636363598</v>
      </c>
      <c r="AV85" s="1">
        <v>0</v>
      </c>
      <c r="AW85" s="1">
        <v>-0.63636363636363302</v>
      </c>
      <c r="AX85" s="1">
        <v>3.6363636363636398</v>
      </c>
      <c r="AY85" s="1">
        <v>3.4090909090909198</v>
      </c>
      <c r="AZ85" s="1">
        <v>3.7520661157024802</v>
      </c>
      <c r="BA85" s="1"/>
      <c r="BB85" s="1"/>
      <c r="BC85" s="1"/>
      <c r="BD85" s="1"/>
      <c r="BE85" s="1"/>
      <c r="BF85" s="1"/>
      <c r="BG85" s="1"/>
      <c r="BH85" s="1"/>
    </row>
    <row r="86" spans="1:60" x14ac:dyDescent="0.2">
      <c r="A86" s="3">
        <v>84</v>
      </c>
      <c r="B86" s="3" t="s">
        <v>609</v>
      </c>
      <c r="C86" s="3" t="s">
        <v>610</v>
      </c>
      <c r="D86" s="1"/>
      <c r="E86" s="1">
        <f t="shared" si="6"/>
        <v>5.1239669421487601</v>
      </c>
      <c r="F86" s="1">
        <f t="shared" si="7"/>
        <v>5.1239669421487601</v>
      </c>
      <c r="G86" s="1">
        <f t="shared" si="8"/>
        <v>0</v>
      </c>
      <c r="H86" s="1"/>
      <c r="I86" s="1"/>
      <c r="J86" s="1"/>
      <c r="K86" s="1">
        <v>6</v>
      </c>
      <c r="L86" s="1">
        <v>4</v>
      </c>
      <c r="M86" s="1">
        <v>0.8</v>
      </c>
      <c r="N86" s="1">
        <v>0</v>
      </c>
      <c r="O86" s="1">
        <v>3.7</v>
      </c>
      <c r="P86" s="1">
        <v>6</v>
      </c>
      <c r="Q86" s="1">
        <v>2.125</v>
      </c>
      <c r="R86" s="1">
        <v>4.0625</v>
      </c>
      <c r="S86" s="1">
        <v>10</v>
      </c>
      <c r="T86" s="1">
        <v>1</v>
      </c>
      <c r="U86" s="1">
        <v>1.9</v>
      </c>
      <c r="V86" s="1">
        <v>0.7</v>
      </c>
      <c r="W86" s="1">
        <v>-6.2</v>
      </c>
      <c r="X86" s="1">
        <v>2.7</v>
      </c>
      <c r="Y86" s="1">
        <v>-6.9</v>
      </c>
      <c r="Z86" s="1" t="s">
        <v>121</v>
      </c>
      <c r="AA86" s="1" t="s">
        <v>1237</v>
      </c>
      <c r="AB86" s="1" t="s">
        <v>1177</v>
      </c>
      <c r="AC86" s="1">
        <v>-6.6</v>
      </c>
      <c r="AD86" s="1">
        <v>10</v>
      </c>
      <c r="AE86" s="1">
        <v>10</v>
      </c>
      <c r="AF86" s="1">
        <v>9.3333333333333304</v>
      </c>
      <c r="AG86" s="1">
        <v>9.0426666666666708</v>
      </c>
      <c r="AH86" s="1"/>
      <c r="AI86" s="1"/>
      <c r="AJ86" s="1"/>
      <c r="AK86" s="1"/>
      <c r="AL86" s="1"/>
      <c r="AM86" s="1"/>
      <c r="AN86" s="1"/>
      <c r="AO86" s="1"/>
      <c r="AP86" s="1"/>
      <c r="AQ86" s="1"/>
      <c r="AR86" s="1"/>
      <c r="AS86" s="1">
        <v>40</v>
      </c>
      <c r="AT86" s="1">
        <v>44</v>
      </c>
      <c r="AU86" s="1">
        <v>43.181818181818201</v>
      </c>
      <c r="AV86" s="1">
        <v>-4</v>
      </c>
      <c r="AW86" s="1">
        <v>-3.1818181818181799</v>
      </c>
      <c r="AX86" s="1">
        <v>4.5454545454545503</v>
      </c>
      <c r="AY86" s="1">
        <v>0</v>
      </c>
      <c r="AZ86" s="1">
        <v>5.1239669421487601</v>
      </c>
      <c r="BA86" s="1">
        <v>3.7999999999999999E-2</v>
      </c>
      <c r="BB86" s="1">
        <v>1.9</v>
      </c>
      <c r="BC86" s="1"/>
      <c r="BD86" s="1"/>
      <c r="BE86" s="1"/>
      <c r="BF86" s="1"/>
      <c r="BG86" s="1"/>
      <c r="BH86" s="1"/>
    </row>
    <row r="87" spans="1:60" x14ac:dyDescent="0.2">
      <c r="A87" s="3">
        <v>85</v>
      </c>
      <c r="B87" s="3" t="s">
        <v>614</v>
      </c>
      <c r="C87" s="3" t="s">
        <v>615</v>
      </c>
      <c r="D87" s="1"/>
      <c r="E87" s="1">
        <f t="shared" si="6"/>
        <v>5.830049879099434</v>
      </c>
      <c r="F87" s="1">
        <f t="shared" si="7"/>
        <v>5.1570247933884303</v>
      </c>
      <c r="G87" s="1">
        <f t="shared" si="8"/>
        <v>6.5909090909090802</v>
      </c>
      <c r="H87" s="1"/>
      <c r="I87" s="1">
        <v>5</v>
      </c>
      <c r="J87" s="1">
        <v>4</v>
      </c>
      <c r="K87" s="1">
        <v>5</v>
      </c>
      <c r="L87" s="1">
        <v>4</v>
      </c>
      <c r="M87" s="1">
        <v>1.2</v>
      </c>
      <c r="N87" s="1">
        <v>5</v>
      </c>
      <c r="O87" s="1">
        <v>4.8</v>
      </c>
      <c r="P87" s="1">
        <v>4.6666666666666696</v>
      </c>
      <c r="Q87" s="1">
        <v>3.75</v>
      </c>
      <c r="R87" s="1">
        <v>4.2083333333333304</v>
      </c>
      <c r="S87" s="1">
        <v>10</v>
      </c>
      <c r="T87" s="1">
        <v>2.1</v>
      </c>
      <c r="U87" s="1">
        <v>1.9</v>
      </c>
      <c r="V87" s="1">
        <v>2</v>
      </c>
      <c r="W87" s="1">
        <v>-3.5</v>
      </c>
      <c r="X87" s="1">
        <v>2</v>
      </c>
      <c r="Y87" s="1">
        <v>-5.5</v>
      </c>
      <c r="Z87" s="1" t="s">
        <v>147</v>
      </c>
      <c r="AA87" s="1" t="s">
        <v>1238</v>
      </c>
      <c r="AB87" s="1" t="s">
        <v>1193</v>
      </c>
      <c r="AC87" s="1">
        <v>-5.7</v>
      </c>
      <c r="AD87" s="1">
        <v>10</v>
      </c>
      <c r="AE87" s="1">
        <v>10</v>
      </c>
      <c r="AF87" s="1">
        <v>6.4</v>
      </c>
      <c r="AG87" s="1">
        <v>6.66733333333333</v>
      </c>
      <c r="AH87" s="1">
        <v>0</v>
      </c>
      <c r="AI87" s="1">
        <v>0.5</v>
      </c>
      <c r="AJ87" s="1">
        <v>0</v>
      </c>
      <c r="AK87" s="1">
        <v>1</v>
      </c>
      <c r="AL87" s="1">
        <v>0.5</v>
      </c>
      <c r="AM87" s="1">
        <v>1</v>
      </c>
      <c r="AN87" s="1">
        <v>0</v>
      </c>
      <c r="AO87" s="1">
        <v>0.5</v>
      </c>
      <c r="AP87" s="1">
        <v>0.5</v>
      </c>
      <c r="AQ87" s="1">
        <v>3</v>
      </c>
      <c r="AR87" s="1">
        <v>10</v>
      </c>
      <c r="AS87" s="1">
        <v>44</v>
      </c>
      <c r="AT87" s="1">
        <v>45</v>
      </c>
      <c r="AU87" s="1">
        <v>43.363636363636402</v>
      </c>
      <c r="AV87" s="1">
        <v>-1</v>
      </c>
      <c r="AW87" s="1">
        <v>0.63636363636363302</v>
      </c>
      <c r="AX87" s="1">
        <v>5.2727272727272698</v>
      </c>
      <c r="AY87" s="1">
        <v>6.5909090909090802</v>
      </c>
      <c r="AZ87" s="1">
        <v>5.1570247933884303</v>
      </c>
      <c r="BA87" s="1">
        <v>0.17699999999999999</v>
      </c>
      <c r="BB87" s="1">
        <v>8.85</v>
      </c>
      <c r="BC87" s="1"/>
      <c r="BD87" s="1"/>
      <c r="BE87" s="1"/>
      <c r="BF87" s="1"/>
      <c r="BG87" s="1"/>
      <c r="BH87" s="1"/>
    </row>
    <row r="88" spans="1:60" x14ac:dyDescent="0.2">
      <c r="A88" s="3">
        <v>86</v>
      </c>
      <c r="B88" s="3" t="s">
        <v>619</v>
      </c>
      <c r="C88" s="3" t="s">
        <v>620</v>
      </c>
      <c r="D88" s="1"/>
      <c r="E88" s="1">
        <f t="shared" si="6"/>
        <v>1.27272727272727</v>
      </c>
      <c r="F88" s="1">
        <f t="shared" si="7"/>
        <v>1.27272727272727</v>
      </c>
      <c r="G88" s="1">
        <f t="shared" si="8"/>
        <v>0</v>
      </c>
      <c r="H88" s="1"/>
      <c r="I88" s="1">
        <v>5</v>
      </c>
      <c r="J88" s="1">
        <v>3</v>
      </c>
      <c r="K88" s="1">
        <v>3</v>
      </c>
      <c r="L88" s="1">
        <v>0</v>
      </c>
      <c r="M88" s="1">
        <v>2.4</v>
      </c>
      <c r="N88" s="1"/>
      <c r="O88" s="1">
        <v>3.1</v>
      </c>
      <c r="P88" s="1">
        <v>3.6666666666666701</v>
      </c>
      <c r="Q88" s="1">
        <v>1.8333333333333299</v>
      </c>
      <c r="R88" s="1">
        <v>2.75</v>
      </c>
      <c r="S88" s="1">
        <v>4.2026266416510296</v>
      </c>
      <c r="T88" s="1">
        <v>2.2000000000000002</v>
      </c>
      <c r="U88" s="1">
        <v>0.3</v>
      </c>
      <c r="V88" s="1">
        <v>0.7</v>
      </c>
      <c r="W88" s="1">
        <v>-6.1</v>
      </c>
      <c r="X88" s="1">
        <v>2.5</v>
      </c>
      <c r="Y88" s="1">
        <v>-6.8</v>
      </c>
      <c r="Z88" s="1" t="s">
        <v>823</v>
      </c>
      <c r="AA88" s="1" t="s">
        <v>1213</v>
      </c>
      <c r="AB88" s="1" t="s">
        <v>1146</v>
      </c>
      <c r="AC88" s="1">
        <v>-5.9</v>
      </c>
      <c r="AD88" s="1">
        <v>10</v>
      </c>
      <c r="AE88" s="1">
        <v>10</v>
      </c>
      <c r="AF88" s="1"/>
      <c r="AG88" s="1">
        <v>6.84866666666667</v>
      </c>
      <c r="AH88" s="1"/>
      <c r="AI88" s="1"/>
      <c r="AJ88" s="1"/>
      <c r="AK88" s="1"/>
      <c r="AL88" s="1"/>
      <c r="AM88" s="1"/>
      <c r="AN88" s="1"/>
      <c r="AO88" s="1"/>
      <c r="AP88" s="1"/>
      <c r="AQ88" s="1"/>
      <c r="AR88" s="1"/>
      <c r="AS88" s="1">
        <v>19</v>
      </c>
      <c r="AT88" s="1">
        <v>23</v>
      </c>
      <c r="AU88" s="1">
        <v>22</v>
      </c>
      <c r="AV88" s="1">
        <v>-4</v>
      </c>
      <c r="AW88" s="1">
        <v>-3</v>
      </c>
      <c r="AX88" s="1">
        <v>0.72727272727272696</v>
      </c>
      <c r="AY88" s="1">
        <v>0</v>
      </c>
      <c r="AZ88" s="1">
        <v>1.27272727272727</v>
      </c>
      <c r="BA88" s="1"/>
      <c r="BB88" s="1"/>
      <c r="BC88" s="1"/>
      <c r="BD88" s="1"/>
      <c r="BE88" s="1"/>
      <c r="BF88" s="1"/>
      <c r="BG88" s="1"/>
      <c r="BH88" s="1"/>
    </row>
    <row r="89" spans="1:60" x14ac:dyDescent="0.2">
      <c r="A89" s="3">
        <v>87</v>
      </c>
      <c r="B89" s="3" t="s">
        <v>623</v>
      </c>
      <c r="C89" s="3" t="s">
        <v>624</v>
      </c>
      <c r="D89" s="1"/>
      <c r="E89" s="1">
        <f t="shared" si="6"/>
        <v>6.159658874120356</v>
      </c>
      <c r="F89" s="1">
        <f t="shared" si="7"/>
        <v>6.6776859504132204</v>
      </c>
      <c r="G89" s="1">
        <f t="shared" si="8"/>
        <v>5.6818181818181799</v>
      </c>
      <c r="H89" s="1"/>
      <c r="I89" s="1">
        <v>3</v>
      </c>
      <c r="J89" s="1">
        <v>4</v>
      </c>
      <c r="K89" s="1">
        <v>3</v>
      </c>
      <c r="L89" s="1">
        <v>0</v>
      </c>
      <c r="M89" s="1">
        <v>1</v>
      </c>
      <c r="N89" s="1">
        <v>0</v>
      </c>
      <c r="O89" s="1">
        <v>3.4</v>
      </c>
      <c r="P89" s="1">
        <v>3.3333333333333299</v>
      </c>
      <c r="Q89" s="1">
        <v>1.1000000000000001</v>
      </c>
      <c r="R89" s="1">
        <v>2.2166666666666699</v>
      </c>
      <c r="S89" s="1">
        <v>1.8011257035647299</v>
      </c>
      <c r="T89" s="1">
        <v>4.0999999999999996</v>
      </c>
      <c r="U89" s="1">
        <v>4.0999999999999996</v>
      </c>
      <c r="V89" s="1">
        <v>4.5</v>
      </c>
      <c r="W89" s="1">
        <v>-3</v>
      </c>
      <c r="X89" s="1">
        <v>2.5</v>
      </c>
      <c r="Y89" s="1">
        <v>-7.5</v>
      </c>
      <c r="Z89" s="1" t="s">
        <v>1148</v>
      </c>
      <c r="AA89" s="1" t="s">
        <v>1239</v>
      </c>
      <c r="AB89" s="1" t="s">
        <v>1195</v>
      </c>
      <c r="AC89" s="1">
        <v>-7</v>
      </c>
      <c r="AD89" s="1">
        <v>10</v>
      </c>
      <c r="AE89" s="1">
        <v>10</v>
      </c>
      <c r="AF89" s="1">
        <v>5</v>
      </c>
      <c r="AG89" s="1">
        <v>5.1293333333333297</v>
      </c>
      <c r="AH89" s="1">
        <v>0.5</v>
      </c>
      <c r="AI89" s="1">
        <v>0</v>
      </c>
      <c r="AJ89" s="1">
        <v>0</v>
      </c>
      <c r="AK89" s="1">
        <v>0</v>
      </c>
      <c r="AL89" s="1">
        <v>0</v>
      </c>
      <c r="AM89" s="1">
        <v>0</v>
      </c>
      <c r="AN89" s="1">
        <v>0</v>
      </c>
      <c r="AO89" s="1">
        <v>0</v>
      </c>
      <c r="AP89" s="1">
        <v>0</v>
      </c>
      <c r="AQ89" s="1">
        <v>0.5</v>
      </c>
      <c r="AR89" s="1">
        <v>2.38095238095238</v>
      </c>
      <c r="AS89" s="1">
        <v>52</v>
      </c>
      <c r="AT89" s="1">
        <v>52</v>
      </c>
      <c r="AU89" s="1">
        <v>51.727272727272698</v>
      </c>
      <c r="AV89" s="1">
        <v>0</v>
      </c>
      <c r="AW89" s="1">
        <v>0.27272727272727298</v>
      </c>
      <c r="AX89" s="1">
        <v>6.7272727272727302</v>
      </c>
      <c r="AY89" s="1">
        <v>5.6818181818181799</v>
      </c>
      <c r="AZ89" s="1">
        <v>6.6776859504132204</v>
      </c>
      <c r="BA89" s="1">
        <v>3.5000000000000003E-2</v>
      </c>
      <c r="BB89" s="1">
        <v>1.75</v>
      </c>
      <c r="BC89" s="1"/>
      <c r="BD89" s="1"/>
      <c r="BE89" s="1"/>
      <c r="BF89" s="1"/>
      <c r="BG89" s="1"/>
      <c r="BH89" s="1"/>
    </row>
    <row r="90" spans="1:60" x14ac:dyDescent="0.2">
      <c r="A90" s="3">
        <v>88</v>
      </c>
      <c r="B90" s="3" t="s">
        <v>626</v>
      </c>
      <c r="C90" s="3" t="s">
        <v>627</v>
      </c>
      <c r="D90" s="1"/>
      <c r="E90" s="1">
        <f t="shared" si="6"/>
        <v>6.0274229317010617</v>
      </c>
      <c r="F90" s="1">
        <f t="shared" si="7"/>
        <v>8.4132231404958695</v>
      </c>
      <c r="G90" s="1">
        <f t="shared" si="8"/>
        <v>4.3181818181818201</v>
      </c>
      <c r="H90" s="1"/>
      <c r="I90" s="1">
        <v>4</v>
      </c>
      <c r="J90" s="1">
        <v>4</v>
      </c>
      <c r="K90" s="1">
        <v>3</v>
      </c>
      <c r="L90" s="1">
        <v>0</v>
      </c>
      <c r="M90" s="1">
        <v>0.8</v>
      </c>
      <c r="N90" s="1">
        <v>4</v>
      </c>
      <c r="O90" s="1">
        <v>4.7</v>
      </c>
      <c r="P90" s="1">
        <v>3.6666666666666701</v>
      </c>
      <c r="Q90" s="1">
        <v>2.375</v>
      </c>
      <c r="R90" s="1">
        <v>3.0208333333333299</v>
      </c>
      <c r="S90" s="1">
        <v>5.4221388367729801</v>
      </c>
      <c r="T90" s="1">
        <v>4.8</v>
      </c>
      <c r="U90" s="1">
        <v>6.3</v>
      </c>
      <c r="V90" s="1">
        <v>5.4</v>
      </c>
      <c r="W90" s="1">
        <v>1.5</v>
      </c>
      <c r="X90" s="1">
        <v>5.2</v>
      </c>
      <c r="Y90" s="1">
        <v>-3.9</v>
      </c>
      <c r="Z90" s="1" t="s">
        <v>1204</v>
      </c>
      <c r="AA90" s="1" t="s">
        <v>121</v>
      </c>
      <c r="AB90" s="1" t="s">
        <v>557</v>
      </c>
      <c r="AC90" s="1">
        <v>-4.5999999999999996</v>
      </c>
      <c r="AD90" s="1">
        <v>7.8</v>
      </c>
      <c r="AE90" s="1">
        <v>9.1999999999999993</v>
      </c>
      <c r="AF90" s="1">
        <v>4</v>
      </c>
      <c r="AG90" s="1">
        <v>2.63466666666667</v>
      </c>
      <c r="AH90" s="1">
        <v>0</v>
      </c>
      <c r="AI90" s="1">
        <v>0</v>
      </c>
      <c r="AJ90" s="1">
        <v>0</v>
      </c>
      <c r="AK90" s="1">
        <v>1</v>
      </c>
      <c r="AL90" s="1">
        <v>0</v>
      </c>
      <c r="AM90" s="1">
        <v>0</v>
      </c>
      <c r="AN90" s="1">
        <v>0</v>
      </c>
      <c r="AO90" s="1">
        <v>0</v>
      </c>
      <c r="AP90" s="1">
        <v>0</v>
      </c>
      <c r="AQ90" s="1">
        <v>1</v>
      </c>
      <c r="AR90" s="1">
        <v>4.7619047619047601</v>
      </c>
      <c r="AS90" s="1">
        <v>61</v>
      </c>
      <c r="AT90" s="1">
        <v>61</v>
      </c>
      <c r="AU90" s="1">
        <v>61.272727272727302</v>
      </c>
      <c r="AV90" s="1">
        <v>0</v>
      </c>
      <c r="AW90" s="1">
        <v>-0.27272727272727298</v>
      </c>
      <c r="AX90" s="1">
        <v>8.3636363636363598</v>
      </c>
      <c r="AY90" s="1">
        <v>4.3181818181818201</v>
      </c>
      <c r="AZ90" s="1">
        <v>8.4132231404958695</v>
      </c>
      <c r="BA90" s="1">
        <v>0.19700000000000001</v>
      </c>
      <c r="BB90" s="1">
        <v>9.85</v>
      </c>
      <c r="BC90" s="1"/>
      <c r="BD90" s="1"/>
      <c r="BE90" s="1"/>
      <c r="BF90" s="1"/>
      <c r="BG90" s="1"/>
      <c r="BH90" s="1"/>
    </row>
    <row r="91" spans="1:60" x14ac:dyDescent="0.2">
      <c r="A91" s="3">
        <v>89</v>
      </c>
      <c r="B91" s="3" t="s">
        <v>631</v>
      </c>
      <c r="C91" s="3" t="s">
        <v>632</v>
      </c>
      <c r="D91" s="1"/>
      <c r="E91" s="1">
        <f t="shared" si="6"/>
        <v>5.4610842350020734</v>
      </c>
      <c r="F91" s="1">
        <f t="shared" si="7"/>
        <v>7.7190082644628104</v>
      </c>
      <c r="G91" s="1">
        <f t="shared" si="8"/>
        <v>3.86363636363637</v>
      </c>
      <c r="H91" s="1"/>
      <c r="I91" s="1">
        <v>4</v>
      </c>
      <c r="J91" s="1">
        <v>4</v>
      </c>
      <c r="K91" s="1">
        <v>0</v>
      </c>
      <c r="L91" s="1">
        <v>6</v>
      </c>
      <c r="M91" s="1">
        <v>0.7</v>
      </c>
      <c r="N91" s="1">
        <v>5</v>
      </c>
      <c r="O91" s="1">
        <v>3.6</v>
      </c>
      <c r="P91" s="1">
        <v>2.6666666666666701</v>
      </c>
      <c r="Q91" s="1">
        <v>3.8250000000000002</v>
      </c>
      <c r="R91" s="1">
        <v>3.24583333333333</v>
      </c>
      <c r="S91" s="1">
        <v>6.4352720450281398</v>
      </c>
      <c r="T91" s="1">
        <v>4.7</v>
      </c>
      <c r="U91" s="1">
        <v>3.8</v>
      </c>
      <c r="V91" s="1">
        <v>4.5</v>
      </c>
      <c r="W91" s="1">
        <v>-4</v>
      </c>
      <c r="X91" s="1">
        <v>5.6</v>
      </c>
      <c r="Y91" s="1">
        <v>-8.5</v>
      </c>
      <c r="Z91" s="1" t="s">
        <v>1148</v>
      </c>
      <c r="AA91" s="1" t="s">
        <v>1173</v>
      </c>
      <c r="AB91" s="1" t="s">
        <v>97</v>
      </c>
      <c r="AC91" s="1">
        <v>-8.5</v>
      </c>
      <c r="AD91" s="1">
        <v>10</v>
      </c>
      <c r="AE91" s="1">
        <v>10</v>
      </c>
      <c r="AF91" s="1">
        <v>8.6666666666666696</v>
      </c>
      <c r="AG91" s="1">
        <v>10</v>
      </c>
      <c r="AH91" s="1"/>
      <c r="AI91" s="1"/>
      <c r="AJ91" s="1"/>
      <c r="AK91" s="1"/>
      <c r="AL91" s="1"/>
      <c r="AM91" s="1"/>
      <c r="AN91" s="1"/>
      <c r="AO91" s="1"/>
      <c r="AP91" s="1"/>
      <c r="AQ91" s="1"/>
      <c r="AR91" s="1"/>
      <c r="AS91" s="1">
        <v>57</v>
      </c>
      <c r="AT91" s="1">
        <v>58</v>
      </c>
      <c r="AU91" s="1">
        <v>57.454545454545503</v>
      </c>
      <c r="AV91" s="1">
        <v>-1</v>
      </c>
      <c r="AW91" s="1">
        <v>-0.45454545454545298</v>
      </c>
      <c r="AX91" s="1">
        <v>7.6363636363636402</v>
      </c>
      <c r="AY91" s="1">
        <v>3.86363636363637</v>
      </c>
      <c r="AZ91" s="1">
        <v>7.7190082644628104</v>
      </c>
      <c r="BA91" s="1"/>
      <c r="BB91" s="1"/>
      <c r="BC91" s="1"/>
      <c r="BD91" s="1"/>
      <c r="BE91" s="1"/>
      <c r="BF91" s="1"/>
      <c r="BG91" s="1"/>
      <c r="BH91" s="1"/>
    </row>
    <row r="92" spans="1:60" x14ac:dyDescent="0.2">
      <c r="A92" s="3">
        <v>90</v>
      </c>
      <c r="B92" s="3" t="s">
        <v>637</v>
      </c>
      <c r="C92" s="3" t="s">
        <v>638</v>
      </c>
      <c r="D92" s="1"/>
      <c r="E92" s="1">
        <f t="shared" si="6"/>
        <v>5.2409988667201244</v>
      </c>
      <c r="F92" s="1">
        <f t="shared" si="7"/>
        <v>7.5537190082644603</v>
      </c>
      <c r="G92" s="1">
        <f t="shared" si="8"/>
        <v>3.63636363636363</v>
      </c>
      <c r="H92" s="1"/>
      <c r="I92" s="1"/>
      <c r="J92" s="1"/>
      <c r="K92" s="1">
        <v>6</v>
      </c>
      <c r="L92" s="1">
        <v>3</v>
      </c>
      <c r="M92" s="1">
        <v>0.8</v>
      </c>
      <c r="N92" s="1">
        <v>5</v>
      </c>
      <c r="O92" s="1">
        <v>3.8</v>
      </c>
      <c r="P92" s="1">
        <v>6</v>
      </c>
      <c r="Q92" s="1">
        <v>3.15</v>
      </c>
      <c r="R92" s="1">
        <v>4.5750000000000002</v>
      </c>
      <c r="S92" s="1">
        <v>10</v>
      </c>
      <c r="T92" s="1">
        <v>7</v>
      </c>
      <c r="U92" s="1">
        <v>7.5</v>
      </c>
      <c r="V92" s="1">
        <v>7.1</v>
      </c>
      <c r="W92" s="1">
        <v>-1</v>
      </c>
      <c r="X92" s="1">
        <v>6</v>
      </c>
      <c r="Y92" s="1">
        <v>-8.1</v>
      </c>
      <c r="Z92" s="1" t="s">
        <v>1222</v>
      </c>
      <c r="AA92" s="1" t="s">
        <v>1240</v>
      </c>
      <c r="AB92" s="1" t="s">
        <v>557</v>
      </c>
      <c r="AC92" s="1">
        <v>-8.6</v>
      </c>
      <c r="AD92" s="1">
        <v>10</v>
      </c>
      <c r="AE92" s="1">
        <v>10</v>
      </c>
      <c r="AF92" s="1">
        <v>4.6666666666666696</v>
      </c>
      <c r="AG92" s="1">
        <v>5.1706666666666701</v>
      </c>
      <c r="AH92" s="1"/>
      <c r="AI92" s="1"/>
      <c r="AJ92" s="1"/>
      <c r="AK92" s="1"/>
      <c r="AL92" s="1"/>
      <c r="AM92" s="1"/>
      <c r="AN92" s="1"/>
      <c r="AO92" s="1"/>
      <c r="AP92" s="1"/>
      <c r="AQ92" s="1"/>
      <c r="AR92" s="1"/>
      <c r="AS92" s="1">
        <v>56</v>
      </c>
      <c r="AT92" s="1">
        <v>58</v>
      </c>
      <c r="AU92" s="1">
        <v>56.545454545454497</v>
      </c>
      <c r="AV92" s="1">
        <v>-2</v>
      </c>
      <c r="AW92" s="1">
        <v>-0.54545454545454697</v>
      </c>
      <c r="AX92" s="1">
        <v>7.4545454545454604</v>
      </c>
      <c r="AY92" s="1">
        <v>3.63636363636363</v>
      </c>
      <c r="AZ92" s="1">
        <v>7.5537190082644603</v>
      </c>
      <c r="BA92" s="1">
        <v>0</v>
      </c>
      <c r="BB92" s="1">
        <v>0</v>
      </c>
      <c r="BC92" s="1"/>
      <c r="BD92" s="1"/>
      <c r="BE92" s="1"/>
      <c r="BF92" s="1"/>
      <c r="BG92" s="1"/>
      <c r="BH92" s="1"/>
    </row>
    <row r="93" spans="1:60" x14ac:dyDescent="0.2">
      <c r="A93" s="3">
        <v>91</v>
      </c>
      <c r="B93" s="3" t="s">
        <v>640</v>
      </c>
      <c r="C93" s="3" t="s">
        <v>641</v>
      </c>
      <c r="D93" s="1"/>
      <c r="E93" s="1">
        <f t="shared" si="6"/>
        <v>0</v>
      </c>
      <c r="F93" s="1">
        <f t="shared" si="7"/>
        <v>0</v>
      </c>
      <c r="G93" s="1">
        <f t="shared" si="8"/>
        <v>0</v>
      </c>
      <c r="H93" s="1"/>
      <c r="I93" s="1"/>
      <c r="J93" s="1"/>
      <c r="K93" s="1">
        <v>5</v>
      </c>
      <c r="L93" s="1">
        <v>3</v>
      </c>
      <c r="M93" s="1"/>
      <c r="N93" s="1">
        <v>8</v>
      </c>
      <c r="O93" s="1"/>
      <c r="P93" s="1">
        <v>5</v>
      </c>
      <c r="Q93" s="1">
        <v>5.5</v>
      </c>
      <c r="R93" s="1">
        <v>5.25</v>
      </c>
      <c r="S93" s="1">
        <v>10</v>
      </c>
      <c r="T93" s="1"/>
      <c r="U93" s="1"/>
      <c r="V93" s="1"/>
      <c r="W93" s="1"/>
      <c r="X93" s="1"/>
      <c r="Y93" s="1"/>
      <c r="Z93" s="1" t="s">
        <v>718</v>
      </c>
      <c r="AA93" s="1" t="s">
        <v>103</v>
      </c>
      <c r="AB93" s="1" t="s">
        <v>116</v>
      </c>
      <c r="AC93" s="1">
        <v>-2.2999999999999998</v>
      </c>
      <c r="AD93" s="1"/>
      <c r="AE93" s="1">
        <v>4.5999999999999996</v>
      </c>
      <c r="AF93" s="1"/>
      <c r="AG93" s="1">
        <v>4.0919999999999996</v>
      </c>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row>
    <row r="94" spans="1:60" x14ac:dyDescent="0.2">
      <c r="A94" s="3">
        <v>92</v>
      </c>
      <c r="B94" s="3" t="s">
        <v>644</v>
      </c>
      <c r="C94" s="3" t="s">
        <v>645</v>
      </c>
      <c r="D94" s="1"/>
      <c r="E94" s="1">
        <f t="shared" si="6"/>
        <v>0</v>
      </c>
      <c r="F94" s="1">
        <f t="shared" si="7"/>
        <v>0</v>
      </c>
      <c r="G94" s="1">
        <f t="shared" si="8"/>
        <v>0</v>
      </c>
      <c r="H94" s="1"/>
      <c r="I94" s="1"/>
      <c r="J94" s="1"/>
      <c r="K94" s="1">
        <v>5</v>
      </c>
      <c r="L94" s="1">
        <v>0</v>
      </c>
      <c r="M94" s="1">
        <v>0.9</v>
      </c>
      <c r="N94" s="1"/>
      <c r="O94" s="1"/>
      <c r="P94" s="1">
        <v>5</v>
      </c>
      <c r="Q94" s="1">
        <v>0.45</v>
      </c>
      <c r="R94" s="1">
        <v>2.7250000000000001</v>
      </c>
      <c r="S94" s="1">
        <v>4.0900562851782398</v>
      </c>
      <c r="T94" s="1"/>
      <c r="U94" s="1"/>
      <c r="V94" s="1"/>
      <c r="W94" s="1"/>
      <c r="X94" s="1"/>
      <c r="Y94" s="1"/>
      <c r="Z94" s="1" t="s">
        <v>414</v>
      </c>
      <c r="AA94" s="1" t="s">
        <v>1241</v>
      </c>
      <c r="AB94" s="1" t="s">
        <v>1208</v>
      </c>
      <c r="AC94" s="1">
        <v>-11</v>
      </c>
      <c r="AD94" s="1"/>
      <c r="AE94" s="1">
        <v>10</v>
      </c>
      <c r="AF94" s="1"/>
      <c r="AG94" s="1">
        <v>10</v>
      </c>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row>
    <row r="95" spans="1:60" x14ac:dyDescent="0.2">
      <c r="A95" s="3">
        <v>93</v>
      </c>
      <c r="B95" s="3" t="s">
        <v>648</v>
      </c>
      <c r="C95" s="3" t="s">
        <v>649</v>
      </c>
      <c r="D95" s="1"/>
      <c r="E95" s="1">
        <f t="shared" si="6"/>
        <v>2.9256198347107398</v>
      </c>
      <c r="F95" s="1">
        <f t="shared" si="7"/>
        <v>2.9256198347107398</v>
      </c>
      <c r="G95" s="1">
        <f t="shared" si="8"/>
        <v>0</v>
      </c>
      <c r="H95" s="1"/>
      <c r="I95" s="1">
        <v>5</v>
      </c>
      <c r="J95" s="1">
        <v>3</v>
      </c>
      <c r="K95" s="1">
        <v>0</v>
      </c>
      <c r="L95" s="1">
        <v>0</v>
      </c>
      <c r="M95" s="1">
        <v>1.2</v>
      </c>
      <c r="N95" s="1"/>
      <c r="O95" s="1">
        <v>2.2000000000000002</v>
      </c>
      <c r="P95" s="1">
        <v>2.6666666666666701</v>
      </c>
      <c r="Q95" s="1">
        <v>1.13333333333333</v>
      </c>
      <c r="R95" s="1">
        <v>1.9</v>
      </c>
      <c r="S95" s="1">
        <v>0.37523452157598303</v>
      </c>
      <c r="T95" s="1"/>
      <c r="U95" s="1"/>
      <c r="V95" s="1"/>
      <c r="W95" s="1"/>
      <c r="X95" s="1"/>
      <c r="Y95" s="1"/>
      <c r="Z95" s="1" t="s">
        <v>147</v>
      </c>
      <c r="AA95" s="1" t="s">
        <v>1194</v>
      </c>
      <c r="AB95" s="1" t="s">
        <v>1172</v>
      </c>
      <c r="AC95" s="1">
        <v>-3.2</v>
      </c>
      <c r="AD95" s="1"/>
      <c r="AE95" s="1">
        <v>6.4</v>
      </c>
      <c r="AF95" s="1"/>
      <c r="AG95" s="1">
        <v>4.5853333333333302</v>
      </c>
      <c r="AH95" s="1"/>
      <c r="AI95" s="1"/>
      <c r="AJ95" s="1"/>
      <c r="AK95" s="1"/>
      <c r="AL95" s="1"/>
      <c r="AM95" s="1"/>
      <c r="AN95" s="1"/>
      <c r="AO95" s="1"/>
      <c r="AP95" s="1"/>
      <c r="AQ95" s="1"/>
      <c r="AR95" s="1"/>
      <c r="AS95" s="1">
        <v>27</v>
      </c>
      <c r="AT95" s="1">
        <v>28</v>
      </c>
      <c r="AU95" s="1">
        <v>31.090909090909101</v>
      </c>
      <c r="AV95" s="1">
        <v>-1</v>
      </c>
      <c r="AW95" s="1">
        <v>-4.0909090909090899</v>
      </c>
      <c r="AX95" s="1">
        <v>2.1818181818181799</v>
      </c>
      <c r="AY95" s="1">
        <v>0</v>
      </c>
      <c r="AZ95" s="1">
        <v>2.9256198347107398</v>
      </c>
      <c r="BA95" s="1"/>
      <c r="BB95" s="1"/>
      <c r="BC95" s="1"/>
      <c r="BD95" s="1"/>
      <c r="BE95" s="1"/>
      <c r="BF95" s="1"/>
      <c r="BG95" s="1"/>
      <c r="BH95" s="1"/>
    </row>
    <row r="96" spans="1:60" x14ac:dyDescent="0.2">
      <c r="A96" s="3">
        <v>94</v>
      </c>
      <c r="B96" s="3" t="s">
        <v>653</v>
      </c>
      <c r="C96" s="3" t="s">
        <v>654</v>
      </c>
      <c r="D96" s="1"/>
      <c r="E96" s="1">
        <f t="shared" si="6"/>
        <v>2.4114677188339564</v>
      </c>
      <c r="F96" s="1">
        <f t="shared" si="7"/>
        <v>4.2644628099173598</v>
      </c>
      <c r="G96" s="1">
        <f t="shared" si="8"/>
        <v>1.36363636363637</v>
      </c>
      <c r="H96" s="1"/>
      <c r="I96" s="1">
        <v>0</v>
      </c>
      <c r="J96" s="1">
        <v>4</v>
      </c>
      <c r="K96" s="1">
        <v>3</v>
      </c>
      <c r="L96" s="1">
        <v>0</v>
      </c>
      <c r="M96" s="1">
        <v>1.1000000000000001</v>
      </c>
      <c r="N96" s="1"/>
      <c r="O96" s="1">
        <v>2.8</v>
      </c>
      <c r="P96" s="1">
        <v>2.3333333333333299</v>
      </c>
      <c r="Q96" s="1">
        <v>1.3</v>
      </c>
      <c r="R96" s="1">
        <v>1.81666666666667</v>
      </c>
      <c r="S96" s="1">
        <v>0</v>
      </c>
      <c r="T96" s="1">
        <v>-4.7</v>
      </c>
      <c r="U96" s="1">
        <v>1.2</v>
      </c>
      <c r="V96" s="1">
        <v>0.4</v>
      </c>
      <c r="W96" s="1">
        <v>-5.4</v>
      </c>
      <c r="X96" s="1">
        <v>1.1000000000000001</v>
      </c>
      <c r="Y96" s="1">
        <v>-5.8</v>
      </c>
      <c r="Z96" s="1" t="s">
        <v>823</v>
      </c>
      <c r="AA96" s="1" t="s">
        <v>1242</v>
      </c>
      <c r="AB96" s="1" t="s">
        <v>1172</v>
      </c>
      <c r="AC96" s="1">
        <v>-1.8</v>
      </c>
      <c r="AD96" s="1">
        <v>10</v>
      </c>
      <c r="AE96" s="1">
        <v>3.6</v>
      </c>
      <c r="AF96" s="1">
        <v>9</v>
      </c>
      <c r="AG96" s="1">
        <v>8.718</v>
      </c>
      <c r="AH96" s="1"/>
      <c r="AI96" s="1"/>
      <c r="AJ96" s="1"/>
      <c r="AK96" s="1"/>
      <c r="AL96" s="1"/>
      <c r="AM96" s="1"/>
      <c r="AN96" s="1"/>
      <c r="AO96" s="1"/>
      <c r="AP96" s="1"/>
      <c r="AQ96" s="1"/>
      <c r="AR96" s="1"/>
      <c r="AS96" s="1">
        <v>37</v>
      </c>
      <c r="AT96" s="1">
        <v>38</v>
      </c>
      <c r="AU96" s="1">
        <v>38.454545454545503</v>
      </c>
      <c r="AV96" s="1">
        <v>-1</v>
      </c>
      <c r="AW96" s="1">
        <v>-1.4545454545454499</v>
      </c>
      <c r="AX96" s="1">
        <v>4</v>
      </c>
      <c r="AY96" s="1">
        <v>1.36363636363637</v>
      </c>
      <c r="AZ96" s="1">
        <v>4.2644628099173598</v>
      </c>
      <c r="BA96" s="1">
        <v>0.122</v>
      </c>
      <c r="BB96" s="1">
        <v>6.1</v>
      </c>
      <c r="BC96" s="1"/>
      <c r="BD96" s="1"/>
      <c r="BE96" s="1"/>
      <c r="BF96" s="1"/>
      <c r="BG96" s="1"/>
      <c r="BH96" s="1"/>
    </row>
    <row r="97" spans="1:60" x14ac:dyDescent="0.2">
      <c r="A97" s="3">
        <v>95</v>
      </c>
      <c r="B97" s="3" t="s">
        <v>658</v>
      </c>
      <c r="C97" s="3" t="s">
        <v>659</v>
      </c>
      <c r="D97" s="1"/>
      <c r="E97" s="1">
        <f t="shared" si="6"/>
        <v>7.6574384513598055</v>
      </c>
      <c r="F97" s="1">
        <f t="shared" si="7"/>
        <v>7.8181818181818201</v>
      </c>
      <c r="G97" s="1">
        <f t="shared" si="8"/>
        <v>7.5</v>
      </c>
      <c r="H97" s="1"/>
      <c r="I97" s="1"/>
      <c r="J97" s="1"/>
      <c r="K97" s="1">
        <v>4</v>
      </c>
      <c r="L97" s="1">
        <v>0</v>
      </c>
      <c r="M97" s="1">
        <v>0.2</v>
      </c>
      <c r="N97" s="1"/>
      <c r="O97" s="1">
        <v>4.0999999999999996</v>
      </c>
      <c r="P97" s="1">
        <v>4</v>
      </c>
      <c r="Q97" s="1">
        <v>1.43333333333333</v>
      </c>
      <c r="R97" s="1">
        <v>2.7166666666666699</v>
      </c>
      <c r="S97" s="1">
        <v>4.0525328330206403</v>
      </c>
      <c r="T97" s="1">
        <v>6.9</v>
      </c>
      <c r="U97" s="1">
        <v>6.3</v>
      </c>
      <c r="V97" s="1">
        <v>4.7</v>
      </c>
      <c r="W97" s="1">
        <v>1</v>
      </c>
      <c r="X97" s="1">
        <v>4.5999999999999996</v>
      </c>
      <c r="Y97" s="1">
        <v>-3.7</v>
      </c>
      <c r="Z97" s="1" t="s">
        <v>210</v>
      </c>
      <c r="AA97" s="1" t="s">
        <v>823</v>
      </c>
      <c r="AB97" s="1" t="s">
        <v>1204</v>
      </c>
      <c r="AC97" s="1">
        <v>-4</v>
      </c>
      <c r="AD97" s="1">
        <v>7.4</v>
      </c>
      <c r="AE97" s="1">
        <v>8</v>
      </c>
      <c r="AF97" s="1">
        <v>3.7333333333333298</v>
      </c>
      <c r="AG97" s="1">
        <v>3.198</v>
      </c>
      <c r="AH97" s="1"/>
      <c r="AI97" s="1"/>
      <c r="AJ97" s="1"/>
      <c r="AK97" s="1"/>
      <c r="AL97" s="1"/>
      <c r="AM97" s="1"/>
      <c r="AN97" s="1"/>
      <c r="AO97" s="1"/>
      <c r="AP97" s="1"/>
      <c r="AQ97" s="1"/>
      <c r="AR97" s="1"/>
      <c r="AS97" s="1">
        <v>59</v>
      </c>
      <c r="AT97" s="1">
        <v>59</v>
      </c>
      <c r="AU97" s="1">
        <v>58</v>
      </c>
      <c r="AV97" s="1">
        <v>0</v>
      </c>
      <c r="AW97" s="1">
        <v>1</v>
      </c>
      <c r="AX97" s="1">
        <v>8</v>
      </c>
      <c r="AY97" s="1">
        <v>7.5</v>
      </c>
      <c r="AZ97" s="1">
        <v>7.8181818181818201</v>
      </c>
      <c r="BA97" s="1">
        <v>0.42399999999999999</v>
      </c>
      <c r="BB97" s="1">
        <v>10</v>
      </c>
      <c r="BC97" s="1"/>
      <c r="BD97" s="1"/>
      <c r="BE97" s="1"/>
      <c r="BF97" s="1"/>
      <c r="BG97" s="1"/>
      <c r="BH97" s="1"/>
    </row>
    <row r="98" spans="1:60" x14ac:dyDescent="0.2">
      <c r="A98" s="3">
        <v>96</v>
      </c>
      <c r="B98" s="3" t="s">
        <v>661</v>
      </c>
      <c r="C98" s="3" t="s">
        <v>662</v>
      </c>
      <c r="D98" s="1"/>
      <c r="E98" s="1">
        <f t="shared" si="6"/>
        <v>9.663768920667863</v>
      </c>
      <c r="F98" s="1">
        <f t="shared" si="7"/>
        <v>9.3388429752066102</v>
      </c>
      <c r="G98" s="1">
        <f t="shared" si="8"/>
        <v>10</v>
      </c>
      <c r="H98" s="1"/>
      <c r="I98" s="1">
        <v>5</v>
      </c>
      <c r="J98" s="1">
        <v>4</v>
      </c>
      <c r="K98" s="1">
        <v>4</v>
      </c>
      <c r="L98" s="1">
        <v>4</v>
      </c>
      <c r="M98" s="1">
        <v>2.7</v>
      </c>
      <c r="N98" s="1">
        <v>3</v>
      </c>
      <c r="O98" s="1">
        <v>5.7</v>
      </c>
      <c r="P98" s="1">
        <v>4.3333333333333304</v>
      </c>
      <c r="Q98" s="1">
        <v>3.85</v>
      </c>
      <c r="R98" s="1">
        <v>4.0916666666666703</v>
      </c>
      <c r="S98" s="1">
        <v>10</v>
      </c>
      <c r="T98" s="1">
        <v>0.9</v>
      </c>
      <c r="U98" s="1">
        <v>-1.9</v>
      </c>
      <c r="V98" s="1">
        <v>-5.6</v>
      </c>
      <c r="W98" s="1">
        <v>-10.9</v>
      </c>
      <c r="X98" s="1">
        <v>-6.3</v>
      </c>
      <c r="Y98" s="1">
        <v>-5.3</v>
      </c>
      <c r="Z98" s="1" t="s">
        <v>1203</v>
      </c>
      <c r="AA98" s="1" t="s">
        <v>1180</v>
      </c>
      <c r="AB98" s="1" t="s">
        <v>1243</v>
      </c>
      <c r="AC98" s="1">
        <v>-5.5</v>
      </c>
      <c r="AD98" s="1">
        <v>10</v>
      </c>
      <c r="AE98" s="1">
        <v>10</v>
      </c>
      <c r="AF98" s="1">
        <v>10</v>
      </c>
      <c r="AG98" s="1">
        <v>10</v>
      </c>
      <c r="AH98" s="1"/>
      <c r="AI98" s="1"/>
      <c r="AJ98" s="1"/>
      <c r="AK98" s="1"/>
      <c r="AL98" s="1"/>
      <c r="AM98" s="1"/>
      <c r="AN98" s="1"/>
      <c r="AO98" s="1"/>
      <c r="AP98" s="1"/>
      <c r="AQ98" s="1"/>
      <c r="AR98" s="1"/>
      <c r="AS98" s="1">
        <v>69</v>
      </c>
      <c r="AT98" s="1">
        <v>69</v>
      </c>
      <c r="AU98" s="1">
        <v>66.363636363636402</v>
      </c>
      <c r="AV98" s="1">
        <v>0</v>
      </c>
      <c r="AW98" s="1">
        <v>2.6363636363636398</v>
      </c>
      <c r="AX98" s="1">
        <v>9.8181818181818201</v>
      </c>
      <c r="AY98" s="1">
        <v>10</v>
      </c>
      <c r="AZ98" s="1">
        <v>9.3388429752066102</v>
      </c>
      <c r="BA98" s="1"/>
      <c r="BB98" s="1"/>
      <c r="BC98" s="1"/>
      <c r="BD98" s="1"/>
      <c r="BE98" s="1"/>
      <c r="BF98" s="1"/>
      <c r="BG98" s="1"/>
      <c r="BH98" s="1"/>
    </row>
    <row r="99" spans="1:60" x14ac:dyDescent="0.2">
      <c r="A99" s="3">
        <v>97</v>
      </c>
      <c r="B99" s="3" t="s">
        <v>667</v>
      </c>
      <c r="C99" s="3" t="s">
        <v>668</v>
      </c>
      <c r="D99" s="1"/>
      <c r="E99" s="1">
        <f t="shared" ref="E99:E130" si="9">IFERROR(GEOMEAN(F99, G99), MAX(F99, G99))</f>
        <v>7.5095731540262909</v>
      </c>
      <c r="F99" s="1">
        <f t="shared" ref="F99:F130" si="10">MAX(AZ99)</f>
        <v>9.1900826446281005</v>
      </c>
      <c r="G99" s="1">
        <f t="shared" ref="G99:G130" si="11">MAX(AY99)</f>
        <v>6.1363636363636296</v>
      </c>
      <c r="H99" s="1"/>
      <c r="I99" s="1"/>
      <c r="J99" s="1"/>
      <c r="K99" s="1"/>
      <c r="L99" s="1">
        <v>4</v>
      </c>
      <c r="M99" s="1">
        <v>0.6</v>
      </c>
      <c r="N99" s="1"/>
      <c r="O99" s="1">
        <v>10</v>
      </c>
      <c r="P99" s="1"/>
      <c r="Q99" s="1">
        <v>4.8666666666666698</v>
      </c>
      <c r="R99" s="1">
        <v>4.8666666666666698</v>
      </c>
      <c r="S99" s="1">
        <v>10</v>
      </c>
      <c r="T99" s="1">
        <v>2.5</v>
      </c>
      <c r="U99" s="1">
        <v>1.2</v>
      </c>
      <c r="V99" s="1">
        <v>-2.2999999999999998</v>
      </c>
      <c r="W99" s="1">
        <v>-2.6</v>
      </c>
      <c r="X99" s="1">
        <v>4</v>
      </c>
      <c r="Y99" s="1">
        <v>-0.3</v>
      </c>
      <c r="Z99" s="1" t="s">
        <v>1239</v>
      </c>
      <c r="AA99" s="1" t="s">
        <v>1239</v>
      </c>
      <c r="AB99" s="1" t="s">
        <v>1189</v>
      </c>
      <c r="AC99" s="1">
        <v>0</v>
      </c>
      <c r="AD99" s="1">
        <v>0.6</v>
      </c>
      <c r="AE99" s="1">
        <v>0</v>
      </c>
      <c r="AF99" s="1">
        <v>5.2666666666666702</v>
      </c>
      <c r="AG99" s="1">
        <v>5.3373333333333299</v>
      </c>
      <c r="AH99" s="1"/>
      <c r="AI99" s="1"/>
      <c r="AJ99" s="1"/>
      <c r="AK99" s="1"/>
      <c r="AL99" s="1"/>
      <c r="AM99" s="1"/>
      <c r="AN99" s="1"/>
      <c r="AO99" s="1"/>
      <c r="AP99" s="1"/>
      <c r="AQ99" s="1"/>
      <c r="AR99" s="1"/>
      <c r="AS99" s="1">
        <v>66</v>
      </c>
      <c r="AT99" s="1">
        <v>67</v>
      </c>
      <c r="AU99" s="1">
        <v>65.545454545454504</v>
      </c>
      <c r="AV99" s="1">
        <v>-1</v>
      </c>
      <c r="AW99" s="1">
        <v>0.45454545454545298</v>
      </c>
      <c r="AX99" s="1">
        <v>9.2727272727272698</v>
      </c>
      <c r="AY99" s="1">
        <v>6.1363636363636296</v>
      </c>
      <c r="AZ99" s="1">
        <v>9.1900826446281005</v>
      </c>
      <c r="BA99" s="1"/>
      <c r="BB99" s="1"/>
      <c r="BC99" s="1"/>
      <c r="BD99" s="1"/>
      <c r="BE99" s="1"/>
      <c r="BF99" s="1"/>
      <c r="BG99" s="1"/>
      <c r="BH99" s="1"/>
    </row>
    <row r="100" spans="1:60" x14ac:dyDescent="0.2">
      <c r="A100" s="3">
        <v>98</v>
      </c>
      <c r="B100" s="3" t="s">
        <v>672</v>
      </c>
      <c r="C100" s="3" t="s">
        <v>673</v>
      </c>
      <c r="D100" s="1"/>
      <c r="E100" s="1">
        <f t="shared" si="9"/>
        <v>4.7673129462279586</v>
      </c>
      <c r="F100" s="1">
        <f t="shared" si="10"/>
        <v>10</v>
      </c>
      <c r="G100" s="1">
        <f t="shared" si="11"/>
        <v>2.2727272727272698</v>
      </c>
      <c r="H100" s="1"/>
      <c r="I100" s="1"/>
      <c r="J100" s="1"/>
      <c r="K100" s="1">
        <v>3</v>
      </c>
      <c r="L100" s="1"/>
      <c r="M100" s="1">
        <v>10</v>
      </c>
      <c r="N100" s="1"/>
      <c r="O100" s="1"/>
      <c r="P100" s="1">
        <v>3</v>
      </c>
      <c r="Q100" s="1">
        <v>10</v>
      </c>
      <c r="R100" s="1">
        <v>6.5</v>
      </c>
      <c r="S100" s="1">
        <v>10</v>
      </c>
      <c r="T100" s="1"/>
      <c r="U100" s="1"/>
      <c r="V100" s="1"/>
      <c r="W100" s="1"/>
      <c r="X100" s="1"/>
      <c r="Y100" s="1"/>
      <c r="Z100" s="1" t="s">
        <v>831</v>
      </c>
      <c r="AA100" s="1" t="s">
        <v>1244</v>
      </c>
      <c r="AB100" s="1" t="s">
        <v>1245</v>
      </c>
      <c r="AC100" s="1">
        <v>-68.599999999999994</v>
      </c>
      <c r="AD100" s="1"/>
      <c r="AE100" s="1">
        <v>10</v>
      </c>
      <c r="AF100" s="1"/>
      <c r="AG100" s="1">
        <v>10</v>
      </c>
      <c r="AH100" s="1"/>
      <c r="AI100" s="1"/>
      <c r="AJ100" s="1"/>
      <c r="AK100" s="1"/>
      <c r="AL100" s="1"/>
      <c r="AM100" s="1"/>
      <c r="AN100" s="1"/>
      <c r="AO100" s="1"/>
      <c r="AP100" s="1"/>
      <c r="AQ100" s="1"/>
      <c r="AR100" s="1"/>
      <c r="AS100" s="1">
        <v>76</v>
      </c>
      <c r="AT100" s="1">
        <v>78</v>
      </c>
      <c r="AU100" s="1">
        <v>77.090909090909093</v>
      </c>
      <c r="AV100" s="1">
        <v>-2</v>
      </c>
      <c r="AW100" s="1">
        <v>-1.0909090909090899</v>
      </c>
      <c r="AX100" s="1">
        <v>10</v>
      </c>
      <c r="AY100" s="1">
        <v>2.2727272727272698</v>
      </c>
      <c r="AZ100" s="1">
        <v>10</v>
      </c>
      <c r="BA100" s="1"/>
      <c r="BB100" s="1"/>
      <c r="BC100" s="1"/>
      <c r="BD100" s="1"/>
      <c r="BE100" s="1"/>
      <c r="BF100" s="1"/>
      <c r="BG100" s="1"/>
      <c r="BH100" s="1"/>
    </row>
    <row r="101" spans="1:60" x14ac:dyDescent="0.2">
      <c r="A101" s="3">
        <v>99</v>
      </c>
      <c r="B101" s="3" t="s">
        <v>676</v>
      </c>
      <c r="C101" s="3" t="s">
        <v>677</v>
      </c>
      <c r="D101" s="1"/>
      <c r="E101" s="1">
        <f t="shared" si="9"/>
        <v>0</v>
      </c>
      <c r="F101" s="1">
        <f t="shared" si="10"/>
        <v>0</v>
      </c>
      <c r="G101" s="1">
        <f t="shared" si="11"/>
        <v>0</v>
      </c>
      <c r="H101" s="1"/>
      <c r="I101" s="1"/>
      <c r="J101" s="1"/>
      <c r="K101" s="1">
        <v>7</v>
      </c>
      <c r="L101" s="1">
        <v>0</v>
      </c>
      <c r="M101" s="1">
        <v>0.5</v>
      </c>
      <c r="N101" s="1">
        <v>0</v>
      </c>
      <c r="O101" s="1">
        <v>4.9000000000000004</v>
      </c>
      <c r="P101" s="1">
        <v>7</v>
      </c>
      <c r="Q101" s="1">
        <v>1.35</v>
      </c>
      <c r="R101" s="1">
        <v>4.1749999999999998</v>
      </c>
      <c r="S101" s="1">
        <v>10</v>
      </c>
      <c r="T101" s="1">
        <v>2.2000000000000002</v>
      </c>
      <c r="U101" s="1">
        <v>1.4</v>
      </c>
      <c r="V101" s="1">
        <v>1.4</v>
      </c>
      <c r="W101" s="1">
        <v>-8.8000000000000007</v>
      </c>
      <c r="X101" s="1">
        <v>8.3000000000000007</v>
      </c>
      <c r="Y101" s="1">
        <v>-10.199999999999999</v>
      </c>
      <c r="Z101" s="1" t="s">
        <v>1246</v>
      </c>
      <c r="AA101" s="1" t="s">
        <v>1247</v>
      </c>
      <c r="AB101" s="1" t="s">
        <v>345</v>
      </c>
      <c r="AC101" s="1">
        <v>-10.199999999999999</v>
      </c>
      <c r="AD101" s="1">
        <v>10</v>
      </c>
      <c r="AE101" s="1">
        <v>10</v>
      </c>
      <c r="AF101" s="1">
        <v>10</v>
      </c>
      <c r="AG101" s="1">
        <v>10</v>
      </c>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row>
    <row r="102" spans="1:60" x14ac:dyDescent="0.2">
      <c r="A102" s="3">
        <v>100</v>
      </c>
      <c r="B102" s="3" t="s">
        <v>680</v>
      </c>
      <c r="C102" s="3" t="s">
        <v>681</v>
      </c>
      <c r="D102" s="1"/>
      <c r="E102" s="1">
        <f t="shared" si="9"/>
        <v>5.2272727272727302</v>
      </c>
      <c r="F102" s="1">
        <f t="shared" si="10"/>
        <v>0</v>
      </c>
      <c r="G102" s="1">
        <f t="shared" si="11"/>
        <v>5.2272727272727302</v>
      </c>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v>13</v>
      </c>
      <c r="AT102" s="1">
        <v>13</v>
      </c>
      <c r="AU102" s="1">
        <v>12.909090909090899</v>
      </c>
      <c r="AV102" s="1">
        <v>0</v>
      </c>
      <c r="AW102" s="1">
        <v>9.0909090909091703E-2</v>
      </c>
      <c r="AX102" s="1">
        <v>0</v>
      </c>
      <c r="AY102" s="1">
        <v>5.2272727272727302</v>
      </c>
      <c r="AZ102" s="1">
        <v>0</v>
      </c>
      <c r="BA102" s="1"/>
      <c r="BB102" s="1"/>
      <c r="BC102" s="1"/>
      <c r="BD102" s="1"/>
      <c r="BE102" s="1"/>
      <c r="BF102" s="1"/>
      <c r="BG102" s="1"/>
      <c r="BH102" s="1"/>
    </row>
    <row r="103" spans="1:60" x14ac:dyDescent="0.2">
      <c r="A103" s="3">
        <v>101</v>
      </c>
      <c r="B103" s="3" t="s">
        <v>683</v>
      </c>
      <c r="C103" s="3" t="s">
        <v>684</v>
      </c>
      <c r="D103" s="1"/>
      <c r="E103" s="1">
        <f t="shared" si="9"/>
        <v>5.8677685950413201</v>
      </c>
      <c r="F103" s="1">
        <f t="shared" si="10"/>
        <v>5.8677685950413201</v>
      </c>
      <c r="G103" s="1">
        <f t="shared" si="11"/>
        <v>0</v>
      </c>
      <c r="H103" s="1"/>
      <c r="I103" s="1"/>
      <c r="J103" s="1"/>
      <c r="K103" s="1">
        <v>4</v>
      </c>
      <c r="L103" s="1">
        <v>3</v>
      </c>
      <c r="M103" s="1">
        <v>0.4</v>
      </c>
      <c r="N103" s="1">
        <v>0</v>
      </c>
      <c r="O103" s="1">
        <v>3.2</v>
      </c>
      <c r="P103" s="1">
        <v>4</v>
      </c>
      <c r="Q103" s="1">
        <v>1.65</v>
      </c>
      <c r="R103" s="1">
        <v>2.8250000000000002</v>
      </c>
      <c r="S103" s="1">
        <v>4.5403377110694203</v>
      </c>
      <c r="T103" s="1">
        <v>3.6</v>
      </c>
      <c r="U103" s="1">
        <v>3.3</v>
      </c>
      <c r="V103" s="1">
        <v>2.2999999999999998</v>
      </c>
      <c r="W103" s="1">
        <v>-3.2</v>
      </c>
      <c r="X103" s="1">
        <v>0</v>
      </c>
      <c r="Y103" s="1">
        <v>-5.5</v>
      </c>
      <c r="Z103" s="1" t="s">
        <v>718</v>
      </c>
      <c r="AA103" s="1" t="s">
        <v>1248</v>
      </c>
      <c r="AB103" s="1" t="s">
        <v>1166</v>
      </c>
      <c r="AC103" s="1">
        <v>-2.8</v>
      </c>
      <c r="AD103" s="1">
        <v>10</v>
      </c>
      <c r="AE103" s="1">
        <v>5.6</v>
      </c>
      <c r="AF103" s="1">
        <v>7.8</v>
      </c>
      <c r="AG103" s="1">
        <v>6.36933333333333</v>
      </c>
      <c r="AH103" s="1">
        <v>0.5</v>
      </c>
      <c r="AI103" s="1">
        <v>1</v>
      </c>
      <c r="AJ103" s="1">
        <v>0.5</v>
      </c>
      <c r="AK103" s="1">
        <v>1</v>
      </c>
      <c r="AL103" s="1">
        <v>1</v>
      </c>
      <c r="AM103" s="1">
        <v>0.5</v>
      </c>
      <c r="AN103" s="1">
        <v>0</v>
      </c>
      <c r="AO103" s="1">
        <v>0</v>
      </c>
      <c r="AP103" s="1">
        <v>1</v>
      </c>
      <c r="AQ103" s="1">
        <v>4.5</v>
      </c>
      <c r="AR103" s="1">
        <v>10</v>
      </c>
      <c r="AS103" s="1">
        <v>45</v>
      </c>
      <c r="AT103" s="1">
        <v>49</v>
      </c>
      <c r="AU103" s="1">
        <v>47.272727272727302</v>
      </c>
      <c r="AV103" s="1">
        <v>-4</v>
      </c>
      <c r="AW103" s="1">
        <v>-2.2727272727272698</v>
      </c>
      <c r="AX103" s="1">
        <v>5.4545454545454604</v>
      </c>
      <c r="AY103" s="1">
        <v>0</v>
      </c>
      <c r="AZ103" s="1">
        <v>5.8677685950413201</v>
      </c>
      <c r="BA103" s="1">
        <v>0.115</v>
      </c>
      <c r="BB103" s="1">
        <v>5.75</v>
      </c>
      <c r="BC103" s="1"/>
      <c r="BD103" s="1"/>
      <c r="BE103" s="1"/>
      <c r="BF103" s="1"/>
      <c r="BG103" s="1"/>
      <c r="BH103" s="1"/>
    </row>
    <row r="104" spans="1:60" x14ac:dyDescent="0.2">
      <c r="A104" s="3">
        <v>102</v>
      </c>
      <c r="B104" s="3" t="s">
        <v>688</v>
      </c>
      <c r="C104" s="3" t="s">
        <v>689</v>
      </c>
      <c r="D104" s="1"/>
      <c r="E104" s="1">
        <f t="shared" si="9"/>
        <v>4.2780870199146772</v>
      </c>
      <c r="F104" s="1">
        <f t="shared" si="10"/>
        <v>6.7107438016528898</v>
      </c>
      <c r="G104" s="1">
        <f t="shared" si="11"/>
        <v>2.7272727272727302</v>
      </c>
      <c r="H104" s="1"/>
      <c r="I104" s="1"/>
      <c r="J104" s="1"/>
      <c r="K104" s="1">
        <v>4</v>
      </c>
      <c r="L104" s="1">
        <v>5</v>
      </c>
      <c r="M104" s="1">
        <v>0.7</v>
      </c>
      <c r="N104" s="1">
        <v>4</v>
      </c>
      <c r="O104" s="1">
        <v>3.4</v>
      </c>
      <c r="P104" s="1">
        <v>4</v>
      </c>
      <c r="Q104" s="1">
        <v>3.2749999999999999</v>
      </c>
      <c r="R104" s="1">
        <v>3.6375000000000002</v>
      </c>
      <c r="S104" s="1">
        <v>8.1988742964352692</v>
      </c>
      <c r="T104" s="1">
        <v>-0.4</v>
      </c>
      <c r="U104" s="1">
        <v>1.5</v>
      </c>
      <c r="V104" s="1">
        <v>1.4</v>
      </c>
      <c r="W104" s="1">
        <v>-5.0999999999999996</v>
      </c>
      <c r="X104" s="1">
        <v>5.5</v>
      </c>
      <c r="Y104" s="1">
        <v>-6.5</v>
      </c>
      <c r="Z104" s="1" t="s">
        <v>1178</v>
      </c>
      <c r="AA104" s="1" t="s">
        <v>1213</v>
      </c>
      <c r="AB104" s="1" t="s">
        <v>1211</v>
      </c>
      <c r="AC104" s="1">
        <v>-6.4</v>
      </c>
      <c r="AD104" s="1">
        <v>10</v>
      </c>
      <c r="AE104" s="1">
        <v>10</v>
      </c>
      <c r="AF104" s="1">
        <v>6.8666666666666698</v>
      </c>
      <c r="AG104" s="1">
        <v>6.532</v>
      </c>
      <c r="AH104" s="1"/>
      <c r="AI104" s="1"/>
      <c r="AJ104" s="1"/>
      <c r="AK104" s="1"/>
      <c r="AL104" s="1"/>
      <c r="AM104" s="1"/>
      <c r="AN104" s="1"/>
      <c r="AO104" s="1"/>
      <c r="AP104" s="1"/>
      <c r="AQ104" s="1"/>
      <c r="AR104" s="1"/>
      <c r="AS104" s="1">
        <v>51</v>
      </c>
      <c r="AT104" s="1">
        <v>52</v>
      </c>
      <c r="AU104" s="1">
        <v>51.909090909090899</v>
      </c>
      <c r="AV104" s="1">
        <v>-1</v>
      </c>
      <c r="AW104" s="1">
        <v>-0.90909090909090695</v>
      </c>
      <c r="AX104" s="1">
        <v>6.5454545454545396</v>
      </c>
      <c r="AY104" s="1">
        <v>2.7272727272727302</v>
      </c>
      <c r="AZ104" s="1">
        <v>6.7107438016528898</v>
      </c>
      <c r="BA104" s="1"/>
      <c r="BB104" s="1"/>
      <c r="BC104" s="1"/>
      <c r="BD104" s="1"/>
      <c r="BE104" s="1"/>
      <c r="BF104" s="1"/>
      <c r="BG104" s="1"/>
      <c r="BH104" s="1"/>
    </row>
    <row r="105" spans="1:60" x14ac:dyDescent="0.2">
      <c r="A105" s="3">
        <v>103</v>
      </c>
      <c r="B105" s="3" t="s">
        <v>693</v>
      </c>
      <c r="C105" s="3" t="s">
        <v>694</v>
      </c>
      <c r="D105" s="1"/>
      <c r="E105" s="1">
        <f t="shared" si="9"/>
        <v>2.5454545454545401</v>
      </c>
      <c r="F105" s="1">
        <f t="shared" si="10"/>
        <v>2.5454545454545401</v>
      </c>
      <c r="G105" s="1">
        <f t="shared" si="11"/>
        <v>0</v>
      </c>
      <c r="H105" s="1"/>
      <c r="I105" s="1">
        <v>4</v>
      </c>
      <c r="J105" s="1">
        <v>4</v>
      </c>
      <c r="K105" s="1">
        <v>0</v>
      </c>
      <c r="L105" s="1">
        <v>0</v>
      </c>
      <c r="M105" s="1">
        <v>0.1</v>
      </c>
      <c r="N105" s="1"/>
      <c r="O105" s="1">
        <v>4</v>
      </c>
      <c r="P105" s="1">
        <v>2.6666666666666701</v>
      </c>
      <c r="Q105" s="1">
        <v>1.36666666666667</v>
      </c>
      <c r="R105" s="1">
        <v>2.0166666666666702</v>
      </c>
      <c r="S105" s="1">
        <v>0.90056285178236295</v>
      </c>
      <c r="T105" s="1"/>
      <c r="U105" s="1"/>
      <c r="V105" s="1"/>
      <c r="W105" s="1"/>
      <c r="X105" s="1"/>
      <c r="Y105" s="1"/>
      <c r="Z105" s="1" t="s">
        <v>1186</v>
      </c>
      <c r="AA105" s="1" t="s">
        <v>1241</v>
      </c>
      <c r="AB105" s="1" t="s">
        <v>1233</v>
      </c>
      <c r="AC105" s="1">
        <v>-12</v>
      </c>
      <c r="AD105" s="1"/>
      <c r="AE105" s="1">
        <v>10</v>
      </c>
      <c r="AF105" s="1"/>
      <c r="AG105" s="1">
        <v>4.5599999999999996</v>
      </c>
      <c r="AH105" s="1"/>
      <c r="AI105" s="1"/>
      <c r="AJ105" s="1"/>
      <c r="AK105" s="1"/>
      <c r="AL105" s="1"/>
      <c r="AM105" s="1"/>
      <c r="AN105" s="1"/>
      <c r="AO105" s="1"/>
      <c r="AP105" s="1"/>
      <c r="AQ105" s="1"/>
      <c r="AR105" s="1"/>
      <c r="AS105" s="1">
        <v>27</v>
      </c>
      <c r="AT105" s="1">
        <v>29</v>
      </c>
      <c r="AU105" s="1">
        <v>29</v>
      </c>
      <c r="AV105" s="1">
        <v>-2</v>
      </c>
      <c r="AW105" s="1">
        <v>-2</v>
      </c>
      <c r="AX105" s="1">
        <v>2.1818181818181799</v>
      </c>
      <c r="AY105" s="1">
        <v>0</v>
      </c>
      <c r="AZ105" s="1">
        <v>2.5454545454545401</v>
      </c>
      <c r="BA105" s="1">
        <v>0.17199999999999999</v>
      </c>
      <c r="BB105" s="1">
        <v>8.6</v>
      </c>
      <c r="BC105" s="1"/>
      <c r="BD105" s="1"/>
      <c r="BE105" s="1"/>
      <c r="BF105" s="1"/>
      <c r="BG105" s="1"/>
      <c r="BH105" s="1"/>
    </row>
    <row r="106" spans="1:60" x14ac:dyDescent="0.2">
      <c r="A106" s="3">
        <v>104</v>
      </c>
      <c r="B106" s="3" t="s">
        <v>698</v>
      </c>
      <c r="C106" s="3" t="s">
        <v>699</v>
      </c>
      <c r="D106" s="1"/>
      <c r="E106" s="1">
        <f t="shared" si="9"/>
        <v>1.2304061621337417</v>
      </c>
      <c r="F106" s="1">
        <f t="shared" si="10"/>
        <v>0.214876033057852</v>
      </c>
      <c r="G106" s="1">
        <f t="shared" si="11"/>
        <v>7.0454545454545396</v>
      </c>
      <c r="H106" s="1"/>
      <c r="I106" s="1">
        <v>3</v>
      </c>
      <c r="J106" s="1">
        <v>4</v>
      </c>
      <c r="K106" s="1">
        <v>0</v>
      </c>
      <c r="L106" s="1">
        <v>0</v>
      </c>
      <c r="M106" s="1">
        <v>0</v>
      </c>
      <c r="N106" s="1"/>
      <c r="O106" s="1">
        <v>3.9</v>
      </c>
      <c r="P106" s="1">
        <v>2.3333333333333299</v>
      </c>
      <c r="Q106" s="1">
        <v>1.3</v>
      </c>
      <c r="R106" s="1">
        <v>1.81666666666667</v>
      </c>
      <c r="S106" s="1">
        <v>0</v>
      </c>
      <c r="T106" s="1"/>
      <c r="U106" s="1"/>
      <c r="V106" s="1"/>
      <c r="W106" s="1"/>
      <c r="X106" s="1"/>
      <c r="Y106" s="1"/>
      <c r="Z106" s="1" t="s">
        <v>718</v>
      </c>
      <c r="AA106" s="1" t="s">
        <v>1249</v>
      </c>
      <c r="AB106" s="1" t="s">
        <v>1158</v>
      </c>
      <c r="AC106" s="1">
        <v>-7.2</v>
      </c>
      <c r="AD106" s="1"/>
      <c r="AE106" s="1">
        <v>10</v>
      </c>
      <c r="AF106" s="1"/>
      <c r="AG106" s="1">
        <v>7.2</v>
      </c>
      <c r="AH106" s="1"/>
      <c r="AI106" s="1"/>
      <c r="AJ106" s="1"/>
      <c r="AK106" s="1"/>
      <c r="AL106" s="1"/>
      <c r="AM106" s="1"/>
      <c r="AN106" s="1"/>
      <c r="AO106" s="1"/>
      <c r="AP106" s="1"/>
      <c r="AQ106" s="1"/>
      <c r="AR106" s="1"/>
      <c r="AS106" s="1">
        <v>17</v>
      </c>
      <c r="AT106" s="1">
        <v>17</v>
      </c>
      <c r="AU106" s="1">
        <v>16.181818181818201</v>
      </c>
      <c r="AV106" s="1">
        <v>0</v>
      </c>
      <c r="AW106" s="1">
        <v>0.81818181818181701</v>
      </c>
      <c r="AX106" s="1">
        <v>0.36363636363636298</v>
      </c>
      <c r="AY106" s="1">
        <v>7.0454545454545396</v>
      </c>
      <c r="AZ106" s="1">
        <v>0.214876033057852</v>
      </c>
      <c r="BA106" s="1"/>
      <c r="BB106" s="1"/>
      <c r="BC106" s="1"/>
      <c r="BD106" s="1"/>
      <c r="BE106" s="1"/>
      <c r="BF106" s="1"/>
      <c r="BG106" s="1"/>
      <c r="BH106" s="1"/>
    </row>
    <row r="107" spans="1:60" x14ac:dyDescent="0.2">
      <c r="A107" s="3">
        <v>105</v>
      </c>
      <c r="B107" s="3" t="s">
        <v>702</v>
      </c>
      <c r="C107" s="3" t="s">
        <v>703</v>
      </c>
      <c r="D107" s="1"/>
      <c r="E107" s="1">
        <f t="shared" si="9"/>
        <v>4.4939227683878151</v>
      </c>
      <c r="F107" s="1">
        <f t="shared" si="10"/>
        <v>3.1735537190082601</v>
      </c>
      <c r="G107" s="1">
        <f t="shared" si="11"/>
        <v>6.3636363636363704</v>
      </c>
      <c r="H107" s="1"/>
      <c r="I107" s="1">
        <v>4</v>
      </c>
      <c r="J107" s="1">
        <v>4</v>
      </c>
      <c r="K107" s="1">
        <v>3</v>
      </c>
      <c r="L107" s="1">
        <v>0</v>
      </c>
      <c r="M107" s="1">
        <v>0.3</v>
      </c>
      <c r="N107" s="1"/>
      <c r="O107" s="1">
        <v>3.6</v>
      </c>
      <c r="P107" s="1">
        <v>3.6666666666666701</v>
      </c>
      <c r="Q107" s="1">
        <v>1.3</v>
      </c>
      <c r="R107" s="1">
        <v>2.4833333333333298</v>
      </c>
      <c r="S107" s="1">
        <v>3.0018761726078802</v>
      </c>
      <c r="T107" s="1"/>
      <c r="U107" s="1"/>
      <c r="V107" s="1"/>
      <c r="W107" s="1"/>
      <c r="X107" s="1"/>
      <c r="Y107" s="1"/>
      <c r="Z107" s="1" t="s">
        <v>116</v>
      </c>
      <c r="AA107" s="1" t="s">
        <v>1250</v>
      </c>
      <c r="AB107" s="1" t="s">
        <v>795</v>
      </c>
      <c r="AC107" s="1">
        <v>-10.8</v>
      </c>
      <c r="AD107" s="1"/>
      <c r="AE107" s="1">
        <v>10</v>
      </c>
      <c r="AF107" s="1"/>
      <c r="AG107" s="1">
        <v>7.3333333333333304</v>
      </c>
      <c r="AH107" s="1"/>
      <c r="AI107" s="1"/>
      <c r="AJ107" s="1"/>
      <c r="AK107" s="1"/>
      <c r="AL107" s="1"/>
      <c r="AM107" s="1"/>
      <c r="AN107" s="1"/>
      <c r="AO107" s="1"/>
      <c r="AP107" s="1"/>
      <c r="AQ107" s="1"/>
      <c r="AR107" s="1"/>
      <c r="AS107" s="1">
        <v>33</v>
      </c>
      <c r="AT107" s="1">
        <v>33</v>
      </c>
      <c r="AU107" s="1">
        <v>32.454545454545503</v>
      </c>
      <c r="AV107" s="1">
        <v>0</v>
      </c>
      <c r="AW107" s="1">
        <v>0.54545454545454697</v>
      </c>
      <c r="AX107" s="1">
        <v>3.2727272727272698</v>
      </c>
      <c r="AY107" s="1">
        <v>6.3636363636363704</v>
      </c>
      <c r="AZ107" s="1">
        <v>3.1735537190082601</v>
      </c>
      <c r="BA107" s="1">
        <v>0.23400000000000001</v>
      </c>
      <c r="BB107" s="1">
        <v>10</v>
      </c>
      <c r="BC107" s="1"/>
      <c r="BD107" s="1"/>
      <c r="BE107" s="1"/>
      <c r="BF107" s="1"/>
      <c r="BG107" s="1"/>
      <c r="BH107" s="1"/>
    </row>
    <row r="108" spans="1:60" x14ac:dyDescent="0.2">
      <c r="A108" s="3">
        <v>106</v>
      </c>
      <c r="B108" s="3" t="s">
        <v>706</v>
      </c>
      <c r="C108" s="3" t="s">
        <v>707</v>
      </c>
      <c r="D108" s="1"/>
      <c r="E108" s="1">
        <f t="shared" si="9"/>
        <v>2.4269956817160643</v>
      </c>
      <c r="F108" s="1">
        <f t="shared" si="10"/>
        <v>6.4793388429752099</v>
      </c>
      <c r="G108" s="1">
        <f t="shared" si="11"/>
        <v>0.90909090909091705</v>
      </c>
      <c r="H108" s="1"/>
      <c r="I108" s="1">
        <v>4</v>
      </c>
      <c r="J108" s="1">
        <v>4</v>
      </c>
      <c r="K108" s="1">
        <v>4</v>
      </c>
      <c r="L108" s="1">
        <v>3</v>
      </c>
      <c r="M108" s="1">
        <v>0.9</v>
      </c>
      <c r="N108" s="1">
        <v>3</v>
      </c>
      <c r="O108" s="1">
        <v>3</v>
      </c>
      <c r="P108" s="1">
        <v>4</v>
      </c>
      <c r="Q108" s="1">
        <v>2.4750000000000001</v>
      </c>
      <c r="R108" s="1">
        <v>3.2374999999999998</v>
      </c>
      <c r="S108" s="1">
        <v>6.3977485928705402</v>
      </c>
      <c r="T108" s="1">
        <v>4.2</v>
      </c>
      <c r="U108" s="1">
        <v>3</v>
      </c>
      <c r="V108" s="1">
        <v>2.2999999999999998</v>
      </c>
      <c r="W108" s="1">
        <v>-4</v>
      </c>
      <c r="X108" s="1">
        <v>3.4</v>
      </c>
      <c r="Y108" s="1">
        <v>-6.3</v>
      </c>
      <c r="Z108" s="1" t="s">
        <v>116</v>
      </c>
      <c r="AA108" s="1" t="s">
        <v>1238</v>
      </c>
      <c r="AB108" s="1" t="s">
        <v>1158</v>
      </c>
      <c r="AC108" s="1">
        <v>-5.9</v>
      </c>
      <c r="AD108" s="1">
        <v>10</v>
      </c>
      <c r="AE108" s="1">
        <v>10</v>
      </c>
      <c r="AF108" s="1">
        <v>7.5333333333333297</v>
      </c>
      <c r="AG108" s="1">
        <v>7.9806666666666697</v>
      </c>
      <c r="AH108" s="1">
        <v>0</v>
      </c>
      <c r="AI108" s="1">
        <v>0</v>
      </c>
      <c r="AJ108" s="1">
        <v>1</v>
      </c>
      <c r="AK108" s="1">
        <v>0</v>
      </c>
      <c r="AL108" s="1">
        <v>0</v>
      </c>
      <c r="AM108" s="1">
        <v>1</v>
      </c>
      <c r="AN108" s="1">
        <v>0</v>
      </c>
      <c r="AO108" s="1">
        <v>0</v>
      </c>
      <c r="AP108" s="1">
        <v>0.5</v>
      </c>
      <c r="AQ108" s="1">
        <v>2</v>
      </c>
      <c r="AR108" s="1">
        <v>9.5238095238095202</v>
      </c>
      <c r="AS108" s="1">
        <v>49</v>
      </c>
      <c r="AT108" s="1">
        <v>49</v>
      </c>
      <c r="AU108" s="1">
        <v>50.636363636363598</v>
      </c>
      <c r="AV108" s="1">
        <v>0</v>
      </c>
      <c r="AW108" s="1">
        <v>-1.63636363636363</v>
      </c>
      <c r="AX108" s="1">
        <v>6.1818181818181799</v>
      </c>
      <c r="AY108" s="1">
        <v>0.90909090909091705</v>
      </c>
      <c r="AZ108" s="1">
        <v>6.4793388429752099</v>
      </c>
      <c r="BA108" s="1">
        <v>0.14699999999999999</v>
      </c>
      <c r="BB108" s="1">
        <v>7.35</v>
      </c>
      <c r="BC108" s="1"/>
      <c r="BD108" s="1"/>
      <c r="BE108" s="1"/>
      <c r="BF108" s="1"/>
      <c r="BG108" s="1"/>
      <c r="BH108" s="1"/>
    </row>
    <row r="109" spans="1:60" x14ac:dyDescent="0.2">
      <c r="A109" s="3">
        <v>107</v>
      </c>
      <c r="B109" s="3" t="s">
        <v>712</v>
      </c>
      <c r="C109" s="3" t="s">
        <v>713</v>
      </c>
      <c r="D109" s="1"/>
      <c r="E109" s="1">
        <f t="shared" si="9"/>
        <v>5.080124349951415</v>
      </c>
      <c r="F109" s="1">
        <f t="shared" si="10"/>
        <v>7.5702479338842998</v>
      </c>
      <c r="G109" s="1">
        <f t="shared" si="11"/>
        <v>3.4090909090909198</v>
      </c>
      <c r="H109" s="1"/>
      <c r="I109" s="1">
        <v>4</v>
      </c>
      <c r="J109" s="1">
        <v>4</v>
      </c>
      <c r="K109" s="1">
        <v>0</v>
      </c>
      <c r="L109" s="1">
        <v>4</v>
      </c>
      <c r="M109" s="1">
        <v>0.8</v>
      </c>
      <c r="N109" s="1">
        <v>3</v>
      </c>
      <c r="O109" s="1">
        <v>4</v>
      </c>
      <c r="P109" s="1">
        <v>2.6666666666666701</v>
      </c>
      <c r="Q109" s="1">
        <v>2.95</v>
      </c>
      <c r="R109" s="1">
        <v>2.80833333333333</v>
      </c>
      <c r="S109" s="1">
        <v>4.4652908067542203</v>
      </c>
      <c r="T109" s="1">
        <v>4.7</v>
      </c>
      <c r="U109" s="1">
        <v>4.3</v>
      </c>
      <c r="V109" s="1">
        <v>3.6</v>
      </c>
      <c r="W109" s="1">
        <v>-3.1</v>
      </c>
      <c r="X109" s="1">
        <v>4</v>
      </c>
      <c r="Y109" s="1">
        <v>-6.7</v>
      </c>
      <c r="Z109" s="1" t="s">
        <v>628</v>
      </c>
      <c r="AA109" s="1" t="s">
        <v>1147</v>
      </c>
      <c r="AB109" s="1" t="s">
        <v>1195</v>
      </c>
      <c r="AC109" s="1">
        <v>-6.6</v>
      </c>
      <c r="AD109" s="1">
        <v>10</v>
      </c>
      <c r="AE109" s="1">
        <v>10</v>
      </c>
      <c r="AF109" s="1">
        <v>8.1333333333333293</v>
      </c>
      <c r="AG109" s="1">
        <v>6.3333333333333304</v>
      </c>
      <c r="AH109" s="1"/>
      <c r="AI109" s="1"/>
      <c r="AJ109" s="1"/>
      <c r="AK109" s="1"/>
      <c r="AL109" s="1"/>
      <c r="AM109" s="1"/>
      <c r="AN109" s="1"/>
      <c r="AO109" s="1"/>
      <c r="AP109" s="1"/>
      <c r="AQ109" s="1"/>
      <c r="AR109" s="1"/>
      <c r="AS109" s="1">
        <v>56</v>
      </c>
      <c r="AT109" s="1">
        <v>57</v>
      </c>
      <c r="AU109" s="1">
        <v>56.636363636363598</v>
      </c>
      <c r="AV109" s="1">
        <v>-1</v>
      </c>
      <c r="AW109" s="1">
        <v>-0.63636363636363302</v>
      </c>
      <c r="AX109" s="1">
        <v>7.4545454545454604</v>
      </c>
      <c r="AY109" s="1">
        <v>3.4090909090909198</v>
      </c>
      <c r="AZ109" s="1">
        <v>7.5702479338842998</v>
      </c>
      <c r="BA109" s="1"/>
      <c r="BB109" s="1"/>
      <c r="BC109" s="1"/>
      <c r="BD109" s="1"/>
      <c r="BE109" s="1"/>
      <c r="BF109" s="1"/>
      <c r="BG109" s="1"/>
      <c r="BH109" s="1"/>
    </row>
    <row r="110" spans="1:60" x14ac:dyDescent="0.2">
      <c r="A110" s="3">
        <v>108</v>
      </c>
      <c r="B110" s="3" t="s">
        <v>716</v>
      </c>
      <c r="C110" s="3" t="s">
        <v>717</v>
      </c>
      <c r="D110" s="1"/>
      <c r="E110" s="1">
        <f t="shared" si="9"/>
        <v>4.6661657632501363</v>
      </c>
      <c r="F110" s="1">
        <f t="shared" si="10"/>
        <v>7.9834710743801596</v>
      </c>
      <c r="G110" s="1">
        <f t="shared" si="11"/>
        <v>2.7272727272727302</v>
      </c>
      <c r="H110" s="1"/>
      <c r="I110" s="1">
        <v>4</v>
      </c>
      <c r="J110" s="1">
        <v>4</v>
      </c>
      <c r="K110" s="1">
        <v>4</v>
      </c>
      <c r="L110" s="1">
        <v>0</v>
      </c>
      <c r="M110" s="1">
        <v>0.5</v>
      </c>
      <c r="N110" s="1">
        <v>8</v>
      </c>
      <c r="O110" s="1">
        <v>4.3</v>
      </c>
      <c r="P110" s="1">
        <v>4</v>
      </c>
      <c r="Q110" s="1">
        <v>3.2</v>
      </c>
      <c r="R110" s="1">
        <v>3.6</v>
      </c>
      <c r="S110" s="1">
        <v>8.0300187617260796</v>
      </c>
      <c r="T110" s="1">
        <v>3.9</v>
      </c>
      <c r="U110" s="1">
        <v>4.5999999999999996</v>
      </c>
      <c r="V110" s="1">
        <v>4.8</v>
      </c>
      <c r="W110" s="1">
        <v>-1.2</v>
      </c>
      <c r="X110" s="1">
        <v>4</v>
      </c>
      <c r="Y110" s="1">
        <v>-6</v>
      </c>
      <c r="Z110" s="1" t="s">
        <v>1158</v>
      </c>
      <c r="AA110" s="1" t="s">
        <v>1251</v>
      </c>
      <c r="AB110" s="1" t="s">
        <v>1232</v>
      </c>
      <c r="AC110" s="1">
        <v>-4.4000000000000004</v>
      </c>
      <c r="AD110" s="1">
        <v>10</v>
      </c>
      <c r="AE110" s="1">
        <v>8.8000000000000007</v>
      </c>
      <c r="AF110" s="1">
        <v>6.1333333333333302</v>
      </c>
      <c r="AG110" s="1">
        <v>5.4420000000000002</v>
      </c>
      <c r="AH110" s="1"/>
      <c r="AI110" s="1"/>
      <c r="AJ110" s="1"/>
      <c r="AK110" s="1"/>
      <c r="AL110" s="1"/>
      <c r="AM110" s="1"/>
      <c r="AN110" s="1"/>
      <c r="AO110" s="1"/>
      <c r="AP110" s="1"/>
      <c r="AQ110" s="1"/>
      <c r="AR110" s="1"/>
      <c r="AS110" s="1">
        <v>58</v>
      </c>
      <c r="AT110" s="1">
        <v>58</v>
      </c>
      <c r="AU110" s="1">
        <v>58.909090909090899</v>
      </c>
      <c r="AV110" s="1">
        <v>0</v>
      </c>
      <c r="AW110" s="1">
        <v>-0.90909090909090695</v>
      </c>
      <c r="AX110" s="1">
        <v>7.8181818181818201</v>
      </c>
      <c r="AY110" s="1">
        <v>2.7272727272727302</v>
      </c>
      <c r="AZ110" s="1">
        <v>7.9834710743801596</v>
      </c>
      <c r="BA110" s="1"/>
      <c r="BB110" s="1"/>
      <c r="BC110" s="1"/>
      <c r="BD110" s="1"/>
      <c r="BE110" s="1"/>
      <c r="BF110" s="1"/>
      <c r="BG110" s="1"/>
      <c r="BH110" s="1"/>
    </row>
    <row r="111" spans="1:60" x14ac:dyDescent="0.2">
      <c r="A111" s="3">
        <v>109</v>
      </c>
      <c r="B111" s="3" t="s">
        <v>721</v>
      </c>
      <c r="C111" s="3" t="s">
        <v>722</v>
      </c>
      <c r="D111" s="1"/>
      <c r="E111" s="1">
        <f t="shared" si="9"/>
        <v>0</v>
      </c>
      <c r="F111" s="1">
        <f t="shared" si="10"/>
        <v>0</v>
      </c>
      <c r="G111" s="1">
        <f t="shared" si="11"/>
        <v>0</v>
      </c>
      <c r="H111" s="1"/>
      <c r="I111" s="1">
        <v>4</v>
      </c>
      <c r="J111" s="1">
        <v>4</v>
      </c>
      <c r="K111" s="1">
        <v>8</v>
      </c>
      <c r="L111" s="1">
        <v>0</v>
      </c>
      <c r="M111" s="1">
        <v>0.2</v>
      </c>
      <c r="N111" s="1"/>
      <c r="O111" s="1"/>
      <c r="P111" s="1">
        <v>5.3333333333333304</v>
      </c>
      <c r="Q111" s="1">
        <v>0.1</v>
      </c>
      <c r="R111" s="1">
        <v>2.7166666666666699</v>
      </c>
      <c r="S111" s="1">
        <v>4.0525328330206403</v>
      </c>
      <c r="T111" s="1">
        <v>6.8</v>
      </c>
      <c r="U111" s="1">
        <v>6.9</v>
      </c>
      <c r="V111" s="1">
        <v>5.2</v>
      </c>
      <c r="W111" s="1">
        <v>-13</v>
      </c>
      <c r="X111" s="1">
        <v>8.5</v>
      </c>
      <c r="Y111" s="1">
        <v>-18.2</v>
      </c>
      <c r="Z111" s="1" t="s">
        <v>1170</v>
      </c>
      <c r="AA111" s="1" t="s">
        <v>1241</v>
      </c>
      <c r="AB111" s="1" t="s">
        <v>1252</v>
      </c>
      <c r="AC111" s="1">
        <v>-13.8</v>
      </c>
      <c r="AD111" s="1">
        <v>10</v>
      </c>
      <c r="AE111" s="1">
        <v>10</v>
      </c>
      <c r="AF111" s="1">
        <v>10</v>
      </c>
      <c r="AG111" s="1">
        <v>10</v>
      </c>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row>
    <row r="112" spans="1:60" x14ac:dyDescent="0.2">
      <c r="A112" s="3">
        <v>110</v>
      </c>
      <c r="B112" s="3" t="s">
        <v>725</v>
      </c>
      <c r="C112" s="3" t="s">
        <v>726</v>
      </c>
      <c r="D112" s="1"/>
      <c r="E112" s="1">
        <f t="shared" si="9"/>
        <v>5.2417155845172223</v>
      </c>
      <c r="F112" s="1">
        <f t="shared" si="10"/>
        <v>5.25619834710744</v>
      </c>
      <c r="G112" s="1">
        <f t="shared" si="11"/>
        <v>5.2272727272727302</v>
      </c>
      <c r="H112" s="1"/>
      <c r="I112" s="1">
        <v>4</v>
      </c>
      <c r="J112" s="1">
        <v>3</v>
      </c>
      <c r="K112" s="1">
        <v>4</v>
      </c>
      <c r="L112" s="1">
        <v>0</v>
      </c>
      <c r="M112" s="1">
        <v>0.7</v>
      </c>
      <c r="N112" s="1">
        <v>0</v>
      </c>
      <c r="O112" s="1">
        <v>3.6</v>
      </c>
      <c r="P112" s="1">
        <v>3.6666666666666701</v>
      </c>
      <c r="Q112" s="1">
        <v>1.075</v>
      </c>
      <c r="R112" s="1">
        <v>2.37083333333333</v>
      </c>
      <c r="S112" s="1">
        <v>2.4953095684802999</v>
      </c>
      <c r="T112" s="1">
        <v>2.1</v>
      </c>
      <c r="U112" s="1">
        <v>2.2000000000000002</v>
      </c>
      <c r="V112" s="1">
        <v>-0.3</v>
      </c>
      <c r="W112" s="1">
        <v>-7.5</v>
      </c>
      <c r="X112" s="1">
        <v>3</v>
      </c>
      <c r="Y112" s="1">
        <v>-7.2</v>
      </c>
      <c r="Z112" s="1" t="s">
        <v>1184</v>
      </c>
      <c r="AA112" s="1" t="s">
        <v>1253</v>
      </c>
      <c r="AB112" s="1" t="s">
        <v>1146</v>
      </c>
      <c r="AC112" s="1">
        <v>-6.5</v>
      </c>
      <c r="AD112" s="1">
        <v>10</v>
      </c>
      <c r="AE112" s="1">
        <v>10</v>
      </c>
      <c r="AF112" s="1">
        <v>9.3333333333333304</v>
      </c>
      <c r="AG112" s="1">
        <v>9.3026666666666706</v>
      </c>
      <c r="AH112" s="1">
        <v>0</v>
      </c>
      <c r="AI112" s="1">
        <v>1</v>
      </c>
      <c r="AJ112" s="1">
        <v>0</v>
      </c>
      <c r="AK112" s="1">
        <v>0</v>
      </c>
      <c r="AL112" s="1">
        <v>0.5</v>
      </c>
      <c r="AM112" s="1">
        <v>0</v>
      </c>
      <c r="AN112" s="1">
        <v>0</v>
      </c>
      <c r="AO112" s="1">
        <v>0</v>
      </c>
      <c r="AP112" s="1">
        <v>1</v>
      </c>
      <c r="AQ112" s="1">
        <v>1.5</v>
      </c>
      <c r="AR112" s="1">
        <v>7.1428571428571397</v>
      </c>
      <c r="AS112" s="1">
        <v>44</v>
      </c>
      <c r="AT112" s="1">
        <v>44</v>
      </c>
      <c r="AU112" s="1">
        <v>43.909090909090899</v>
      </c>
      <c r="AV112" s="1">
        <v>0</v>
      </c>
      <c r="AW112" s="1">
        <v>9.0909090909093507E-2</v>
      </c>
      <c r="AX112" s="1">
        <v>5.2727272727272698</v>
      </c>
      <c r="AY112" s="1">
        <v>5.2272727272727302</v>
      </c>
      <c r="AZ112" s="1">
        <v>5.25619834710744</v>
      </c>
      <c r="BA112" s="1">
        <v>6.6000000000000003E-2</v>
      </c>
      <c r="BB112" s="1">
        <v>3.3</v>
      </c>
      <c r="BC112" s="1"/>
      <c r="BD112" s="1"/>
      <c r="BE112" s="1"/>
      <c r="BF112" s="1"/>
      <c r="BG112" s="1"/>
      <c r="BH112" s="1"/>
    </row>
    <row r="113" spans="1:60" x14ac:dyDescent="0.2">
      <c r="A113" s="3">
        <v>111</v>
      </c>
      <c r="B113" s="3" t="s">
        <v>731</v>
      </c>
      <c r="C113" s="3" t="s">
        <v>732</v>
      </c>
      <c r="D113" s="1"/>
      <c r="E113" s="1">
        <f t="shared" si="9"/>
        <v>0</v>
      </c>
      <c r="F113" s="1">
        <f t="shared" si="10"/>
        <v>0</v>
      </c>
      <c r="G113" s="1">
        <f t="shared" si="11"/>
        <v>0</v>
      </c>
      <c r="H113" s="1"/>
      <c r="I113" s="1"/>
      <c r="J113" s="1"/>
      <c r="K113" s="1"/>
      <c r="L113" s="1">
        <v>4</v>
      </c>
      <c r="M113" s="1"/>
      <c r="N113" s="1">
        <v>8</v>
      </c>
      <c r="O113" s="1">
        <v>2.8</v>
      </c>
      <c r="P113" s="1"/>
      <c r="Q113" s="1">
        <v>4.93333333333333</v>
      </c>
      <c r="R113" s="1">
        <v>4.93333333333333</v>
      </c>
      <c r="S113" s="1">
        <v>10</v>
      </c>
      <c r="T113" s="1"/>
      <c r="U113" s="1"/>
      <c r="V113" s="1"/>
      <c r="W113" s="1"/>
      <c r="X113" s="1"/>
      <c r="Y113" s="1"/>
      <c r="Z113" s="1" t="s">
        <v>1210</v>
      </c>
      <c r="AA113" s="1" t="s">
        <v>1254</v>
      </c>
      <c r="AB113" s="1" t="s">
        <v>1202</v>
      </c>
      <c r="AC113" s="1">
        <v>-2.6</v>
      </c>
      <c r="AD113" s="1"/>
      <c r="AE113" s="1">
        <v>5.2</v>
      </c>
      <c r="AF113" s="1"/>
      <c r="AG113" s="1">
        <v>10</v>
      </c>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row>
    <row r="114" spans="1:60" x14ac:dyDescent="0.2">
      <c r="A114" s="3">
        <v>112</v>
      </c>
      <c r="B114" s="3" t="s">
        <v>733</v>
      </c>
      <c r="C114" s="3" t="s">
        <v>734</v>
      </c>
      <c r="D114" s="1"/>
      <c r="E114" s="1">
        <f t="shared" si="9"/>
        <v>4.9372470786108833</v>
      </c>
      <c r="F114" s="1">
        <f t="shared" si="10"/>
        <v>5.1074380165289304</v>
      </c>
      <c r="G114" s="1">
        <f t="shared" si="11"/>
        <v>4.7727272727272698</v>
      </c>
      <c r="H114" s="1"/>
      <c r="I114" s="1">
        <v>4</v>
      </c>
      <c r="J114" s="1">
        <v>4</v>
      </c>
      <c r="K114" s="1">
        <v>3</v>
      </c>
      <c r="L114" s="1">
        <v>0</v>
      </c>
      <c r="M114" s="1">
        <v>0.6</v>
      </c>
      <c r="N114" s="1">
        <v>0</v>
      </c>
      <c r="O114" s="1">
        <v>2.8</v>
      </c>
      <c r="P114" s="1">
        <v>3.6666666666666701</v>
      </c>
      <c r="Q114" s="1">
        <v>0.85</v>
      </c>
      <c r="R114" s="1">
        <v>2.2583333333333302</v>
      </c>
      <c r="S114" s="1">
        <v>1.9887429643527199</v>
      </c>
      <c r="T114" s="1">
        <v>1.1000000000000001</v>
      </c>
      <c r="U114" s="1">
        <v>2.7</v>
      </c>
      <c r="V114" s="1">
        <v>3.6</v>
      </c>
      <c r="W114" s="1">
        <v>-2.1</v>
      </c>
      <c r="X114" s="1">
        <v>3.9</v>
      </c>
      <c r="Y114" s="1">
        <v>-5.7</v>
      </c>
      <c r="Z114" s="1" t="s">
        <v>628</v>
      </c>
      <c r="AA114" s="1" t="s">
        <v>1173</v>
      </c>
      <c r="AB114" s="1" t="s">
        <v>1222</v>
      </c>
      <c r="AC114" s="1">
        <v>-7.6</v>
      </c>
      <c r="AD114" s="1">
        <v>10</v>
      </c>
      <c r="AE114" s="1">
        <v>10</v>
      </c>
      <c r="AF114" s="1">
        <v>6.7333333333333298</v>
      </c>
      <c r="AG114" s="1">
        <v>6.93333333333333</v>
      </c>
      <c r="AH114" s="1"/>
      <c r="AI114" s="1"/>
      <c r="AJ114" s="1"/>
      <c r="AK114" s="1"/>
      <c r="AL114" s="1"/>
      <c r="AM114" s="1"/>
      <c r="AN114" s="1"/>
      <c r="AO114" s="1"/>
      <c r="AP114" s="1"/>
      <c r="AQ114" s="1"/>
      <c r="AR114" s="1"/>
      <c r="AS114" s="1">
        <v>43</v>
      </c>
      <c r="AT114" s="1">
        <v>43</v>
      </c>
      <c r="AU114" s="1">
        <v>43.090909090909101</v>
      </c>
      <c r="AV114" s="1">
        <v>0</v>
      </c>
      <c r="AW114" s="1">
        <v>-9.0909090909093507E-2</v>
      </c>
      <c r="AX114" s="1">
        <v>5.0909090909090899</v>
      </c>
      <c r="AY114" s="1">
        <v>4.7727272727272698</v>
      </c>
      <c r="AZ114" s="1">
        <v>5.1074380165289304</v>
      </c>
      <c r="BA114" s="1">
        <v>0.24299999999999999</v>
      </c>
      <c r="BB114" s="1">
        <v>10</v>
      </c>
      <c r="BC114" s="1"/>
      <c r="BD114" s="1"/>
      <c r="BE114" s="1"/>
      <c r="BF114" s="1"/>
      <c r="BG114" s="1"/>
      <c r="BH114" s="1"/>
    </row>
    <row r="115" spans="1:60" x14ac:dyDescent="0.2">
      <c r="A115" s="3">
        <v>113</v>
      </c>
      <c r="B115" s="3" t="s">
        <v>737</v>
      </c>
      <c r="C115" s="3" t="s">
        <v>738</v>
      </c>
      <c r="D115" s="1"/>
      <c r="E115" s="1">
        <f t="shared" si="9"/>
        <v>6.9478036787121695</v>
      </c>
      <c r="F115" s="1">
        <f t="shared" si="10"/>
        <v>8.4958677685950406</v>
      </c>
      <c r="G115" s="1">
        <f t="shared" si="11"/>
        <v>5.6818181818181799</v>
      </c>
      <c r="H115" s="1"/>
      <c r="I115" s="1"/>
      <c r="J115" s="1"/>
      <c r="K115" s="1">
        <v>3</v>
      </c>
      <c r="L115" s="1">
        <v>3</v>
      </c>
      <c r="M115" s="1"/>
      <c r="N115" s="1">
        <v>8</v>
      </c>
      <c r="O115" s="1">
        <v>4.3</v>
      </c>
      <c r="P115" s="1">
        <v>3</v>
      </c>
      <c r="Q115" s="1">
        <v>5.0999999999999996</v>
      </c>
      <c r="R115" s="1">
        <v>4.05</v>
      </c>
      <c r="S115" s="1">
        <v>10</v>
      </c>
      <c r="T115" s="1">
        <v>5.3</v>
      </c>
      <c r="U115" s="1">
        <v>4.7</v>
      </c>
      <c r="V115" s="1">
        <v>5.0999999999999996</v>
      </c>
      <c r="W115" s="1">
        <v>0.9</v>
      </c>
      <c r="X115" s="1">
        <v>4</v>
      </c>
      <c r="Y115" s="1">
        <v>-4.2</v>
      </c>
      <c r="Z115" s="1" t="s">
        <v>1211</v>
      </c>
      <c r="AA115" s="1" t="s">
        <v>803</v>
      </c>
      <c r="AB115" s="1" t="s">
        <v>1195</v>
      </c>
      <c r="AC115" s="1">
        <v>-3.6</v>
      </c>
      <c r="AD115" s="1">
        <v>8.4</v>
      </c>
      <c r="AE115" s="1">
        <v>7.2</v>
      </c>
      <c r="AF115" s="1">
        <v>5</v>
      </c>
      <c r="AG115" s="1">
        <v>4.6553333333333304</v>
      </c>
      <c r="AH115" s="1"/>
      <c r="AI115" s="1"/>
      <c r="AJ115" s="1"/>
      <c r="AK115" s="1"/>
      <c r="AL115" s="1"/>
      <c r="AM115" s="1"/>
      <c r="AN115" s="1"/>
      <c r="AO115" s="1"/>
      <c r="AP115" s="1"/>
      <c r="AQ115" s="1"/>
      <c r="AR115" s="1"/>
      <c r="AS115" s="1">
        <v>62</v>
      </c>
      <c r="AT115" s="1">
        <v>62</v>
      </c>
      <c r="AU115" s="1">
        <v>61.727272727272698</v>
      </c>
      <c r="AV115" s="1">
        <v>0</v>
      </c>
      <c r="AW115" s="1">
        <v>0.27272727272727298</v>
      </c>
      <c r="AX115" s="1">
        <v>8.5454545454545396</v>
      </c>
      <c r="AY115" s="1">
        <v>5.6818181818181799</v>
      </c>
      <c r="AZ115" s="1">
        <v>8.4958677685950406</v>
      </c>
      <c r="BA115" s="1"/>
      <c r="BB115" s="1"/>
      <c r="BC115" s="1"/>
      <c r="BD115" s="1"/>
      <c r="BE115" s="1"/>
      <c r="BF115" s="1"/>
      <c r="BG115" s="1"/>
      <c r="BH115" s="1"/>
    </row>
    <row r="116" spans="1:60" x14ac:dyDescent="0.2">
      <c r="A116" s="3">
        <v>114</v>
      </c>
      <c r="B116" s="3" t="s">
        <v>742</v>
      </c>
      <c r="C116" s="3" t="s">
        <v>743</v>
      </c>
      <c r="D116" s="1"/>
      <c r="E116" s="1">
        <f t="shared" si="9"/>
        <v>3.5685831747742309</v>
      </c>
      <c r="F116" s="1">
        <f t="shared" si="10"/>
        <v>1.8677685950413201</v>
      </c>
      <c r="G116" s="1">
        <f t="shared" si="11"/>
        <v>6.8181818181818201</v>
      </c>
      <c r="H116" s="1"/>
      <c r="I116" s="1">
        <v>6</v>
      </c>
      <c r="J116" s="1">
        <v>4</v>
      </c>
      <c r="K116" s="1">
        <v>5</v>
      </c>
      <c r="L116" s="1">
        <v>0</v>
      </c>
      <c r="M116" s="1">
        <v>0</v>
      </c>
      <c r="N116" s="1"/>
      <c r="O116" s="1">
        <v>3</v>
      </c>
      <c r="P116" s="1">
        <v>5</v>
      </c>
      <c r="Q116" s="1">
        <v>1</v>
      </c>
      <c r="R116" s="1">
        <v>3</v>
      </c>
      <c r="S116" s="1">
        <v>5.3283302063789897</v>
      </c>
      <c r="T116" s="1"/>
      <c r="U116" s="1"/>
      <c r="V116" s="1"/>
      <c r="W116" s="1"/>
      <c r="X116" s="1"/>
      <c r="Y116" s="1"/>
      <c r="Z116" s="1" t="s">
        <v>1156</v>
      </c>
      <c r="AA116" s="1" t="s">
        <v>1255</v>
      </c>
      <c r="AB116" s="1" t="s">
        <v>1222</v>
      </c>
      <c r="AC116" s="1">
        <v>-7.2</v>
      </c>
      <c r="AD116" s="1"/>
      <c r="AE116" s="1">
        <v>10</v>
      </c>
      <c r="AF116" s="1"/>
      <c r="AG116" s="1">
        <v>8.6113333333333308</v>
      </c>
      <c r="AH116" s="1"/>
      <c r="AI116" s="1"/>
      <c r="AJ116" s="1"/>
      <c r="AK116" s="1"/>
      <c r="AL116" s="1"/>
      <c r="AM116" s="1"/>
      <c r="AN116" s="1"/>
      <c r="AO116" s="1"/>
      <c r="AP116" s="1"/>
      <c r="AQ116" s="1"/>
      <c r="AR116" s="1"/>
      <c r="AS116" s="1">
        <v>26</v>
      </c>
      <c r="AT116" s="1">
        <v>26</v>
      </c>
      <c r="AU116" s="1">
        <v>25.272727272727298</v>
      </c>
      <c r="AV116" s="1">
        <v>0</v>
      </c>
      <c r="AW116" s="1">
        <v>0.72727272727272696</v>
      </c>
      <c r="AX116" s="1">
        <v>2</v>
      </c>
      <c r="AY116" s="1">
        <v>6.8181818181818201</v>
      </c>
      <c r="AZ116" s="1">
        <v>1.8677685950413201</v>
      </c>
      <c r="BA116" s="1"/>
      <c r="BB116" s="1"/>
      <c r="BC116" s="1"/>
      <c r="BD116" s="1"/>
      <c r="BE116" s="1"/>
      <c r="BF116" s="1"/>
      <c r="BG116" s="1"/>
      <c r="BH116" s="1"/>
    </row>
    <row r="117" spans="1:60" x14ac:dyDescent="0.2">
      <c r="A117" s="3">
        <v>115</v>
      </c>
      <c r="B117" s="3" t="s">
        <v>746</v>
      </c>
      <c r="C117" s="3" t="s">
        <v>747</v>
      </c>
      <c r="D117" s="1"/>
      <c r="E117" s="1">
        <f t="shared" si="9"/>
        <v>7.2286889822916587</v>
      </c>
      <c r="F117" s="1">
        <f t="shared" si="10"/>
        <v>8.8429752066115697</v>
      </c>
      <c r="G117" s="1">
        <f t="shared" si="11"/>
        <v>5.9090909090909198</v>
      </c>
      <c r="H117" s="1"/>
      <c r="I117" s="1">
        <v>5</v>
      </c>
      <c r="J117" s="1">
        <v>4</v>
      </c>
      <c r="K117" s="1">
        <v>3</v>
      </c>
      <c r="L117" s="1">
        <v>0</v>
      </c>
      <c r="M117" s="1">
        <v>0.5</v>
      </c>
      <c r="N117" s="1">
        <v>4</v>
      </c>
      <c r="O117" s="1">
        <v>2.7</v>
      </c>
      <c r="P117" s="1">
        <v>4</v>
      </c>
      <c r="Q117" s="1">
        <v>1.8</v>
      </c>
      <c r="R117" s="1">
        <v>2.9</v>
      </c>
      <c r="S117" s="1">
        <v>4.8780487804878003</v>
      </c>
      <c r="T117" s="1">
        <v>6.2</v>
      </c>
      <c r="U117" s="1">
        <v>6.8</v>
      </c>
      <c r="V117" s="1">
        <v>6.3</v>
      </c>
      <c r="W117" s="1">
        <v>1.5</v>
      </c>
      <c r="X117" s="1">
        <v>6</v>
      </c>
      <c r="Y117" s="1">
        <v>-4.8</v>
      </c>
      <c r="Z117" s="1" t="s">
        <v>1225</v>
      </c>
      <c r="AA117" s="1" t="s">
        <v>1161</v>
      </c>
      <c r="AB117" s="1" t="s">
        <v>1205</v>
      </c>
      <c r="AC117" s="1">
        <v>-4.7</v>
      </c>
      <c r="AD117" s="1">
        <v>9.6</v>
      </c>
      <c r="AE117" s="1">
        <v>9.4</v>
      </c>
      <c r="AF117" s="1">
        <v>6</v>
      </c>
      <c r="AG117" s="1">
        <v>2.004</v>
      </c>
      <c r="AH117" s="1"/>
      <c r="AI117" s="1"/>
      <c r="AJ117" s="1"/>
      <c r="AK117" s="1"/>
      <c r="AL117" s="1"/>
      <c r="AM117" s="1"/>
      <c r="AN117" s="1"/>
      <c r="AO117" s="1"/>
      <c r="AP117" s="1"/>
      <c r="AQ117" s="1"/>
      <c r="AR117" s="1"/>
      <c r="AS117" s="1">
        <v>64</v>
      </c>
      <c r="AT117" s="1">
        <v>64</v>
      </c>
      <c r="AU117" s="1">
        <v>63.636363636363598</v>
      </c>
      <c r="AV117" s="1">
        <v>0</v>
      </c>
      <c r="AW117" s="1">
        <v>0.36363636363636698</v>
      </c>
      <c r="AX117" s="1">
        <v>8.9090909090909101</v>
      </c>
      <c r="AY117" s="1">
        <v>5.9090909090909198</v>
      </c>
      <c r="AZ117" s="1">
        <v>8.8429752066115697</v>
      </c>
      <c r="BA117" s="1"/>
      <c r="BB117" s="1"/>
      <c r="BC117" s="1"/>
      <c r="BD117" s="1"/>
      <c r="BE117" s="1"/>
      <c r="BF117" s="1"/>
      <c r="BG117" s="1"/>
      <c r="BH117" s="1"/>
    </row>
    <row r="118" spans="1:60" x14ac:dyDescent="0.2">
      <c r="A118" s="3">
        <v>116</v>
      </c>
      <c r="B118" s="3" t="s">
        <v>751</v>
      </c>
      <c r="C118" s="3" t="s">
        <v>752</v>
      </c>
      <c r="D118" s="1"/>
      <c r="E118" s="1">
        <f t="shared" si="9"/>
        <v>6.6171464088792815</v>
      </c>
      <c r="F118" s="1">
        <f t="shared" si="10"/>
        <v>6.2148760330578501</v>
      </c>
      <c r="G118" s="1">
        <f t="shared" si="11"/>
        <v>7.0454545454545503</v>
      </c>
      <c r="H118" s="1"/>
      <c r="I118" s="1">
        <v>4</v>
      </c>
      <c r="J118" s="1">
        <v>5</v>
      </c>
      <c r="K118" s="1">
        <v>5</v>
      </c>
      <c r="L118" s="1">
        <v>4</v>
      </c>
      <c r="M118" s="1">
        <v>0.4</v>
      </c>
      <c r="N118" s="1"/>
      <c r="O118" s="1">
        <v>4.9000000000000004</v>
      </c>
      <c r="P118" s="1">
        <v>4.6666666666666696</v>
      </c>
      <c r="Q118" s="1">
        <v>3.1</v>
      </c>
      <c r="R118" s="1">
        <v>3.8833333333333302</v>
      </c>
      <c r="S118" s="1">
        <v>9.3058161350844308</v>
      </c>
      <c r="T118" s="1">
        <v>4.7</v>
      </c>
      <c r="U118" s="1">
        <v>5.0999999999999996</v>
      </c>
      <c r="V118" s="1">
        <v>3.6</v>
      </c>
      <c r="W118" s="1">
        <v>-5.6</v>
      </c>
      <c r="X118" s="1">
        <v>4.8</v>
      </c>
      <c r="Y118" s="1">
        <v>-9.1999999999999993</v>
      </c>
      <c r="Z118" s="1" t="s">
        <v>628</v>
      </c>
      <c r="AA118" s="1" t="s">
        <v>1230</v>
      </c>
      <c r="AB118" s="1" t="s">
        <v>1225</v>
      </c>
      <c r="AC118" s="1">
        <v>-12.6</v>
      </c>
      <c r="AD118" s="1">
        <v>10</v>
      </c>
      <c r="AE118" s="1">
        <v>10</v>
      </c>
      <c r="AF118" s="1">
        <v>10</v>
      </c>
      <c r="AG118" s="1">
        <v>10</v>
      </c>
      <c r="AH118" s="1"/>
      <c r="AI118" s="1"/>
      <c r="AJ118" s="1"/>
      <c r="AK118" s="1"/>
      <c r="AL118" s="1"/>
      <c r="AM118" s="1"/>
      <c r="AN118" s="1"/>
      <c r="AO118" s="1"/>
      <c r="AP118" s="1"/>
      <c r="AQ118" s="1"/>
      <c r="AR118" s="1"/>
      <c r="AS118" s="1">
        <v>50</v>
      </c>
      <c r="AT118" s="1">
        <v>50</v>
      </c>
      <c r="AU118" s="1">
        <v>49.181818181818201</v>
      </c>
      <c r="AV118" s="1">
        <v>0</v>
      </c>
      <c r="AW118" s="1">
        <v>0.81818181818182001</v>
      </c>
      <c r="AX118" s="1">
        <v>6.3636363636363598</v>
      </c>
      <c r="AY118" s="1">
        <v>7.0454545454545503</v>
      </c>
      <c r="AZ118" s="1">
        <v>6.2148760330578501</v>
      </c>
      <c r="BA118" s="1">
        <v>0.308</v>
      </c>
      <c r="BB118" s="1">
        <v>10</v>
      </c>
      <c r="BC118" s="1"/>
      <c r="BD118" s="1"/>
      <c r="BE118" s="1"/>
      <c r="BF118" s="1"/>
      <c r="BG118" s="1"/>
      <c r="BH118" s="1"/>
    </row>
    <row r="119" spans="1:60" x14ac:dyDescent="0.2">
      <c r="A119" s="3">
        <v>117</v>
      </c>
      <c r="B119" s="3" t="s">
        <v>754</v>
      </c>
      <c r="C119" s="3" t="s">
        <v>755</v>
      </c>
      <c r="D119" s="1"/>
      <c r="E119" s="1">
        <f t="shared" si="9"/>
        <v>2.5931192545020152</v>
      </c>
      <c r="F119" s="1">
        <f t="shared" si="10"/>
        <v>5.9173553719008298</v>
      </c>
      <c r="G119" s="1">
        <f t="shared" si="11"/>
        <v>1.13636363636363</v>
      </c>
      <c r="H119" s="1"/>
      <c r="I119" s="1">
        <v>5</v>
      </c>
      <c r="J119" s="1">
        <v>4</v>
      </c>
      <c r="K119" s="1">
        <v>4</v>
      </c>
      <c r="L119" s="1">
        <v>0</v>
      </c>
      <c r="M119" s="1">
        <v>0.3</v>
      </c>
      <c r="N119" s="1">
        <v>5</v>
      </c>
      <c r="O119" s="1">
        <v>3.4</v>
      </c>
      <c r="P119" s="1">
        <v>4.3333333333333304</v>
      </c>
      <c r="Q119" s="1">
        <v>2.1749999999999998</v>
      </c>
      <c r="R119" s="1">
        <v>3.25416666666667</v>
      </c>
      <c r="S119" s="1">
        <v>6.4727954971857402</v>
      </c>
      <c r="T119" s="1">
        <v>5.3</v>
      </c>
      <c r="U119" s="1">
        <v>6.9</v>
      </c>
      <c r="V119" s="1">
        <v>4.8</v>
      </c>
      <c r="W119" s="1">
        <v>-0.5</v>
      </c>
      <c r="X119" s="1">
        <v>4.9000000000000004</v>
      </c>
      <c r="Y119" s="1">
        <v>-5.3</v>
      </c>
      <c r="Z119" s="1" t="s">
        <v>1211</v>
      </c>
      <c r="AA119" s="1" t="s">
        <v>1212</v>
      </c>
      <c r="AB119" s="1" t="s">
        <v>97</v>
      </c>
      <c r="AC119" s="1">
        <v>-6.1</v>
      </c>
      <c r="AD119" s="1">
        <v>10</v>
      </c>
      <c r="AE119" s="1">
        <v>10</v>
      </c>
      <c r="AF119" s="1">
        <v>6.8</v>
      </c>
      <c r="AG119" s="1">
        <v>4.6666666666666696</v>
      </c>
      <c r="AH119" s="1"/>
      <c r="AI119" s="1"/>
      <c r="AJ119" s="1"/>
      <c r="AK119" s="1"/>
      <c r="AL119" s="1"/>
      <c r="AM119" s="1"/>
      <c r="AN119" s="1"/>
      <c r="AO119" s="1"/>
      <c r="AP119" s="1"/>
      <c r="AQ119" s="1"/>
      <c r="AR119" s="1"/>
      <c r="AS119" s="1">
        <v>46</v>
      </c>
      <c r="AT119" s="1">
        <v>46</v>
      </c>
      <c r="AU119" s="1">
        <v>47.545454545454497</v>
      </c>
      <c r="AV119" s="1">
        <v>0</v>
      </c>
      <c r="AW119" s="1">
        <v>-1.5454545454545501</v>
      </c>
      <c r="AX119" s="1">
        <v>5.6363636363636402</v>
      </c>
      <c r="AY119" s="1">
        <v>1.13636363636363</v>
      </c>
      <c r="AZ119" s="1">
        <v>5.9173553719008298</v>
      </c>
      <c r="BA119" s="1">
        <v>0.106</v>
      </c>
      <c r="BB119" s="1">
        <v>5.3</v>
      </c>
      <c r="BC119" s="1"/>
      <c r="BD119" s="1"/>
      <c r="BE119" s="1"/>
      <c r="BF119" s="1"/>
      <c r="BG119" s="1"/>
      <c r="BH119" s="1"/>
    </row>
    <row r="120" spans="1:60" x14ac:dyDescent="0.2">
      <c r="A120" s="3">
        <v>118</v>
      </c>
      <c r="B120" s="3" t="s">
        <v>759</v>
      </c>
      <c r="C120" s="3" t="s">
        <v>760</v>
      </c>
      <c r="D120" s="1"/>
      <c r="E120" s="1">
        <f t="shared" si="9"/>
        <v>6.3960214906683124</v>
      </c>
      <c r="F120" s="1">
        <f t="shared" si="10"/>
        <v>8.1818181818181799</v>
      </c>
      <c r="G120" s="1">
        <f t="shared" si="11"/>
        <v>5</v>
      </c>
      <c r="H120" s="1"/>
      <c r="I120" s="1">
        <v>5</v>
      </c>
      <c r="J120" s="1">
        <v>4</v>
      </c>
      <c r="K120" s="1">
        <v>3</v>
      </c>
      <c r="L120" s="1">
        <v>0</v>
      </c>
      <c r="M120" s="1">
        <v>0.4</v>
      </c>
      <c r="N120" s="1">
        <v>9</v>
      </c>
      <c r="O120" s="1">
        <v>4.9000000000000004</v>
      </c>
      <c r="P120" s="1">
        <v>4</v>
      </c>
      <c r="Q120" s="1">
        <v>3.5750000000000002</v>
      </c>
      <c r="R120" s="1">
        <v>3.7875000000000001</v>
      </c>
      <c r="S120" s="1">
        <v>8.8742964352720506</v>
      </c>
      <c r="T120" s="1">
        <v>3.7</v>
      </c>
      <c r="U120" s="1">
        <v>3.4</v>
      </c>
      <c r="V120" s="1">
        <v>2.2000000000000002</v>
      </c>
      <c r="W120" s="1">
        <v>1.3</v>
      </c>
      <c r="X120" s="1">
        <v>3.6</v>
      </c>
      <c r="Y120" s="1">
        <v>-0.9</v>
      </c>
      <c r="Z120" s="1" t="s">
        <v>116</v>
      </c>
      <c r="AA120" s="1" t="s">
        <v>116</v>
      </c>
      <c r="AB120" s="1" t="s">
        <v>210</v>
      </c>
      <c r="AC120" s="1">
        <v>0</v>
      </c>
      <c r="AD120" s="1">
        <v>1.8</v>
      </c>
      <c r="AE120" s="1">
        <v>0</v>
      </c>
      <c r="AF120" s="1">
        <v>4.4000000000000004</v>
      </c>
      <c r="AG120" s="1">
        <v>5.8</v>
      </c>
      <c r="AH120" s="1"/>
      <c r="AI120" s="1"/>
      <c r="AJ120" s="1"/>
      <c r="AK120" s="1"/>
      <c r="AL120" s="1"/>
      <c r="AM120" s="1"/>
      <c r="AN120" s="1"/>
      <c r="AO120" s="1"/>
      <c r="AP120" s="1"/>
      <c r="AQ120" s="1"/>
      <c r="AR120" s="1"/>
      <c r="AS120" s="1">
        <v>60</v>
      </c>
      <c r="AT120" s="1">
        <v>60</v>
      </c>
      <c r="AU120" s="1">
        <v>60</v>
      </c>
      <c r="AV120" s="1">
        <v>0</v>
      </c>
      <c r="AW120" s="1">
        <v>0</v>
      </c>
      <c r="AX120" s="1">
        <v>8.1818181818181799</v>
      </c>
      <c r="AY120" s="1">
        <v>5</v>
      </c>
      <c r="AZ120" s="1">
        <v>8.1818181818181799</v>
      </c>
      <c r="BA120" s="1"/>
      <c r="BB120" s="1"/>
      <c r="BC120" s="1"/>
      <c r="BD120" s="1"/>
      <c r="BE120" s="1"/>
      <c r="BF120" s="1"/>
      <c r="BG120" s="1"/>
      <c r="BH120" s="1"/>
    </row>
    <row r="121" spans="1:60" x14ac:dyDescent="0.2">
      <c r="A121" s="3">
        <v>119</v>
      </c>
      <c r="B121" s="3" t="s">
        <v>764</v>
      </c>
      <c r="C121" s="3" t="s">
        <v>765</v>
      </c>
      <c r="D121" s="1"/>
      <c r="E121" s="1">
        <f t="shared" si="9"/>
        <v>1.9459256400345599</v>
      </c>
      <c r="F121" s="1">
        <f t="shared" si="10"/>
        <v>8.3305785123966896</v>
      </c>
      <c r="G121" s="1">
        <f t="shared" si="11"/>
        <v>0.45454545454544998</v>
      </c>
      <c r="H121" s="1"/>
      <c r="I121" s="1"/>
      <c r="J121" s="1"/>
      <c r="K121" s="1"/>
      <c r="L121" s="1">
        <v>0</v>
      </c>
      <c r="M121" s="1">
        <v>0.5</v>
      </c>
      <c r="N121" s="1"/>
      <c r="O121" s="1">
        <v>3.5</v>
      </c>
      <c r="P121" s="1"/>
      <c r="Q121" s="1">
        <v>1.3333333333333299</v>
      </c>
      <c r="R121" s="1">
        <v>1.3333333333333299</v>
      </c>
      <c r="S121" s="1">
        <v>0</v>
      </c>
      <c r="T121" s="1">
        <v>3</v>
      </c>
      <c r="U121" s="1">
        <v>3.6</v>
      </c>
      <c r="V121" s="1">
        <v>6.3</v>
      </c>
      <c r="W121" s="1">
        <v>-2</v>
      </c>
      <c r="X121" s="1">
        <v>4.2</v>
      </c>
      <c r="Y121" s="1">
        <v>-8.3000000000000007</v>
      </c>
      <c r="Z121" s="1" t="s">
        <v>1216</v>
      </c>
      <c r="AA121" s="1" t="s">
        <v>1227</v>
      </c>
      <c r="AB121" s="1" t="s">
        <v>1166</v>
      </c>
      <c r="AC121" s="1">
        <v>-7.9</v>
      </c>
      <c r="AD121" s="1">
        <v>10</v>
      </c>
      <c r="AE121" s="1">
        <v>10</v>
      </c>
      <c r="AF121" s="1">
        <v>3.7333333333333298</v>
      </c>
      <c r="AG121" s="1">
        <v>5.9379999999999997</v>
      </c>
      <c r="AH121" s="1"/>
      <c r="AI121" s="1"/>
      <c r="AJ121" s="1"/>
      <c r="AK121" s="1"/>
      <c r="AL121" s="1"/>
      <c r="AM121" s="1"/>
      <c r="AN121" s="1"/>
      <c r="AO121" s="1"/>
      <c r="AP121" s="1"/>
      <c r="AQ121" s="1"/>
      <c r="AR121" s="1"/>
      <c r="AS121" s="1">
        <v>59</v>
      </c>
      <c r="AT121" s="1">
        <v>60</v>
      </c>
      <c r="AU121" s="1">
        <v>60.818181818181799</v>
      </c>
      <c r="AV121" s="1">
        <v>-1</v>
      </c>
      <c r="AW121" s="1">
        <v>-1.8181818181818199</v>
      </c>
      <c r="AX121" s="1">
        <v>8</v>
      </c>
      <c r="AY121" s="1">
        <v>0.45454545454544998</v>
      </c>
      <c r="AZ121" s="1">
        <v>8.3305785123966896</v>
      </c>
      <c r="BA121" s="1"/>
      <c r="BB121" s="1"/>
      <c r="BC121" s="1"/>
      <c r="BD121" s="1"/>
      <c r="BE121" s="1"/>
      <c r="BF121" s="1"/>
      <c r="BG121" s="1"/>
      <c r="BH121" s="1"/>
    </row>
    <row r="122" spans="1:60" x14ac:dyDescent="0.2">
      <c r="A122" s="3">
        <v>120</v>
      </c>
      <c r="B122" s="3" t="s">
        <v>768</v>
      </c>
      <c r="C122" s="3" t="s">
        <v>769</v>
      </c>
      <c r="D122" s="1"/>
      <c r="E122" s="1">
        <f t="shared" si="9"/>
        <v>3.9607389516130649</v>
      </c>
      <c r="F122" s="1">
        <f t="shared" si="10"/>
        <v>2.8760330578512399</v>
      </c>
      <c r="G122" s="1">
        <f t="shared" si="11"/>
        <v>5.4545454545454604</v>
      </c>
      <c r="H122" s="1"/>
      <c r="I122" s="1">
        <v>5</v>
      </c>
      <c r="J122" s="1">
        <v>5</v>
      </c>
      <c r="K122" s="1">
        <v>5</v>
      </c>
      <c r="L122" s="1">
        <v>0</v>
      </c>
      <c r="M122" s="1">
        <v>0.6</v>
      </c>
      <c r="N122" s="1">
        <v>0</v>
      </c>
      <c r="O122" s="1">
        <v>4.2</v>
      </c>
      <c r="P122" s="1">
        <v>5</v>
      </c>
      <c r="Q122" s="1">
        <v>1.2</v>
      </c>
      <c r="R122" s="1">
        <v>3.1</v>
      </c>
      <c r="S122" s="1">
        <v>5.7786116322701702</v>
      </c>
      <c r="T122" s="1">
        <v>3.8</v>
      </c>
      <c r="U122" s="1">
        <v>3.7</v>
      </c>
      <c r="V122" s="1">
        <v>3.6</v>
      </c>
      <c r="W122" s="1">
        <v>-6.8</v>
      </c>
      <c r="X122" s="1">
        <v>6.4</v>
      </c>
      <c r="Y122" s="1">
        <v>-10.4</v>
      </c>
      <c r="Z122" s="1" t="s">
        <v>1177</v>
      </c>
      <c r="AA122" s="1" t="s">
        <v>1234</v>
      </c>
      <c r="AB122" s="1" t="s">
        <v>1216</v>
      </c>
      <c r="AC122" s="1">
        <v>-10.3</v>
      </c>
      <c r="AD122" s="1">
        <v>10</v>
      </c>
      <c r="AE122" s="1">
        <v>10</v>
      </c>
      <c r="AF122" s="1">
        <v>10</v>
      </c>
      <c r="AG122" s="1">
        <v>10</v>
      </c>
      <c r="AH122" s="1"/>
      <c r="AI122" s="1"/>
      <c r="AJ122" s="1"/>
      <c r="AK122" s="1"/>
      <c r="AL122" s="1"/>
      <c r="AM122" s="1"/>
      <c r="AN122" s="1"/>
      <c r="AO122" s="1"/>
      <c r="AP122" s="1"/>
      <c r="AQ122" s="1"/>
      <c r="AR122" s="1"/>
      <c r="AS122" s="1">
        <v>31</v>
      </c>
      <c r="AT122" s="1">
        <v>31</v>
      </c>
      <c r="AU122" s="1">
        <v>30.818181818181799</v>
      </c>
      <c r="AV122" s="1">
        <v>0</v>
      </c>
      <c r="AW122" s="1">
        <v>0.18181818181818299</v>
      </c>
      <c r="AX122" s="1">
        <v>2.9090909090909101</v>
      </c>
      <c r="AY122" s="1">
        <v>5.4545454545454604</v>
      </c>
      <c r="AZ122" s="1">
        <v>2.8760330578512399</v>
      </c>
      <c r="BA122" s="1">
        <v>0.19500000000000001</v>
      </c>
      <c r="BB122" s="1">
        <v>9.75</v>
      </c>
      <c r="BC122" s="1"/>
      <c r="BD122" s="1"/>
      <c r="BE122" s="1"/>
      <c r="BF122" s="1"/>
      <c r="BG122" s="1"/>
      <c r="BH122" s="1"/>
    </row>
    <row r="123" spans="1:60" x14ac:dyDescent="0.2">
      <c r="A123" s="3">
        <v>121</v>
      </c>
      <c r="B123" s="3" t="s">
        <v>774</v>
      </c>
      <c r="C123" s="3" t="s">
        <v>775</v>
      </c>
      <c r="D123" s="1"/>
      <c r="E123" s="1">
        <f t="shared" si="9"/>
        <v>6.0426731935308835</v>
      </c>
      <c r="F123" s="1">
        <f t="shared" si="10"/>
        <v>8.0330578512396702</v>
      </c>
      <c r="G123" s="1">
        <f t="shared" si="11"/>
        <v>4.5454545454545503</v>
      </c>
      <c r="H123" s="1"/>
      <c r="I123" s="1"/>
      <c r="J123" s="1"/>
      <c r="K123" s="1">
        <v>3</v>
      </c>
      <c r="L123" s="1">
        <v>0</v>
      </c>
      <c r="M123" s="1">
        <v>0.4</v>
      </c>
      <c r="N123" s="1">
        <v>10</v>
      </c>
      <c r="O123" s="1">
        <v>5.7</v>
      </c>
      <c r="P123" s="1">
        <v>3</v>
      </c>
      <c r="Q123" s="1">
        <v>4.0250000000000004</v>
      </c>
      <c r="R123" s="1">
        <v>3.5125000000000002</v>
      </c>
      <c r="S123" s="1">
        <v>7.6360225140712998</v>
      </c>
      <c r="T123" s="1">
        <v>4</v>
      </c>
      <c r="U123" s="1">
        <v>3.5</v>
      </c>
      <c r="V123" s="1">
        <v>4.4000000000000004</v>
      </c>
      <c r="W123" s="1">
        <v>2</v>
      </c>
      <c r="X123" s="1">
        <v>3.5</v>
      </c>
      <c r="Y123" s="1">
        <v>-2.4</v>
      </c>
      <c r="Z123" s="1" t="s">
        <v>1148</v>
      </c>
      <c r="AA123" s="1" t="s">
        <v>121</v>
      </c>
      <c r="AB123" s="1" t="s">
        <v>1224</v>
      </c>
      <c r="AC123" s="1">
        <v>-3.5</v>
      </c>
      <c r="AD123" s="1">
        <v>4.8</v>
      </c>
      <c r="AE123" s="1">
        <v>7</v>
      </c>
      <c r="AF123" s="1">
        <v>3.4</v>
      </c>
      <c r="AG123" s="1">
        <v>5</v>
      </c>
      <c r="AH123" s="1"/>
      <c r="AI123" s="1"/>
      <c r="AJ123" s="1"/>
      <c r="AK123" s="1"/>
      <c r="AL123" s="1"/>
      <c r="AM123" s="1"/>
      <c r="AN123" s="1"/>
      <c r="AO123" s="1"/>
      <c r="AP123" s="1"/>
      <c r="AQ123" s="1"/>
      <c r="AR123" s="1"/>
      <c r="AS123" s="1">
        <v>59</v>
      </c>
      <c r="AT123" s="1">
        <v>60</v>
      </c>
      <c r="AU123" s="1">
        <v>59.181818181818201</v>
      </c>
      <c r="AV123" s="1">
        <v>-1</v>
      </c>
      <c r="AW123" s="1">
        <v>-0.18181818181817999</v>
      </c>
      <c r="AX123" s="1">
        <v>8</v>
      </c>
      <c r="AY123" s="1">
        <v>4.5454545454545503</v>
      </c>
      <c r="AZ123" s="1">
        <v>8.0330578512396702</v>
      </c>
      <c r="BA123" s="1">
        <v>0</v>
      </c>
      <c r="BB123" s="1">
        <v>0</v>
      </c>
      <c r="BC123" s="1"/>
      <c r="BD123" s="1"/>
      <c r="BE123" s="1"/>
      <c r="BF123" s="1"/>
      <c r="BG123" s="1"/>
      <c r="BH123" s="1"/>
    </row>
    <row r="124" spans="1:60" x14ac:dyDescent="0.2">
      <c r="A124" s="3">
        <v>122</v>
      </c>
      <c r="B124" s="3" t="s">
        <v>778</v>
      </c>
      <c r="C124" s="3" t="s">
        <v>779</v>
      </c>
      <c r="D124" s="1"/>
      <c r="E124" s="1">
        <f t="shared" si="9"/>
        <v>2.1080861100374522</v>
      </c>
      <c r="F124" s="1">
        <f t="shared" si="10"/>
        <v>2.7933884297520701</v>
      </c>
      <c r="G124" s="1">
        <f t="shared" si="11"/>
        <v>1.5909090909090899</v>
      </c>
      <c r="H124" s="1"/>
      <c r="I124" s="1">
        <v>4</v>
      </c>
      <c r="J124" s="1">
        <v>3</v>
      </c>
      <c r="K124" s="1">
        <v>4</v>
      </c>
      <c r="L124" s="1">
        <v>0</v>
      </c>
      <c r="M124" s="1">
        <v>0.8</v>
      </c>
      <c r="N124" s="1">
        <v>0</v>
      </c>
      <c r="O124" s="1">
        <v>3</v>
      </c>
      <c r="P124" s="1">
        <v>3.6666666666666701</v>
      </c>
      <c r="Q124" s="1">
        <v>0.95</v>
      </c>
      <c r="R124" s="1">
        <v>2.30833333333333</v>
      </c>
      <c r="S124" s="1">
        <v>2.2138836772983099</v>
      </c>
      <c r="T124" s="1">
        <v>5.7</v>
      </c>
      <c r="U124" s="1">
        <v>4.7</v>
      </c>
      <c r="V124" s="1">
        <v>4.3</v>
      </c>
      <c r="W124" s="1">
        <v>-3.1</v>
      </c>
      <c r="X124" s="1">
        <v>6.9</v>
      </c>
      <c r="Y124" s="1">
        <v>-7.4</v>
      </c>
      <c r="Z124" s="1" t="s">
        <v>1218</v>
      </c>
      <c r="AA124" s="1" t="s">
        <v>1256</v>
      </c>
      <c r="AB124" s="1" t="s">
        <v>1220</v>
      </c>
      <c r="AC124" s="1">
        <v>-6</v>
      </c>
      <c r="AD124" s="1">
        <v>10</v>
      </c>
      <c r="AE124" s="1">
        <v>10</v>
      </c>
      <c r="AF124" s="1">
        <v>7.2</v>
      </c>
      <c r="AG124" s="1">
        <v>7.3333333333333304</v>
      </c>
      <c r="AH124" s="1">
        <v>0</v>
      </c>
      <c r="AI124" s="1">
        <v>0.5</v>
      </c>
      <c r="AJ124" s="1">
        <v>0</v>
      </c>
      <c r="AK124" s="1">
        <v>1</v>
      </c>
      <c r="AL124" s="1">
        <v>0.5</v>
      </c>
      <c r="AM124" s="1">
        <v>0</v>
      </c>
      <c r="AN124" s="1">
        <v>0</v>
      </c>
      <c r="AO124" s="1">
        <v>0.5</v>
      </c>
      <c r="AP124" s="1">
        <v>0</v>
      </c>
      <c r="AQ124" s="1">
        <v>2</v>
      </c>
      <c r="AR124" s="1">
        <v>9.5238095238095202</v>
      </c>
      <c r="AS124" s="1">
        <v>29</v>
      </c>
      <c r="AT124" s="1">
        <v>29</v>
      </c>
      <c r="AU124" s="1">
        <v>30.363636363636399</v>
      </c>
      <c r="AV124" s="1">
        <v>0</v>
      </c>
      <c r="AW124" s="1">
        <v>-1.36363636363636</v>
      </c>
      <c r="AX124" s="1">
        <v>2.5454545454545401</v>
      </c>
      <c r="AY124" s="1">
        <v>1.5909090909090899</v>
      </c>
      <c r="AZ124" s="1">
        <v>2.7933884297520701</v>
      </c>
      <c r="BA124" s="1">
        <v>0.13200000000000001</v>
      </c>
      <c r="BB124" s="1">
        <v>6.6</v>
      </c>
      <c r="BC124" s="1"/>
      <c r="BD124" s="1"/>
      <c r="BE124" s="1"/>
      <c r="BF124" s="1"/>
      <c r="BG124" s="1"/>
      <c r="BH124" s="1"/>
    </row>
    <row r="125" spans="1:60" x14ac:dyDescent="0.2">
      <c r="A125" s="3">
        <v>123</v>
      </c>
      <c r="B125" s="3" t="s">
        <v>781</v>
      </c>
      <c r="C125" s="3" t="s">
        <v>782</v>
      </c>
      <c r="D125" s="1"/>
      <c r="E125" s="1">
        <f t="shared" si="9"/>
        <v>4.7396532095668356</v>
      </c>
      <c r="F125" s="1">
        <f t="shared" si="10"/>
        <v>4.9421487603305803</v>
      </c>
      <c r="G125" s="1">
        <f t="shared" si="11"/>
        <v>4.5454545454545503</v>
      </c>
      <c r="H125" s="1"/>
      <c r="I125" s="1">
        <v>4</v>
      </c>
      <c r="J125" s="1">
        <v>4</v>
      </c>
      <c r="K125" s="1">
        <v>4</v>
      </c>
      <c r="L125" s="1">
        <v>0</v>
      </c>
      <c r="M125" s="1">
        <v>0.5</v>
      </c>
      <c r="N125" s="1">
        <v>0</v>
      </c>
      <c r="O125" s="1">
        <v>4.9000000000000004</v>
      </c>
      <c r="P125" s="1">
        <v>4</v>
      </c>
      <c r="Q125" s="1">
        <v>1.35</v>
      </c>
      <c r="R125" s="1">
        <v>2.6749999999999998</v>
      </c>
      <c r="S125" s="1">
        <v>3.8649155722326398</v>
      </c>
      <c r="T125" s="1">
        <v>-0.3</v>
      </c>
      <c r="U125" s="1">
        <v>0.7</v>
      </c>
      <c r="V125" s="1">
        <v>-1.1000000000000001</v>
      </c>
      <c r="W125" s="1">
        <v>-4.8</v>
      </c>
      <c r="X125" s="1">
        <v>3</v>
      </c>
      <c r="Y125" s="1">
        <v>-3.7</v>
      </c>
      <c r="Z125" s="1" t="s">
        <v>1150</v>
      </c>
      <c r="AA125" s="1" t="s">
        <v>1239</v>
      </c>
      <c r="AB125" s="1" t="s">
        <v>1202</v>
      </c>
      <c r="AC125" s="1">
        <v>-1.1000000000000001</v>
      </c>
      <c r="AD125" s="1">
        <v>7.4</v>
      </c>
      <c r="AE125" s="1">
        <v>2.2000000000000002</v>
      </c>
      <c r="AF125" s="1">
        <v>8.6</v>
      </c>
      <c r="AG125" s="1">
        <v>7.2366666666666699</v>
      </c>
      <c r="AH125" s="1"/>
      <c r="AI125" s="1"/>
      <c r="AJ125" s="1"/>
      <c r="AK125" s="1"/>
      <c r="AL125" s="1"/>
      <c r="AM125" s="1"/>
      <c r="AN125" s="1"/>
      <c r="AO125" s="1"/>
      <c r="AP125" s="1"/>
      <c r="AQ125" s="1"/>
      <c r="AR125" s="1"/>
      <c r="AS125" s="1">
        <v>42</v>
      </c>
      <c r="AT125" s="1">
        <v>42</v>
      </c>
      <c r="AU125" s="1">
        <v>42.181818181818201</v>
      </c>
      <c r="AV125" s="1">
        <v>0</v>
      </c>
      <c r="AW125" s="1">
        <v>-0.18181818181817999</v>
      </c>
      <c r="AX125" s="1">
        <v>4.9090909090909101</v>
      </c>
      <c r="AY125" s="1">
        <v>4.5454545454545503</v>
      </c>
      <c r="AZ125" s="1">
        <v>4.9421487603305803</v>
      </c>
      <c r="BA125" s="1"/>
      <c r="BB125" s="1"/>
      <c r="BC125" s="1"/>
      <c r="BD125" s="1"/>
      <c r="BE125" s="1"/>
      <c r="BF125" s="1"/>
      <c r="BG125" s="1"/>
      <c r="BH125" s="1"/>
    </row>
    <row r="126" spans="1:60" x14ac:dyDescent="0.2">
      <c r="A126" s="3">
        <v>124</v>
      </c>
      <c r="B126" s="3" t="s">
        <v>786</v>
      </c>
      <c r="C126" s="3" t="s">
        <v>787</v>
      </c>
      <c r="D126" s="1"/>
      <c r="E126" s="1">
        <f t="shared" si="9"/>
        <v>9.0909090909090899</v>
      </c>
      <c r="F126" s="1">
        <f t="shared" si="10"/>
        <v>9.0909090909090899</v>
      </c>
      <c r="G126" s="1">
        <f t="shared" si="11"/>
        <v>0</v>
      </c>
      <c r="H126" s="1"/>
      <c r="I126" s="1"/>
      <c r="J126" s="1"/>
      <c r="K126" s="1">
        <v>0</v>
      </c>
      <c r="L126" s="1">
        <v>0</v>
      </c>
      <c r="M126" s="1"/>
      <c r="N126" s="1"/>
      <c r="O126" s="1">
        <v>3.9</v>
      </c>
      <c r="P126" s="1">
        <v>0</v>
      </c>
      <c r="Q126" s="1">
        <v>1.95</v>
      </c>
      <c r="R126" s="1">
        <v>0.97499999999999998</v>
      </c>
      <c r="S126" s="1">
        <v>0</v>
      </c>
      <c r="T126" s="1">
        <v>4.9000000000000004</v>
      </c>
      <c r="U126" s="1">
        <v>6.5</v>
      </c>
      <c r="V126" s="1">
        <v>6.3</v>
      </c>
      <c r="W126" s="1">
        <v>1</v>
      </c>
      <c r="X126" s="1">
        <v>8.1</v>
      </c>
      <c r="Y126" s="1">
        <v>-5.3</v>
      </c>
      <c r="Z126" s="1" t="s">
        <v>217</v>
      </c>
      <c r="AA126" s="1" t="s">
        <v>121</v>
      </c>
      <c r="AB126" s="1" t="s">
        <v>434</v>
      </c>
      <c r="AC126" s="1">
        <v>-4.8</v>
      </c>
      <c r="AD126" s="1">
        <v>10</v>
      </c>
      <c r="AE126" s="1">
        <v>9.6</v>
      </c>
      <c r="AF126" s="1">
        <v>2.6666666666666701</v>
      </c>
      <c r="AG126" s="1">
        <v>3.0006666666666701</v>
      </c>
      <c r="AH126" s="1"/>
      <c r="AI126" s="1"/>
      <c r="AJ126" s="1"/>
      <c r="AK126" s="1"/>
      <c r="AL126" s="1"/>
      <c r="AM126" s="1"/>
      <c r="AN126" s="1"/>
      <c r="AO126" s="1"/>
      <c r="AP126" s="1"/>
      <c r="AQ126" s="1"/>
      <c r="AR126" s="1"/>
      <c r="AS126" s="1">
        <v>63</v>
      </c>
      <c r="AT126" s="1">
        <v>65</v>
      </c>
      <c r="AU126" s="1">
        <v>65</v>
      </c>
      <c r="AV126" s="1">
        <v>-2</v>
      </c>
      <c r="AW126" s="1">
        <v>-2</v>
      </c>
      <c r="AX126" s="1">
        <v>8.7272727272727302</v>
      </c>
      <c r="AY126" s="1">
        <v>0</v>
      </c>
      <c r="AZ126" s="1">
        <v>9.0909090909090899</v>
      </c>
      <c r="BA126" s="1"/>
      <c r="BB126" s="1"/>
      <c r="BC126" s="1"/>
      <c r="BD126" s="1"/>
      <c r="BE126" s="1"/>
      <c r="BF126" s="1"/>
      <c r="BG126" s="1"/>
      <c r="BH126" s="1"/>
    </row>
    <row r="127" spans="1:60" x14ac:dyDescent="0.2">
      <c r="A127" s="3">
        <v>125</v>
      </c>
      <c r="B127" s="3" t="s">
        <v>793</v>
      </c>
      <c r="C127" s="3" t="s">
        <v>794</v>
      </c>
      <c r="D127" s="1"/>
      <c r="E127" s="1">
        <f t="shared" si="9"/>
        <v>7.2375180772733252</v>
      </c>
      <c r="F127" s="1">
        <f t="shared" si="10"/>
        <v>9.60330578512397</v>
      </c>
      <c r="G127" s="1">
        <f t="shared" si="11"/>
        <v>5.4545454545454701</v>
      </c>
      <c r="H127" s="1"/>
      <c r="I127" s="1">
        <v>5</v>
      </c>
      <c r="J127" s="1">
        <v>4</v>
      </c>
      <c r="K127" s="1">
        <v>3</v>
      </c>
      <c r="L127" s="1">
        <v>3</v>
      </c>
      <c r="M127" s="1">
        <v>0.8</v>
      </c>
      <c r="N127" s="1"/>
      <c r="O127" s="1">
        <v>4.3</v>
      </c>
      <c r="P127" s="1">
        <v>4</v>
      </c>
      <c r="Q127" s="1">
        <v>2.7</v>
      </c>
      <c r="R127" s="1">
        <v>3.35</v>
      </c>
      <c r="S127" s="1">
        <v>6.9043151969981196</v>
      </c>
      <c r="T127" s="1">
        <v>0.8</v>
      </c>
      <c r="U127" s="1">
        <v>1.9</v>
      </c>
      <c r="V127" s="1">
        <v>2.2000000000000002</v>
      </c>
      <c r="W127" s="1">
        <v>-3.2</v>
      </c>
      <c r="X127" s="1">
        <v>1.7</v>
      </c>
      <c r="Y127" s="1">
        <v>-5.4</v>
      </c>
      <c r="Z127" s="1" t="s">
        <v>116</v>
      </c>
      <c r="AA127" s="1" t="s">
        <v>1257</v>
      </c>
      <c r="AB127" s="1" t="s">
        <v>1210</v>
      </c>
      <c r="AC127" s="1">
        <v>-5.6</v>
      </c>
      <c r="AD127" s="1">
        <v>10</v>
      </c>
      <c r="AE127" s="1">
        <v>10</v>
      </c>
      <c r="AF127" s="1">
        <v>7.8</v>
      </c>
      <c r="AG127" s="1">
        <v>6.6040000000000001</v>
      </c>
      <c r="AH127" s="1">
        <v>0</v>
      </c>
      <c r="AI127" s="1">
        <v>0</v>
      </c>
      <c r="AJ127" s="1">
        <v>0</v>
      </c>
      <c r="AK127" s="1">
        <v>0</v>
      </c>
      <c r="AL127" s="1">
        <v>0</v>
      </c>
      <c r="AM127" s="1">
        <v>1</v>
      </c>
      <c r="AN127" s="1">
        <v>0</v>
      </c>
      <c r="AO127" s="1">
        <v>0</v>
      </c>
      <c r="AP127" s="1">
        <v>1</v>
      </c>
      <c r="AQ127" s="1">
        <v>1</v>
      </c>
      <c r="AR127" s="1">
        <v>4.7619047619047601</v>
      </c>
      <c r="AS127" s="1">
        <v>68</v>
      </c>
      <c r="AT127" s="1">
        <v>68</v>
      </c>
      <c r="AU127" s="1">
        <v>67.818181818181799</v>
      </c>
      <c r="AV127" s="1">
        <v>0</v>
      </c>
      <c r="AW127" s="1">
        <v>0.18181818181818701</v>
      </c>
      <c r="AX127" s="1">
        <v>9.6363636363636402</v>
      </c>
      <c r="AY127" s="1">
        <v>5.4545454545454701</v>
      </c>
      <c r="AZ127" s="1">
        <v>9.60330578512397</v>
      </c>
      <c r="BA127" s="1">
        <v>0.14799999999999999</v>
      </c>
      <c r="BB127" s="1">
        <v>7.4</v>
      </c>
      <c r="BC127" s="1"/>
      <c r="BD127" s="1"/>
      <c r="BE127" s="1"/>
      <c r="BF127" s="1"/>
      <c r="BG127" s="1"/>
      <c r="BH127" s="1"/>
    </row>
    <row r="128" spans="1:60" x14ac:dyDescent="0.2">
      <c r="A128" s="3">
        <v>126</v>
      </c>
      <c r="B128" s="3" t="s">
        <v>801</v>
      </c>
      <c r="C128" s="3" t="s">
        <v>802</v>
      </c>
      <c r="D128" s="1"/>
      <c r="E128" s="1">
        <f t="shared" si="9"/>
        <v>6.8872534405901709</v>
      </c>
      <c r="F128" s="1">
        <f t="shared" si="10"/>
        <v>9.0743801652892593</v>
      </c>
      <c r="G128" s="1">
        <f t="shared" si="11"/>
        <v>5.2272727272727302</v>
      </c>
      <c r="H128" s="1"/>
      <c r="I128" s="1">
        <v>4</v>
      </c>
      <c r="J128" s="1">
        <v>4</v>
      </c>
      <c r="K128" s="1">
        <v>4</v>
      </c>
      <c r="L128" s="1">
        <v>4</v>
      </c>
      <c r="M128" s="1">
        <v>0.5</v>
      </c>
      <c r="N128" s="1">
        <v>5</v>
      </c>
      <c r="O128" s="1">
        <v>3.4</v>
      </c>
      <c r="P128" s="1">
        <v>4</v>
      </c>
      <c r="Q128" s="1">
        <v>3.2250000000000001</v>
      </c>
      <c r="R128" s="1">
        <v>3.6124999999999998</v>
      </c>
      <c r="S128" s="1">
        <v>8.0863039399624803</v>
      </c>
      <c r="T128" s="1">
        <v>4.5999999999999996</v>
      </c>
      <c r="U128" s="1">
        <v>-4</v>
      </c>
      <c r="V128" s="1">
        <v>-3.9</v>
      </c>
      <c r="W128" s="1">
        <v>-6.3</v>
      </c>
      <c r="X128" s="1">
        <v>0.7</v>
      </c>
      <c r="Y128" s="1">
        <v>-2.4</v>
      </c>
      <c r="Z128" s="1" t="s">
        <v>1258</v>
      </c>
      <c r="AA128" s="1" t="s">
        <v>1179</v>
      </c>
      <c r="AB128" s="1" t="s">
        <v>103</v>
      </c>
      <c r="AC128" s="1">
        <v>-2.1</v>
      </c>
      <c r="AD128" s="1">
        <v>4.8</v>
      </c>
      <c r="AE128" s="1">
        <v>4.2</v>
      </c>
      <c r="AF128" s="1">
        <v>10</v>
      </c>
      <c r="AG128" s="1">
        <v>10</v>
      </c>
      <c r="AH128" s="1"/>
      <c r="AI128" s="1"/>
      <c r="AJ128" s="1"/>
      <c r="AK128" s="1"/>
      <c r="AL128" s="1"/>
      <c r="AM128" s="1"/>
      <c r="AN128" s="1"/>
      <c r="AO128" s="1"/>
      <c r="AP128" s="1"/>
      <c r="AQ128" s="1"/>
      <c r="AR128" s="1"/>
      <c r="AS128" s="1">
        <v>65</v>
      </c>
      <c r="AT128" s="1">
        <v>65</v>
      </c>
      <c r="AU128" s="1">
        <v>64.909090909090907</v>
      </c>
      <c r="AV128" s="1">
        <v>0</v>
      </c>
      <c r="AW128" s="1">
        <v>9.0909090909093507E-2</v>
      </c>
      <c r="AX128" s="1">
        <v>9.0909090909090899</v>
      </c>
      <c r="AY128" s="1">
        <v>5.2272727272727302</v>
      </c>
      <c r="AZ128" s="1">
        <v>9.0743801652892593</v>
      </c>
      <c r="BA128" s="1"/>
      <c r="BB128" s="1"/>
      <c r="BC128" s="1"/>
      <c r="BD128" s="1"/>
      <c r="BE128" s="1"/>
      <c r="BF128" s="1"/>
      <c r="BG128" s="1"/>
      <c r="BH128" s="1"/>
    </row>
    <row r="129" spans="1:60" x14ac:dyDescent="0.2">
      <c r="A129" s="3">
        <v>127</v>
      </c>
      <c r="B129" s="3" t="s">
        <v>805</v>
      </c>
      <c r="C129" s="3" t="s">
        <v>806</v>
      </c>
      <c r="D129" s="1"/>
      <c r="E129" s="1">
        <f t="shared" si="9"/>
        <v>2.1859465075188895</v>
      </c>
      <c r="F129" s="1">
        <f t="shared" si="10"/>
        <v>0.87603305785123797</v>
      </c>
      <c r="G129" s="1">
        <f t="shared" si="11"/>
        <v>5.4545454545454604</v>
      </c>
      <c r="H129" s="1"/>
      <c r="I129" s="1">
        <v>4</v>
      </c>
      <c r="J129" s="1">
        <v>4</v>
      </c>
      <c r="K129" s="1">
        <v>3</v>
      </c>
      <c r="L129" s="1">
        <v>0</v>
      </c>
      <c r="M129" s="1">
        <v>0.1</v>
      </c>
      <c r="N129" s="1"/>
      <c r="O129" s="1">
        <v>2.9</v>
      </c>
      <c r="P129" s="1">
        <v>3.6666666666666701</v>
      </c>
      <c r="Q129" s="1">
        <v>1</v>
      </c>
      <c r="R129" s="1">
        <v>2.3333333333333299</v>
      </c>
      <c r="S129" s="1">
        <v>2.3264540337711099</v>
      </c>
      <c r="T129" s="1"/>
      <c r="U129" s="1"/>
      <c r="V129" s="1"/>
      <c r="W129" s="1"/>
      <c r="X129" s="1"/>
      <c r="Y129" s="1"/>
      <c r="Z129" s="1" t="s">
        <v>1161</v>
      </c>
      <c r="AA129" s="1" t="s">
        <v>1219</v>
      </c>
      <c r="AB129" s="1" t="s">
        <v>1146</v>
      </c>
      <c r="AC129" s="1">
        <v>-9.3000000000000007</v>
      </c>
      <c r="AD129" s="1"/>
      <c r="AE129" s="1">
        <v>10</v>
      </c>
      <c r="AF129" s="1"/>
      <c r="AG129" s="1">
        <v>6.93333333333333</v>
      </c>
      <c r="AH129" s="1"/>
      <c r="AI129" s="1"/>
      <c r="AJ129" s="1"/>
      <c r="AK129" s="1"/>
      <c r="AL129" s="1"/>
      <c r="AM129" s="1"/>
      <c r="AN129" s="1"/>
      <c r="AO129" s="1"/>
      <c r="AP129" s="1"/>
      <c r="AQ129" s="1"/>
      <c r="AR129" s="1"/>
      <c r="AS129" s="1">
        <v>20</v>
      </c>
      <c r="AT129" s="1">
        <v>20</v>
      </c>
      <c r="AU129" s="1">
        <v>19.818181818181799</v>
      </c>
      <c r="AV129" s="1">
        <v>0</v>
      </c>
      <c r="AW129" s="1">
        <v>0.18181818181818299</v>
      </c>
      <c r="AX129" s="1">
        <v>0.90909090909090995</v>
      </c>
      <c r="AY129" s="1">
        <v>5.4545454545454604</v>
      </c>
      <c r="AZ129" s="1">
        <v>0.87603305785123797</v>
      </c>
      <c r="BA129" s="1"/>
      <c r="BB129" s="1"/>
      <c r="BC129" s="1"/>
      <c r="BD129" s="1"/>
      <c r="BE129" s="1"/>
      <c r="BF129" s="1"/>
      <c r="BG129" s="1"/>
      <c r="BH129" s="1"/>
    </row>
    <row r="130" spans="1:60" x14ac:dyDescent="0.2">
      <c r="A130" s="3">
        <v>128</v>
      </c>
      <c r="B130" s="3" t="s">
        <v>810</v>
      </c>
      <c r="C130" s="3" t="s">
        <v>811</v>
      </c>
      <c r="D130" s="1"/>
      <c r="E130" s="1">
        <f t="shared" si="9"/>
        <v>1.2972837600230442</v>
      </c>
      <c r="F130" s="1">
        <f t="shared" si="10"/>
        <v>0.26446280991735399</v>
      </c>
      <c r="G130" s="1">
        <f t="shared" si="11"/>
        <v>6.3636363636363704</v>
      </c>
      <c r="H130" s="1"/>
      <c r="I130" s="1">
        <v>3</v>
      </c>
      <c r="J130" s="1">
        <v>3</v>
      </c>
      <c r="K130" s="1">
        <v>3</v>
      </c>
      <c r="L130" s="1">
        <v>0</v>
      </c>
      <c r="M130" s="1">
        <v>0.7</v>
      </c>
      <c r="N130" s="1"/>
      <c r="O130" s="1">
        <v>2.5</v>
      </c>
      <c r="P130" s="1">
        <v>3</v>
      </c>
      <c r="Q130" s="1">
        <v>1.06666666666667</v>
      </c>
      <c r="R130" s="1">
        <v>2.0333333333333301</v>
      </c>
      <c r="S130" s="1">
        <v>0.97560975609755995</v>
      </c>
      <c r="T130" s="1"/>
      <c r="U130" s="1"/>
      <c r="V130" s="1"/>
      <c r="W130" s="1"/>
      <c r="X130" s="1"/>
      <c r="Y130" s="1"/>
      <c r="Z130" s="1" t="s">
        <v>1178</v>
      </c>
      <c r="AA130" s="1" t="s">
        <v>1215</v>
      </c>
      <c r="AB130" s="1" t="s">
        <v>414</v>
      </c>
      <c r="AC130" s="1">
        <v>-7.5</v>
      </c>
      <c r="AD130" s="1"/>
      <c r="AE130" s="1">
        <v>10</v>
      </c>
      <c r="AF130" s="1"/>
      <c r="AG130" s="1">
        <v>5.2226666666666697</v>
      </c>
      <c r="AH130" s="1"/>
      <c r="AI130" s="1"/>
      <c r="AJ130" s="1"/>
      <c r="AK130" s="1"/>
      <c r="AL130" s="1"/>
      <c r="AM130" s="1"/>
      <c r="AN130" s="1"/>
      <c r="AO130" s="1"/>
      <c r="AP130" s="1"/>
      <c r="AQ130" s="1"/>
      <c r="AR130" s="1"/>
      <c r="AS130" s="1">
        <v>17</v>
      </c>
      <c r="AT130" s="1">
        <v>17</v>
      </c>
      <c r="AU130" s="1">
        <v>16.454545454545499</v>
      </c>
      <c r="AV130" s="1">
        <v>0</v>
      </c>
      <c r="AW130" s="1">
        <v>0.54545454545454697</v>
      </c>
      <c r="AX130" s="1">
        <v>0.36363636363636298</v>
      </c>
      <c r="AY130" s="1">
        <v>6.3636363636363704</v>
      </c>
      <c r="AZ130" s="1">
        <v>0.26446280991735399</v>
      </c>
      <c r="BA130" s="1"/>
      <c r="BB130" s="1"/>
      <c r="BC130" s="1"/>
      <c r="BD130" s="1"/>
      <c r="BE130" s="1"/>
      <c r="BF130" s="1"/>
      <c r="BG130" s="1"/>
      <c r="BH130" s="1"/>
    </row>
    <row r="131" spans="1:60" x14ac:dyDescent="0.2">
      <c r="A131" s="3">
        <v>129</v>
      </c>
      <c r="B131" s="3" t="s">
        <v>814</v>
      </c>
      <c r="C131" s="3" t="s">
        <v>815</v>
      </c>
      <c r="D131" s="1"/>
      <c r="E131" s="1">
        <f t="shared" ref="E131:E162" si="12">IFERROR(GEOMEAN(F131, G131), MAX(F131, G131))</f>
        <v>6.0810948438891907</v>
      </c>
      <c r="F131" s="1">
        <f t="shared" ref="F131:F162" si="13">MAX(AZ131)</f>
        <v>7.0743801652892602</v>
      </c>
      <c r="G131" s="1">
        <f t="shared" ref="G131:G162" si="14">MAX(AY131)</f>
        <v>5.2272727272727302</v>
      </c>
      <c r="H131" s="1"/>
      <c r="I131" s="1"/>
      <c r="J131" s="1"/>
      <c r="K131" s="1">
        <v>3</v>
      </c>
      <c r="L131" s="1">
        <v>5</v>
      </c>
      <c r="M131" s="1">
        <v>1.5</v>
      </c>
      <c r="N131" s="1">
        <v>5</v>
      </c>
      <c r="O131" s="1">
        <v>1.7</v>
      </c>
      <c r="P131" s="1">
        <v>3</v>
      </c>
      <c r="Q131" s="1">
        <v>3.3</v>
      </c>
      <c r="R131" s="1">
        <v>3.15</v>
      </c>
      <c r="S131" s="1">
        <v>6.0037523452157604</v>
      </c>
      <c r="T131" s="1">
        <v>8.1999999999999993</v>
      </c>
      <c r="U131" s="1">
        <v>6.7</v>
      </c>
      <c r="V131" s="1">
        <v>7</v>
      </c>
      <c r="W131" s="1">
        <v>1.8</v>
      </c>
      <c r="X131" s="1">
        <v>2.1</v>
      </c>
      <c r="Y131" s="1">
        <v>-5.2</v>
      </c>
      <c r="Z131" s="1" t="s">
        <v>748</v>
      </c>
      <c r="AA131" s="1" t="s">
        <v>1224</v>
      </c>
      <c r="AB131" s="1" t="s">
        <v>1232</v>
      </c>
      <c r="AC131" s="1">
        <v>-4.5999999999999996</v>
      </c>
      <c r="AD131" s="1">
        <v>10</v>
      </c>
      <c r="AE131" s="1">
        <v>9.1999999999999993</v>
      </c>
      <c r="AF131" s="1">
        <v>8.8000000000000007</v>
      </c>
      <c r="AG131" s="1">
        <v>5.0119999999999996</v>
      </c>
      <c r="AH131" s="1"/>
      <c r="AI131" s="1"/>
      <c r="AJ131" s="1"/>
      <c r="AK131" s="1"/>
      <c r="AL131" s="1"/>
      <c r="AM131" s="1"/>
      <c r="AN131" s="1"/>
      <c r="AO131" s="1"/>
      <c r="AP131" s="1"/>
      <c r="AQ131" s="1"/>
      <c r="AR131" s="1"/>
      <c r="AS131" s="1">
        <v>54</v>
      </c>
      <c r="AT131" s="1">
        <v>54</v>
      </c>
      <c r="AU131" s="1">
        <v>53.909090909090899</v>
      </c>
      <c r="AV131" s="1">
        <v>0</v>
      </c>
      <c r="AW131" s="1">
        <v>9.0909090909093507E-2</v>
      </c>
      <c r="AX131" s="1">
        <v>7.0909090909090899</v>
      </c>
      <c r="AY131" s="1">
        <v>5.2272727272727302</v>
      </c>
      <c r="AZ131" s="1">
        <v>7.0743801652892602</v>
      </c>
      <c r="BA131" s="1"/>
      <c r="BB131" s="1"/>
      <c r="BC131" s="1"/>
      <c r="BD131" s="1"/>
      <c r="BE131" s="1"/>
      <c r="BF131" s="1"/>
      <c r="BG131" s="1"/>
      <c r="BH131" s="1"/>
    </row>
    <row r="132" spans="1:60" x14ac:dyDescent="0.2">
      <c r="A132" s="3">
        <v>130</v>
      </c>
      <c r="B132" s="3" t="s">
        <v>819</v>
      </c>
      <c r="C132" s="3" t="s">
        <v>820</v>
      </c>
      <c r="D132" s="1"/>
      <c r="E132" s="1">
        <f t="shared" si="12"/>
        <v>0</v>
      </c>
      <c r="F132" s="1">
        <f t="shared" si="13"/>
        <v>0</v>
      </c>
      <c r="G132" s="1">
        <f t="shared" si="14"/>
        <v>0</v>
      </c>
      <c r="H132" s="1"/>
      <c r="I132" s="1"/>
      <c r="J132" s="1"/>
      <c r="K132" s="1"/>
      <c r="L132" s="1">
        <v>3</v>
      </c>
      <c r="M132" s="1"/>
      <c r="N132" s="1">
        <v>5</v>
      </c>
      <c r="O132" s="1"/>
      <c r="P132" s="1"/>
      <c r="Q132" s="1">
        <v>4</v>
      </c>
      <c r="R132" s="1">
        <v>4</v>
      </c>
      <c r="S132" s="1">
        <v>9.8311444652908104</v>
      </c>
      <c r="T132" s="1"/>
      <c r="U132" s="1"/>
      <c r="V132" s="1"/>
      <c r="W132" s="1"/>
      <c r="X132" s="1"/>
      <c r="Y132" s="1"/>
      <c r="Z132" s="1" t="s">
        <v>121</v>
      </c>
      <c r="AA132" s="1" t="s">
        <v>1256</v>
      </c>
      <c r="AB132" s="1" t="s">
        <v>95</v>
      </c>
      <c r="AC132" s="1">
        <v>-2.7</v>
      </c>
      <c r="AD132" s="1"/>
      <c r="AE132" s="1">
        <v>5.4</v>
      </c>
      <c r="AF132" s="1"/>
      <c r="AG132" s="1">
        <v>7.5</v>
      </c>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row>
    <row r="133" spans="1:60" x14ac:dyDescent="0.2">
      <c r="A133" s="3">
        <v>131</v>
      </c>
      <c r="B133" s="3" t="s">
        <v>821</v>
      </c>
      <c r="C133" s="3" t="s">
        <v>822</v>
      </c>
      <c r="D133" s="1"/>
      <c r="E133" s="1">
        <f t="shared" si="12"/>
        <v>0.36363636363636298</v>
      </c>
      <c r="F133" s="1">
        <f t="shared" si="13"/>
        <v>0.36363636363636298</v>
      </c>
      <c r="G133" s="1">
        <f t="shared" si="14"/>
        <v>0</v>
      </c>
      <c r="H133" s="1"/>
      <c r="I133" s="1">
        <v>4</v>
      </c>
      <c r="J133" s="1">
        <v>4</v>
      </c>
      <c r="K133" s="1">
        <v>4</v>
      </c>
      <c r="L133" s="1">
        <v>0</v>
      </c>
      <c r="M133" s="1">
        <v>0.5</v>
      </c>
      <c r="N133" s="1"/>
      <c r="O133" s="1">
        <v>3.7</v>
      </c>
      <c r="P133" s="1">
        <v>4</v>
      </c>
      <c r="Q133" s="1">
        <v>1.4</v>
      </c>
      <c r="R133" s="1">
        <v>2.7</v>
      </c>
      <c r="S133" s="1">
        <v>3.9774859287054398</v>
      </c>
      <c r="T133" s="1"/>
      <c r="U133" s="1"/>
      <c r="V133" s="1"/>
      <c r="W133" s="1"/>
      <c r="X133" s="1"/>
      <c r="Y133" s="1"/>
      <c r="Z133" s="1" t="s">
        <v>116</v>
      </c>
      <c r="AA133" s="1" t="s">
        <v>1223</v>
      </c>
      <c r="AB133" s="1" t="s">
        <v>1216</v>
      </c>
      <c r="AC133" s="1">
        <v>-9.4</v>
      </c>
      <c r="AD133" s="1"/>
      <c r="AE133" s="1">
        <v>10</v>
      </c>
      <c r="AF133" s="1"/>
      <c r="AG133" s="1">
        <v>7.37733333333333</v>
      </c>
      <c r="AH133" s="1"/>
      <c r="AI133" s="1"/>
      <c r="AJ133" s="1"/>
      <c r="AK133" s="1"/>
      <c r="AL133" s="1"/>
      <c r="AM133" s="1"/>
      <c r="AN133" s="1"/>
      <c r="AO133" s="1"/>
      <c r="AP133" s="1"/>
      <c r="AQ133" s="1"/>
      <c r="AR133" s="1"/>
      <c r="AS133" s="1">
        <v>15</v>
      </c>
      <c r="AT133" s="1">
        <v>15</v>
      </c>
      <c r="AU133" s="1">
        <v>17</v>
      </c>
      <c r="AV133" s="1">
        <v>0</v>
      </c>
      <c r="AW133" s="1">
        <v>-2</v>
      </c>
      <c r="AX133" s="1">
        <v>0</v>
      </c>
      <c r="AY133" s="1">
        <v>0</v>
      </c>
      <c r="AZ133" s="1">
        <v>0.36363636363636298</v>
      </c>
      <c r="BA133" s="1"/>
      <c r="BB133" s="1"/>
      <c r="BC133" s="1"/>
      <c r="BD133" s="1"/>
      <c r="BE133" s="1"/>
      <c r="BF133" s="1"/>
      <c r="BG133" s="1"/>
      <c r="BH133" s="1"/>
    </row>
    <row r="134" spans="1:60" x14ac:dyDescent="0.2">
      <c r="A134" s="3">
        <v>132</v>
      </c>
      <c r="B134" s="3" t="s">
        <v>825</v>
      </c>
      <c r="C134" s="3" t="s">
        <v>826</v>
      </c>
      <c r="D134" s="1"/>
      <c r="E134" s="1">
        <f t="shared" si="12"/>
        <v>6.0804770661821106</v>
      </c>
      <c r="F134" s="1">
        <f t="shared" si="13"/>
        <v>4.2809917355371896</v>
      </c>
      <c r="G134" s="1">
        <f t="shared" si="14"/>
        <v>8.6363636363636296</v>
      </c>
      <c r="H134" s="1"/>
      <c r="I134" s="1">
        <v>3</v>
      </c>
      <c r="J134" s="1">
        <v>4</v>
      </c>
      <c r="K134" s="1">
        <v>3</v>
      </c>
      <c r="L134" s="1">
        <v>0</v>
      </c>
      <c r="M134" s="1">
        <v>1</v>
      </c>
      <c r="N134" s="1"/>
      <c r="O134" s="1">
        <v>4.7</v>
      </c>
      <c r="P134" s="1">
        <v>3.3333333333333299</v>
      </c>
      <c r="Q134" s="1">
        <v>1.9</v>
      </c>
      <c r="R134" s="1">
        <v>2.6166666666666698</v>
      </c>
      <c r="S134" s="1">
        <v>3.6022514071294598</v>
      </c>
      <c r="T134" s="1">
        <v>0.3</v>
      </c>
      <c r="U134" s="1">
        <v>1.8</v>
      </c>
      <c r="V134" s="1">
        <v>0.5</v>
      </c>
      <c r="W134" s="1">
        <v>-4</v>
      </c>
      <c r="X134" s="1">
        <v>2</v>
      </c>
      <c r="Y134" s="1">
        <v>-4.5</v>
      </c>
      <c r="Z134" s="1" t="s">
        <v>854</v>
      </c>
      <c r="AA134" s="1" t="s">
        <v>1255</v>
      </c>
      <c r="AB134" s="1" t="s">
        <v>1146</v>
      </c>
      <c r="AC134" s="1">
        <v>-3.3</v>
      </c>
      <c r="AD134" s="1">
        <v>9</v>
      </c>
      <c r="AE134" s="1">
        <v>6.6</v>
      </c>
      <c r="AF134" s="1">
        <v>9.6</v>
      </c>
      <c r="AG134" s="1">
        <v>10</v>
      </c>
      <c r="AH134" s="1"/>
      <c r="AI134" s="1"/>
      <c r="AJ134" s="1"/>
      <c r="AK134" s="1"/>
      <c r="AL134" s="1"/>
      <c r="AM134" s="1"/>
      <c r="AN134" s="1"/>
      <c r="AO134" s="1"/>
      <c r="AP134" s="1"/>
      <c r="AQ134" s="1"/>
      <c r="AR134" s="1"/>
      <c r="AS134" s="1">
        <v>40</v>
      </c>
      <c r="AT134" s="1">
        <v>40</v>
      </c>
      <c r="AU134" s="1">
        <v>38.545454545454497</v>
      </c>
      <c r="AV134" s="1">
        <v>0</v>
      </c>
      <c r="AW134" s="1">
        <v>1.4545454545454499</v>
      </c>
      <c r="AX134" s="1">
        <v>4.5454545454545503</v>
      </c>
      <c r="AY134" s="1">
        <v>8.6363636363636296</v>
      </c>
      <c r="AZ134" s="1">
        <v>4.2809917355371896</v>
      </c>
      <c r="BA134" s="1">
        <v>0.05</v>
      </c>
      <c r="BB134" s="1">
        <v>2.5</v>
      </c>
      <c r="BC134" s="1"/>
      <c r="BD134" s="1"/>
      <c r="BE134" s="1"/>
      <c r="BF134" s="1"/>
      <c r="BG134" s="1"/>
      <c r="BH134" s="1"/>
    </row>
    <row r="135" spans="1:60" x14ac:dyDescent="0.2">
      <c r="A135" s="3">
        <v>133</v>
      </c>
      <c r="B135" s="3" t="s">
        <v>829</v>
      </c>
      <c r="C135" s="3" t="s">
        <v>830</v>
      </c>
      <c r="D135" s="1"/>
      <c r="E135" s="1">
        <f t="shared" si="12"/>
        <v>2.0290897242213708</v>
      </c>
      <c r="F135" s="1">
        <f t="shared" si="13"/>
        <v>9.0578512396694197</v>
      </c>
      <c r="G135" s="1">
        <f t="shared" si="14"/>
        <v>0.45454545454546702</v>
      </c>
      <c r="H135" s="1"/>
      <c r="I135" s="1">
        <v>5</v>
      </c>
      <c r="J135" s="1">
        <v>4</v>
      </c>
      <c r="K135" s="1">
        <v>3</v>
      </c>
      <c r="L135" s="1">
        <v>3</v>
      </c>
      <c r="M135" s="1">
        <v>0.7</v>
      </c>
      <c r="N135" s="1"/>
      <c r="O135" s="1">
        <v>3.5</v>
      </c>
      <c r="P135" s="1">
        <v>4</v>
      </c>
      <c r="Q135" s="1">
        <v>2.4</v>
      </c>
      <c r="R135" s="1">
        <v>3.2</v>
      </c>
      <c r="S135" s="1">
        <v>6.2288930581613497</v>
      </c>
      <c r="T135" s="1">
        <v>5.2</v>
      </c>
      <c r="U135" s="1">
        <v>5.5</v>
      </c>
      <c r="V135" s="1">
        <v>1.9</v>
      </c>
      <c r="W135" s="1">
        <v>-2.6</v>
      </c>
      <c r="X135" s="1">
        <v>-0.2</v>
      </c>
      <c r="Y135" s="1">
        <v>-4.5</v>
      </c>
      <c r="Z135" s="1" t="s">
        <v>1153</v>
      </c>
      <c r="AA135" s="1" t="s">
        <v>1149</v>
      </c>
      <c r="AB135" s="1" t="s">
        <v>147</v>
      </c>
      <c r="AC135" s="1">
        <v>-4.8</v>
      </c>
      <c r="AD135" s="1">
        <v>9</v>
      </c>
      <c r="AE135" s="1">
        <v>9.6</v>
      </c>
      <c r="AF135" s="1">
        <v>9</v>
      </c>
      <c r="AG135" s="1">
        <v>7.9580000000000002</v>
      </c>
      <c r="AH135" s="1">
        <v>0.5</v>
      </c>
      <c r="AI135" s="1">
        <v>1</v>
      </c>
      <c r="AJ135" s="1">
        <v>0</v>
      </c>
      <c r="AK135" s="1">
        <v>1</v>
      </c>
      <c r="AL135" s="1">
        <v>0</v>
      </c>
      <c r="AM135" s="1">
        <v>0</v>
      </c>
      <c r="AN135" s="1">
        <v>0</v>
      </c>
      <c r="AO135" s="1">
        <v>0</v>
      </c>
      <c r="AP135" s="1">
        <v>1</v>
      </c>
      <c r="AQ135" s="1">
        <v>2.5</v>
      </c>
      <c r="AR135" s="1">
        <v>10</v>
      </c>
      <c r="AS135" s="1">
        <v>63</v>
      </c>
      <c r="AT135" s="1">
        <v>64</v>
      </c>
      <c r="AU135" s="1">
        <v>64.818181818181799</v>
      </c>
      <c r="AV135" s="1">
        <v>-1</v>
      </c>
      <c r="AW135" s="1">
        <v>-1.8181818181818099</v>
      </c>
      <c r="AX135" s="1">
        <v>8.7272727272727302</v>
      </c>
      <c r="AY135" s="1">
        <v>0.45454545454546702</v>
      </c>
      <c r="AZ135" s="1">
        <v>9.0578512396694197</v>
      </c>
      <c r="BA135" s="1">
        <v>0.14799999999999999</v>
      </c>
      <c r="BB135" s="1">
        <v>7.4</v>
      </c>
      <c r="BC135" s="1"/>
      <c r="BD135" s="1"/>
      <c r="BE135" s="1"/>
      <c r="BF135" s="1"/>
      <c r="BG135" s="1"/>
      <c r="BH135" s="1"/>
    </row>
    <row r="136" spans="1:60" x14ac:dyDescent="0.2">
      <c r="A136" s="3">
        <v>134</v>
      </c>
      <c r="B136" s="3" t="s">
        <v>836</v>
      </c>
      <c r="C136" s="3" t="s">
        <v>837</v>
      </c>
      <c r="D136" s="1"/>
      <c r="E136" s="1">
        <f t="shared" si="12"/>
        <v>4.1652892561983501</v>
      </c>
      <c r="F136" s="1">
        <f t="shared" si="13"/>
        <v>4.1652892561983501</v>
      </c>
      <c r="G136" s="1">
        <f t="shared" si="14"/>
        <v>0</v>
      </c>
      <c r="H136" s="1"/>
      <c r="I136" s="1"/>
      <c r="J136" s="1"/>
      <c r="K136" s="1">
        <v>4</v>
      </c>
      <c r="L136" s="1">
        <v>0</v>
      </c>
      <c r="M136" s="1">
        <v>0.2</v>
      </c>
      <c r="N136" s="1"/>
      <c r="O136" s="1">
        <v>3.1</v>
      </c>
      <c r="P136" s="1">
        <v>4</v>
      </c>
      <c r="Q136" s="1">
        <v>1.1000000000000001</v>
      </c>
      <c r="R136" s="1">
        <v>2.5499999999999998</v>
      </c>
      <c r="S136" s="1">
        <v>3.30206378986867</v>
      </c>
      <c r="T136" s="1">
        <v>5.6</v>
      </c>
      <c r="U136" s="1">
        <v>3.7</v>
      </c>
      <c r="V136" s="1">
        <v>3</v>
      </c>
      <c r="W136" s="1">
        <v>-2</v>
      </c>
      <c r="X136" s="1">
        <v>4.2</v>
      </c>
      <c r="Y136" s="1">
        <v>-5</v>
      </c>
      <c r="Z136" s="1" t="s">
        <v>1146</v>
      </c>
      <c r="AA136" s="1" t="s">
        <v>1227</v>
      </c>
      <c r="AB136" s="1" t="s">
        <v>1189</v>
      </c>
      <c r="AC136" s="1">
        <v>-5</v>
      </c>
      <c r="AD136" s="1">
        <v>10</v>
      </c>
      <c r="AE136" s="1">
        <v>10</v>
      </c>
      <c r="AF136" s="1">
        <v>8.7333333333333307</v>
      </c>
      <c r="AG136" s="1">
        <v>9.33</v>
      </c>
      <c r="AH136" s="1"/>
      <c r="AI136" s="1"/>
      <c r="AJ136" s="1"/>
      <c r="AK136" s="1"/>
      <c r="AL136" s="1"/>
      <c r="AM136" s="1"/>
      <c r="AN136" s="1"/>
      <c r="AO136" s="1"/>
      <c r="AP136" s="1"/>
      <c r="AQ136" s="1"/>
      <c r="AR136" s="1"/>
      <c r="AS136" s="1">
        <v>35</v>
      </c>
      <c r="AT136" s="1">
        <v>35</v>
      </c>
      <c r="AU136" s="1">
        <v>37.909090909090899</v>
      </c>
      <c r="AV136" s="1">
        <v>0</v>
      </c>
      <c r="AW136" s="1">
        <v>-2.9090909090909101</v>
      </c>
      <c r="AX136" s="1">
        <v>3.6363636363636398</v>
      </c>
      <c r="AY136" s="1">
        <v>0</v>
      </c>
      <c r="AZ136" s="1">
        <v>4.1652892561983501</v>
      </c>
      <c r="BA136" s="1">
        <v>0.27800000000000002</v>
      </c>
      <c r="BB136" s="1">
        <v>10</v>
      </c>
      <c r="BC136" s="1"/>
      <c r="BD136" s="1"/>
      <c r="BE136" s="1"/>
      <c r="BF136" s="1"/>
      <c r="BG136" s="1"/>
      <c r="BH136" s="1"/>
    </row>
    <row r="137" spans="1:60" x14ac:dyDescent="0.2">
      <c r="A137" s="3">
        <v>135</v>
      </c>
      <c r="B137" s="3" t="s">
        <v>840</v>
      </c>
      <c r="C137" s="3" t="s">
        <v>841</v>
      </c>
      <c r="D137" s="1"/>
      <c r="E137" s="1">
        <f t="shared" si="12"/>
        <v>1.9765720236531312</v>
      </c>
      <c r="F137" s="1">
        <f t="shared" si="13"/>
        <v>4.2975206611570202</v>
      </c>
      <c r="G137" s="1">
        <f t="shared" si="14"/>
        <v>0.90909090909091705</v>
      </c>
      <c r="H137" s="1"/>
      <c r="I137" s="1">
        <v>4</v>
      </c>
      <c r="J137" s="1">
        <v>4</v>
      </c>
      <c r="K137" s="1">
        <v>3</v>
      </c>
      <c r="L137" s="1">
        <v>0</v>
      </c>
      <c r="M137" s="1">
        <v>2</v>
      </c>
      <c r="N137" s="1">
        <v>0</v>
      </c>
      <c r="O137" s="1">
        <v>3.9</v>
      </c>
      <c r="P137" s="1">
        <v>3.6666666666666701</v>
      </c>
      <c r="Q137" s="1">
        <v>1.4750000000000001</v>
      </c>
      <c r="R137" s="1">
        <v>2.5708333333333302</v>
      </c>
      <c r="S137" s="1">
        <v>3.39587242026266</v>
      </c>
      <c r="T137" s="1">
        <v>2.5</v>
      </c>
      <c r="U137" s="1">
        <v>4</v>
      </c>
      <c r="V137" s="1">
        <v>2.2000000000000002</v>
      </c>
      <c r="W137" s="1">
        <v>-12</v>
      </c>
      <c r="X137" s="1">
        <v>7</v>
      </c>
      <c r="Y137" s="1">
        <v>-14.2</v>
      </c>
      <c r="Z137" s="1" t="s">
        <v>116</v>
      </c>
      <c r="AA137" s="1" t="s">
        <v>1191</v>
      </c>
      <c r="AB137" s="1" t="s">
        <v>1207</v>
      </c>
      <c r="AC137" s="1">
        <v>-6.7</v>
      </c>
      <c r="AD137" s="1">
        <v>10</v>
      </c>
      <c r="AE137" s="1">
        <v>10</v>
      </c>
      <c r="AF137" s="1">
        <v>10</v>
      </c>
      <c r="AG137" s="1">
        <v>10</v>
      </c>
      <c r="AH137" s="1">
        <v>0</v>
      </c>
      <c r="AI137" s="1">
        <v>0.5</v>
      </c>
      <c r="AJ137" s="1">
        <v>0</v>
      </c>
      <c r="AK137" s="1">
        <v>0</v>
      </c>
      <c r="AL137" s="1">
        <v>0</v>
      </c>
      <c r="AM137" s="1">
        <v>0</v>
      </c>
      <c r="AN137" s="1">
        <v>1</v>
      </c>
      <c r="AO137" s="1">
        <v>0</v>
      </c>
      <c r="AP137" s="1">
        <v>0</v>
      </c>
      <c r="AQ137" s="1">
        <v>0.5</v>
      </c>
      <c r="AR137" s="1">
        <v>2.38095238095238</v>
      </c>
      <c r="AS137" s="1">
        <v>37</v>
      </c>
      <c r="AT137" s="1">
        <v>40</v>
      </c>
      <c r="AU137" s="1">
        <v>38.636363636363598</v>
      </c>
      <c r="AV137" s="1">
        <v>-3</v>
      </c>
      <c r="AW137" s="1">
        <v>-1.63636363636363</v>
      </c>
      <c r="AX137" s="1">
        <v>4</v>
      </c>
      <c r="AY137" s="1">
        <v>0.90909090909091705</v>
      </c>
      <c r="AZ137" s="1">
        <v>4.2975206611570202</v>
      </c>
      <c r="BA137" s="1">
        <v>0.112</v>
      </c>
      <c r="BB137" s="1">
        <v>5.6</v>
      </c>
      <c r="BC137" s="1"/>
      <c r="BD137" s="1"/>
      <c r="BE137" s="1"/>
      <c r="BF137" s="1"/>
      <c r="BG137" s="1"/>
      <c r="BH137" s="1"/>
    </row>
    <row r="138" spans="1:60" x14ac:dyDescent="0.2">
      <c r="A138" s="3">
        <v>136</v>
      </c>
      <c r="B138" s="3" t="s">
        <v>844</v>
      </c>
      <c r="C138" s="3" t="s">
        <v>845</v>
      </c>
      <c r="D138" s="1"/>
      <c r="E138" s="1">
        <f t="shared" si="12"/>
        <v>4.3864760401818437</v>
      </c>
      <c r="F138" s="1">
        <f t="shared" si="13"/>
        <v>6.5123966942148801</v>
      </c>
      <c r="G138" s="1">
        <f t="shared" si="14"/>
        <v>2.9545454545454501</v>
      </c>
      <c r="H138" s="1"/>
      <c r="I138" s="1">
        <v>4</v>
      </c>
      <c r="J138" s="1">
        <v>4</v>
      </c>
      <c r="K138" s="1">
        <v>5</v>
      </c>
      <c r="L138" s="1">
        <v>4</v>
      </c>
      <c r="M138" s="1">
        <v>1.3</v>
      </c>
      <c r="N138" s="1">
        <v>0</v>
      </c>
      <c r="O138" s="1">
        <v>1.4</v>
      </c>
      <c r="P138" s="1">
        <v>4.3333333333333304</v>
      </c>
      <c r="Q138" s="1">
        <v>1.675</v>
      </c>
      <c r="R138" s="1">
        <v>3.00416666666667</v>
      </c>
      <c r="S138" s="1">
        <v>5.3470919324577899</v>
      </c>
      <c r="T138" s="1">
        <v>6.9</v>
      </c>
      <c r="U138" s="1">
        <v>6.3</v>
      </c>
      <c r="V138" s="1">
        <v>6</v>
      </c>
      <c r="W138" s="1">
        <v>-1.9</v>
      </c>
      <c r="X138" s="1">
        <v>6.2</v>
      </c>
      <c r="Y138" s="1">
        <v>-7.9</v>
      </c>
      <c r="Z138" s="1" t="s">
        <v>1216</v>
      </c>
      <c r="AA138" s="1" t="s">
        <v>1206</v>
      </c>
      <c r="AB138" s="1" t="s">
        <v>1157</v>
      </c>
      <c r="AC138" s="1">
        <v>-5.3</v>
      </c>
      <c r="AD138" s="1">
        <v>10</v>
      </c>
      <c r="AE138" s="1">
        <v>10</v>
      </c>
      <c r="AF138" s="1">
        <v>8.7333333333333307</v>
      </c>
      <c r="AG138" s="1">
        <v>8.8413333333333295</v>
      </c>
      <c r="AH138" s="1">
        <v>0</v>
      </c>
      <c r="AI138" s="1">
        <v>1</v>
      </c>
      <c r="AJ138" s="1">
        <v>0</v>
      </c>
      <c r="AK138" s="1">
        <v>0.5</v>
      </c>
      <c r="AL138" s="1">
        <v>0</v>
      </c>
      <c r="AM138" s="1">
        <v>0.5</v>
      </c>
      <c r="AN138" s="1">
        <v>0</v>
      </c>
      <c r="AO138" s="1">
        <v>0</v>
      </c>
      <c r="AP138" s="1">
        <v>0</v>
      </c>
      <c r="AQ138" s="1">
        <v>2</v>
      </c>
      <c r="AR138" s="1">
        <v>9.5238095238095202</v>
      </c>
      <c r="AS138" s="1">
        <v>50</v>
      </c>
      <c r="AT138" s="1">
        <v>52</v>
      </c>
      <c r="AU138" s="1">
        <v>50.818181818181799</v>
      </c>
      <c r="AV138" s="1">
        <v>-2</v>
      </c>
      <c r="AW138" s="1">
        <v>-0.81818181818182001</v>
      </c>
      <c r="AX138" s="1">
        <v>6.3636363636363598</v>
      </c>
      <c r="AY138" s="1">
        <v>2.9545454545454501</v>
      </c>
      <c r="AZ138" s="1">
        <v>6.5123966942148801</v>
      </c>
      <c r="BA138" s="1">
        <v>0.06</v>
      </c>
      <c r="BB138" s="1">
        <v>3</v>
      </c>
      <c r="BC138" s="1"/>
      <c r="BD138" s="1"/>
      <c r="BE138" s="1"/>
      <c r="BF138" s="1"/>
      <c r="BG138" s="1"/>
      <c r="BH138" s="1"/>
    </row>
    <row r="139" spans="1:60" x14ac:dyDescent="0.2">
      <c r="A139" s="3">
        <v>137</v>
      </c>
      <c r="B139" s="3" t="s">
        <v>849</v>
      </c>
      <c r="C139" s="3" t="s">
        <v>850</v>
      </c>
      <c r="D139" s="1"/>
      <c r="E139" s="1">
        <f t="shared" si="12"/>
        <v>0</v>
      </c>
      <c r="F139" s="1">
        <f t="shared" si="13"/>
        <v>0</v>
      </c>
      <c r="G139" s="1">
        <f t="shared" si="14"/>
        <v>0</v>
      </c>
      <c r="H139" s="1"/>
      <c r="I139" s="1">
        <v>5</v>
      </c>
      <c r="J139" s="1">
        <v>5</v>
      </c>
      <c r="K139" s="1"/>
      <c r="L139" s="1">
        <v>0</v>
      </c>
      <c r="M139" s="1"/>
      <c r="N139" s="1">
        <v>4</v>
      </c>
      <c r="O139" s="1">
        <v>3.9</v>
      </c>
      <c r="P139" s="1">
        <v>5</v>
      </c>
      <c r="Q139" s="1">
        <v>2.6333333333333302</v>
      </c>
      <c r="R139" s="1">
        <v>3.81666666666667</v>
      </c>
      <c r="S139" s="1">
        <v>9.0056285178236397</v>
      </c>
      <c r="T139" s="1"/>
      <c r="U139" s="1"/>
      <c r="V139" s="1"/>
      <c r="W139" s="1"/>
      <c r="X139" s="1"/>
      <c r="Y139" s="1"/>
      <c r="Z139" s="1" t="s">
        <v>854</v>
      </c>
      <c r="AA139" s="1" t="s">
        <v>1259</v>
      </c>
      <c r="AB139" s="1" t="s">
        <v>1260</v>
      </c>
      <c r="AC139" s="1">
        <v>-12.4</v>
      </c>
      <c r="AD139" s="1"/>
      <c r="AE139" s="1">
        <v>10</v>
      </c>
      <c r="AF139" s="1"/>
      <c r="AG139" s="1">
        <v>10</v>
      </c>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row>
    <row r="140" spans="1:60" x14ac:dyDescent="0.2">
      <c r="A140" s="3">
        <v>138</v>
      </c>
      <c r="B140" s="3" t="s">
        <v>852</v>
      </c>
      <c r="C140" s="3" t="s">
        <v>853</v>
      </c>
      <c r="D140" s="1"/>
      <c r="E140" s="1">
        <f t="shared" si="12"/>
        <v>7.4603887600304617</v>
      </c>
      <c r="F140" s="1">
        <f t="shared" si="13"/>
        <v>7.65289256198347</v>
      </c>
      <c r="G140" s="1">
        <f t="shared" si="14"/>
        <v>7.2727272727272698</v>
      </c>
      <c r="H140" s="1"/>
      <c r="I140" s="1"/>
      <c r="J140" s="1"/>
      <c r="K140" s="1">
        <v>0</v>
      </c>
      <c r="L140" s="1">
        <v>0</v>
      </c>
      <c r="M140" s="1">
        <v>0.8</v>
      </c>
      <c r="N140" s="1">
        <v>4</v>
      </c>
      <c r="O140" s="1"/>
      <c r="P140" s="1">
        <v>0</v>
      </c>
      <c r="Q140" s="1">
        <v>1.6</v>
      </c>
      <c r="R140" s="1">
        <v>0.8</v>
      </c>
      <c r="S140" s="1">
        <v>0</v>
      </c>
      <c r="T140" s="1">
        <v>3.5</v>
      </c>
      <c r="U140" s="1">
        <v>-0.8</v>
      </c>
      <c r="V140" s="1">
        <v>6</v>
      </c>
      <c r="W140" s="1">
        <v>-1.3</v>
      </c>
      <c r="X140" s="1">
        <v>3.4</v>
      </c>
      <c r="Y140" s="1">
        <v>-7.3</v>
      </c>
      <c r="Z140" s="1" t="s">
        <v>1232</v>
      </c>
      <c r="AA140" s="1" t="s">
        <v>1212</v>
      </c>
      <c r="AB140" s="1" t="s">
        <v>414</v>
      </c>
      <c r="AC140" s="1">
        <v>-6</v>
      </c>
      <c r="AD140" s="1">
        <v>10</v>
      </c>
      <c r="AE140" s="1">
        <v>10</v>
      </c>
      <c r="AF140" s="1">
        <v>5.8666666666666698</v>
      </c>
      <c r="AG140" s="1">
        <v>7.6260000000000003</v>
      </c>
      <c r="AH140" s="1"/>
      <c r="AI140" s="1"/>
      <c r="AJ140" s="1"/>
      <c r="AK140" s="1"/>
      <c r="AL140" s="1"/>
      <c r="AM140" s="1"/>
      <c r="AN140" s="1"/>
      <c r="AO140" s="1"/>
      <c r="AP140" s="1"/>
      <c r="AQ140" s="1"/>
      <c r="AR140" s="1"/>
      <c r="AS140" s="1">
        <v>58</v>
      </c>
      <c r="AT140" s="1">
        <v>57</v>
      </c>
      <c r="AU140" s="1">
        <v>57.090909090909101</v>
      </c>
      <c r="AV140" s="1">
        <v>1</v>
      </c>
      <c r="AW140" s="1">
        <v>0.90909090909090695</v>
      </c>
      <c r="AX140" s="1">
        <v>7.8181818181818201</v>
      </c>
      <c r="AY140" s="1">
        <v>7.2727272727272698</v>
      </c>
      <c r="AZ140" s="1">
        <v>7.65289256198347</v>
      </c>
      <c r="BA140" s="1"/>
      <c r="BB140" s="1"/>
      <c r="BC140" s="1"/>
      <c r="BD140" s="1"/>
      <c r="BE140" s="1"/>
      <c r="BF140" s="1"/>
      <c r="BG140" s="1"/>
      <c r="BH140" s="1"/>
    </row>
    <row r="141" spans="1:60" x14ac:dyDescent="0.2">
      <c r="A141" s="3">
        <v>139</v>
      </c>
      <c r="B141" s="3" t="s">
        <v>856</v>
      </c>
      <c r="C141" s="3" t="s">
        <v>857</v>
      </c>
      <c r="D141" s="1"/>
      <c r="E141" s="1">
        <f t="shared" si="12"/>
        <v>3.30578512396694</v>
      </c>
      <c r="F141" s="1">
        <f t="shared" si="13"/>
        <v>3.30578512396694</v>
      </c>
      <c r="G141" s="1">
        <f t="shared" si="14"/>
        <v>0</v>
      </c>
      <c r="H141" s="1"/>
      <c r="I141" s="1">
        <v>3</v>
      </c>
      <c r="J141" s="1">
        <v>3</v>
      </c>
      <c r="K141" s="1">
        <v>0</v>
      </c>
      <c r="L141" s="1">
        <v>0</v>
      </c>
      <c r="M141" s="1">
        <v>0.8</v>
      </c>
      <c r="N141" s="1"/>
      <c r="O141" s="1">
        <v>3.9</v>
      </c>
      <c r="P141" s="1">
        <v>2</v>
      </c>
      <c r="Q141" s="1">
        <v>1.56666666666667</v>
      </c>
      <c r="R141" s="1">
        <v>1.7833333333333301</v>
      </c>
      <c r="S141" s="1">
        <v>0</v>
      </c>
      <c r="T141" s="1">
        <v>4.9000000000000004</v>
      </c>
      <c r="U141" s="1">
        <v>5.3</v>
      </c>
      <c r="V141" s="1">
        <v>4.0999999999999996</v>
      </c>
      <c r="W141" s="1">
        <v>-4.2</v>
      </c>
      <c r="X141" s="1">
        <v>2.8</v>
      </c>
      <c r="Y141" s="1">
        <v>-8.3000000000000007</v>
      </c>
      <c r="Z141" s="1" t="s">
        <v>1195</v>
      </c>
      <c r="AA141" s="1" t="s">
        <v>1261</v>
      </c>
      <c r="AB141" s="1" t="s">
        <v>1166</v>
      </c>
      <c r="AC141" s="1">
        <v>-8.6999999999999993</v>
      </c>
      <c r="AD141" s="1">
        <v>10</v>
      </c>
      <c r="AE141" s="1">
        <v>10</v>
      </c>
      <c r="AF141" s="1">
        <v>5.6</v>
      </c>
      <c r="AG141" s="1">
        <v>5.7066666666666697</v>
      </c>
      <c r="AH141" s="1">
        <v>0</v>
      </c>
      <c r="AI141" s="1">
        <v>0</v>
      </c>
      <c r="AJ141" s="1">
        <v>0</v>
      </c>
      <c r="AK141" s="1">
        <v>0</v>
      </c>
      <c r="AL141" s="1">
        <v>0</v>
      </c>
      <c r="AM141" s="1">
        <v>0</v>
      </c>
      <c r="AN141" s="1">
        <v>0</v>
      </c>
      <c r="AO141" s="1">
        <v>0</v>
      </c>
      <c r="AP141" s="1">
        <v>0</v>
      </c>
      <c r="AQ141" s="1">
        <v>0</v>
      </c>
      <c r="AR141" s="1">
        <v>0</v>
      </c>
      <c r="AS141" s="1">
        <v>31</v>
      </c>
      <c r="AT141" s="1">
        <v>34</v>
      </c>
      <c r="AU141" s="1">
        <v>33.181818181818201</v>
      </c>
      <c r="AV141" s="1">
        <v>-3</v>
      </c>
      <c r="AW141" s="1">
        <v>-2.1818181818181799</v>
      </c>
      <c r="AX141" s="1">
        <v>2.9090909090909101</v>
      </c>
      <c r="AY141" s="1">
        <v>0</v>
      </c>
      <c r="AZ141" s="1">
        <v>3.30578512396694</v>
      </c>
      <c r="BA141" s="1">
        <v>0.105</v>
      </c>
      <c r="BB141" s="1">
        <v>5.25</v>
      </c>
      <c r="BC141" s="1"/>
      <c r="BD141" s="1"/>
      <c r="BE141" s="1"/>
      <c r="BF141" s="1"/>
      <c r="BG141" s="1"/>
      <c r="BH141" s="1"/>
    </row>
    <row r="142" spans="1:60" x14ac:dyDescent="0.2">
      <c r="A142" s="3">
        <v>140</v>
      </c>
      <c r="B142" s="3" t="s">
        <v>860</v>
      </c>
      <c r="C142" s="3" t="s">
        <v>861</v>
      </c>
      <c r="D142" s="1"/>
      <c r="E142" s="1">
        <f t="shared" si="12"/>
        <v>6.7419986246324095</v>
      </c>
      <c r="F142" s="1">
        <f t="shared" si="13"/>
        <v>10</v>
      </c>
      <c r="G142" s="1">
        <f t="shared" si="14"/>
        <v>4.5454545454545299</v>
      </c>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v>78</v>
      </c>
      <c r="AT142" s="1">
        <v>77</v>
      </c>
      <c r="AU142" s="1">
        <v>78.181818181818201</v>
      </c>
      <c r="AV142" s="1">
        <v>1</v>
      </c>
      <c r="AW142" s="1">
        <v>-0.18181818181818701</v>
      </c>
      <c r="AX142" s="1">
        <v>10</v>
      </c>
      <c r="AY142" s="1">
        <v>4.5454545454545299</v>
      </c>
      <c r="AZ142" s="1">
        <v>10</v>
      </c>
      <c r="BA142" s="1"/>
      <c r="BB142" s="1"/>
      <c r="BC142" s="1"/>
      <c r="BD142" s="1"/>
      <c r="BE142" s="1"/>
      <c r="BF142" s="1"/>
      <c r="BG142" s="1"/>
      <c r="BH142" s="1"/>
    </row>
    <row r="143" spans="1:60" x14ac:dyDescent="0.2">
      <c r="A143" s="3">
        <v>141</v>
      </c>
      <c r="B143" s="3" t="s">
        <v>862</v>
      </c>
      <c r="C143" s="3" t="s">
        <v>863</v>
      </c>
      <c r="D143" s="1"/>
      <c r="E143" s="1">
        <f t="shared" si="12"/>
        <v>4.4205992774113794</v>
      </c>
      <c r="F143" s="1">
        <f t="shared" si="13"/>
        <v>2.5289256198347099</v>
      </c>
      <c r="G143" s="1">
        <f t="shared" si="14"/>
        <v>7.7272727272727204</v>
      </c>
      <c r="H143" s="1"/>
      <c r="I143" s="1">
        <v>4</v>
      </c>
      <c r="J143" s="1">
        <v>4</v>
      </c>
      <c r="K143" s="1">
        <v>4</v>
      </c>
      <c r="L143" s="1">
        <v>0</v>
      </c>
      <c r="M143" s="1">
        <v>0.4</v>
      </c>
      <c r="N143" s="1"/>
      <c r="O143" s="1">
        <v>4.2</v>
      </c>
      <c r="P143" s="1">
        <v>4</v>
      </c>
      <c r="Q143" s="1">
        <v>1.5333333333333301</v>
      </c>
      <c r="R143" s="1">
        <v>2.7666666666666702</v>
      </c>
      <c r="S143" s="1">
        <v>4.2776735459662296</v>
      </c>
      <c r="T143" s="1"/>
      <c r="U143" s="1"/>
      <c r="V143" s="1"/>
      <c r="W143" s="1"/>
      <c r="X143" s="1"/>
      <c r="Y143" s="1"/>
      <c r="Z143" s="1" t="s">
        <v>116</v>
      </c>
      <c r="AA143" s="1" t="s">
        <v>1217</v>
      </c>
      <c r="AB143" s="1" t="s">
        <v>1232</v>
      </c>
      <c r="AC143" s="1">
        <v>-10.199999999999999</v>
      </c>
      <c r="AD143" s="1"/>
      <c r="AE143" s="1">
        <v>10</v>
      </c>
      <c r="AF143" s="1"/>
      <c r="AG143" s="1">
        <v>10</v>
      </c>
      <c r="AH143" s="1"/>
      <c r="AI143" s="1"/>
      <c r="AJ143" s="1"/>
      <c r="AK143" s="1"/>
      <c r="AL143" s="1"/>
      <c r="AM143" s="1"/>
      <c r="AN143" s="1"/>
      <c r="AO143" s="1"/>
      <c r="AP143" s="1"/>
      <c r="AQ143" s="1"/>
      <c r="AR143" s="1"/>
      <c r="AS143" s="1">
        <v>30</v>
      </c>
      <c r="AT143" s="1">
        <v>30</v>
      </c>
      <c r="AU143" s="1">
        <v>28.909090909090899</v>
      </c>
      <c r="AV143" s="1">
        <v>0</v>
      </c>
      <c r="AW143" s="1">
        <v>1.0909090909090899</v>
      </c>
      <c r="AX143" s="1">
        <v>2.7272727272727302</v>
      </c>
      <c r="AY143" s="1">
        <v>7.7272727272727204</v>
      </c>
      <c r="AZ143" s="1">
        <v>2.5289256198347099</v>
      </c>
      <c r="BA143" s="1"/>
      <c r="BB143" s="1"/>
      <c r="BC143" s="1"/>
      <c r="BD143" s="1"/>
      <c r="BE143" s="1"/>
      <c r="BF143" s="1"/>
      <c r="BG143" s="1"/>
      <c r="BH143" s="1"/>
    </row>
    <row r="144" spans="1:60" x14ac:dyDescent="0.2">
      <c r="A144" s="3">
        <v>142</v>
      </c>
      <c r="B144" s="3" t="s">
        <v>865</v>
      </c>
      <c r="C144" s="3" t="s">
        <v>866</v>
      </c>
      <c r="D144" s="1"/>
      <c r="E144" s="1">
        <f t="shared" si="12"/>
        <v>6.1306217396852496</v>
      </c>
      <c r="F144" s="1">
        <f t="shared" si="13"/>
        <v>5.7024793388429798</v>
      </c>
      <c r="G144" s="1">
        <f t="shared" si="14"/>
        <v>6.5909090909090802</v>
      </c>
      <c r="H144" s="1"/>
      <c r="I144" s="1">
        <v>4</v>
      </c>
      <c r="J144" s="1">
        <v>3</v>
      </c>
      <c r="K144" s="1">
        <v>0</v>
      </c>
      <c r="L144" s="1">
        <v>0</v>
      </c>
      <c r="M144" s="1">
        <v>1</v>
      </c>
      <c r="N144" s="1">
        <v>0</v>
      </c>
      <c r="O144" s="1">
        <v>3.5</v>
      </c>
      <c r="P144" s="1">
        <v>2.3333333333333299</v>
      </c>
      <c r="Q144" s="1">
        <v>1.125</v>
      </c>
      <c r="R144" s="1">
        <v>1.7291666666666701</v>
      </c>
      <c r="S144" s="1">
        <v>0</v>
      </c>
      <c r="T144" s="1">
        <v>5</v>
      </c>
      <c r="U144" s="1">
        <v>3.4</v>
      </c>
      <c r="V144" s="1">
        <v>0</v>
      </c>
      <c r="W144" s="1">
        <v>-2.8</v>
      </c>
      <c r="X144" s="1">
        <v>4.2</v>
      </c>
      <c r="Y144" s="1">
        <v>-2.8</v>
      </c>
      <c r="Z144" s="1" t="s">
        <v>309</v>
      </c>
      <c r="AA144" s="1" t="s">
        <v>1212</v>
      </c>
      <c r="AB144" s="1" t="s">
        <v>1189</v>
      </c>
      <c r="AC144" s="1">
        <v>-1.2</v>
      </c>
      <c r="AD144" s="1">
        <v>5.6</v>
      </c>
      <c r="AE144" s="1">
        <v>2.4</v>
      </c>
      <c r="AF144" s="1">
        <v>4.06666666666667</v>
      </c>
      <c r="AG144" s="1">
        <v>6</v>
      </c>
      <c r="AH144" s="1"/>
      <c r="AI144" s="1"/>
      <c r="AJ144" s="1"/>
      <c r="AK144" s="1"/>
      <c r="AL144" s="1"/>
      <c r="AM144" s="1"/>
      <c r="AN144" s="1"/>
      <c r="AO144" s="1"/>
      <c r="AP144" s="1"/>
      <c r="AQ144" s="1"/>
      <c r="AR144" s="1"/>
      <c r="AS144" s="1">
        <v>47</v>
      </c>
      <c r="AT144" s="1">
        <v>47</v>
      </c>
      <c r="AU144" s="1">
        <v>46.363636363636402</v>
      </c>
      <c r="AV144" s="1">
        <v>0</v>
      </c>
      <c r="AW144" s="1">
        <v>0.63636363636363302</v>
      </c>
      <c r="AX144" s="1">
        <v>5.8181818181818201</v>
      </c>
      <c r="AY144" s="1">
        <v>6.5909090909090802</v>
      </c>
      <c r="AZ144" s="1">
        <v>5.7024793388429798</v>
      </c>
      <c r="BA144" s="1">
        <v>1.4E-2</v>
      </c>
      <c r="BB144" s="1">
        <v>0.70000000000000095</v>
      </c>
      <c r="BC144" s="1"/>
      <c r="BD144" s="1"/>
      <c r="BE144" s="1"/>
      <c r="BF144" s="1"/>
      <c r="BG144" s="1"/>
      <c r="BH144" s="1"/>
    </row>
    <row r="145" spans="1:60" x14ac:dyDescent="0.2">
      <c r="A145" s="3">
        <v>143</v>
      </c>
      <c r="B145" s="3" t="s">
        <v>870</v>
      </c>
      <c r="C145" s="3" t="s">
        <v>871</v>
      </c>
      <c r="D145" s="1"/>
      <c r="E145" s="1">
        <f t="shared" si="12"/>
        <v>3.5041322314049599</v>
      </c>
      <c r="F145" s="1">
        <f t="shared" si="13"/>
        <v>3.5041322314049599</v>
      </c>
      <c r="G145" s="1">
        <f t="shared" si="14"/>
        <v>0</v>
      </c>
      <c r="H145" s="1"/>
      <c r="I145" s="1">
        <v>0</v>
      </c>
      <c r="J145" s="1">
        <v>4</v>
      </c>
      <c r="K145" s="1">
        <v>3</v>
      </c>
      <c r="L145" s="1">
        <v>0</v>
      </c>
      <c r="M145" s="1">
        <v>0.8</v>
      </c>
      <c r="N145" s="1"/>
      <c r="O145" s="1">
        <v>1.4</v>
      </c>
      <c r="P145" s="1">
        <v>2.3333333333333299</v>
      </c>
      <c r="Q145" s="1">
        <v>0.73333333333333295</v>
      </c>
      <c r="R145" s="1">
        <v>1.5333333333333301</v>
      </c>
      <c r="S145" s="1">
        <v>0</v>
      </c>
      <c r="T145" s="1">
        <v>1.6</v>
      </c>
      <c r="U145" s="1">
        <v>1.5</v>
      </c>
      <c r="V145" s="1">
        <v>-0.3</v>
      </c>
      <c r="W145" s="1">
        <v>-3.5</v>
      </c>
      <c r="X145" s="1">
        <v>3.6</v>
      </c>
      <c r="Y145" s="1">
        <v>-3.2</v>
      </c>
      <c r="Z145" s="1" t="s">
        <v>333</v>
      </c>
      <c r="AA145" s="1" t="s">
        <v>1262</v>
      </c>
      <c r="AB145" s="1" t="s">
        <v>1232</v>
      </c>
      <c r="AC145" s="1">
        <v>-4.4000000000000004</v>
      </c>
      <c r="AD145" s="1">
        <v>6.4</v>
      </c>
      <c r="AE145" s="1">
        <v>8.8000000000000007</v>
      </c>
      <c r="AF145" s="1">
        <v>4.6666666666666696</v>
      </c>
      <c r="AG145" s="1">
        <v>6.3220000000000001</v>
      </c>
      <c r="AH145" s="1">
        <v>0</v>
      </c>
      <c r="AI145" s="1">
        <v>0</v>
      </c>
      <c r="AJ145" s="1">
        <v>0.5</v>
      </c>
      <c r="AK145" s="1">
        <v>0</v>
      </c>
      <c r="AL145" s="1">
        <v>0</v>
      </c>
      <c r="AM145" s="1">
        <v>1</v>
      </c>
      <c r="AN145" s="1">
        <v>1</v>
      </c>
      <c r="AO145" s="1">
        <v>0</v>
      </c>
      <c r="AP145" s="1">
        <v>0</v>
      </c>
      <c r="AQ145" s="1">
        <v>1.5</v>
      </c>
      <c r="AR145" s="1">
        <v>7.1428571428571397</v>
      </c>
      <c r="AS145" s="1">
        <v>32</v>
      </c>
      <c r="AT145" s="1">
        <v>32</v>
      </c>
      <c r="AU145" s="1">
        <v>34.272727272727302</v>
      </c>
      <c r="AV145" s="1">
        <v>0</v>
      </c>
      <c r="AW145" s="1">
        <v>-2.2727272727272698</v>
      </c>
      <c r="AX145" s="1">
        <v>3.0909090909090899</v>
      </c>
      <c r="AY145" s="1">
        <v>0</v>
      </c>
      <c r="AZ145" s="1">
        <v>3.5041322314049599</v>
      </c>
      <c r="BA145" s="1">
        <v>0.10299999999999999</v>
      </c>
      <c r="BB145" s="1">
        <v>5.15</v>
      </c>
      <c r="BC145" s="1"/>
      <c r="BD145" s="1"/>
      <c r="BE145" s="1"/>
      <c r="BF145" s="1"/>
      <c r="BG145" s="1"/>
      <c r="BH145" s="1"/>
    </row>
    <row r="146" spans="1:60" x14ac:dyDescent="0.2">
      <c r="A146" s="3">
        <v>144</v>
      </c>
      <c r="B146" s="3" t="s">
        <v>873</v>
      </c>
      <c r="C146" s="3" t="s">
        <v>874</v>
      </c>
      <c r="D146" s="1"/>
      <c r="E146" s="1">
        <f t="shared" si="12"/>
        <v>3.7241470465924289</v>
      </c>
      <c r="F146" s="1">
        <f t="shared" si="13"/>
        <v>4.69421487603306</v>
      </c>
      <c r="G146" s="1">
        <f t="shared" si="14"/>
        <v>2.9545454545454501</v>
      </c>
      <c r="H146" s="1"/>
      <c r="I146" s="1">
        <v>3</v>
      </c>
      <c r="J146" s="1">
        <v>3</v>
      </c>
      <c r="K146" s="1">
        <v>3</v>
      </c>
      <c r="L146" s="1">
        <v>0</v>
      </c>
      <c r="M146" s="1">
        <v>0.8</v>
      </c>
      <c r="N146" s="1"/>
      <c r="O146" s="1">
        <v>3.7</v>
      </c>
      <c r="P146" s="1">
        <v>3</v>
      </c>
      <c r="Q146" s="1">
        <v>1.5</v>
      </c>
      <c r="R146" s="1">
        <v>2.25</v>
      </c>
      <c r="S146" s="1">
        <v>1.9512195121951199</v>
      </c>
      <c r="T146" s="1">
        <v>7.1</v>
      </c>
      <c r="U146" s="1">
        <v>4.4000000000000004</v>
      </c>
      <c r="V146" s="1">
        <v>4.0999999999999996</v>
      </c>
      <c r="W146" s="1">
        <v>-5.7</v>
      </c>
      <c r="X146" s="1">
        <v>5.4</v>
      </c>
      <c r="Y146" s="1">
        <v>-9.8000000000000007</v>
      </c>
      <c r="Z146" s="1" t="s">
        <v>1195</v>
      </c>
      <c r="AA146" s="1" t="s">
        <v>1151</v>
      </c>
      <c r="AB146" s="1" t="s">
        <v>1186</v>
      </c>
      <c r="AC146" s="1">
        <v>-9.1</v>
      </c>
      <c r="AD146" s="1">
        <v>10</v>
      </c>
      <c r="AE146" s="1">
        <v>10</v>
      </c>
      <c r="AF146" s="1">
        <v>6.6666666666666696</v>
      </c>
      <c r="AG146" s="1">
        <v>6.5339999999999998</v>
      </c>
      <c r="AH146" s="1">
        <v>0</v>
      </c>
      <c r="AI146" s="1">
        <v>0</v>
      </c>
      <c r="AJ146" s="1">
        <v>0</v>
      </c>
      <c r="AK146" s="1">
        <v>0</v>
      </c>
      <c r="AL146" s="1">
        <v>0</v>
      </c>
      <c r="AM146" s="1">
        <v>0</v>
      </c>
      <c r="AN146" s="1">
        <v>0</v>
      </c>
      <c r="AO146" s="1">
        <v>0</v>
      </c>
      <c r="AP146" s="1">
        <v>0</v>
      </c>
      <c r="AQ146" s="1">
        <v>0</v>
      </c>
      <c r="AR146" s="1">
        <v>0</v>
      </c>
      <c r="AS146" s="1">
        <v>40</v>
      </c>
      <c r="AT146" s="1">
        <v>42</v>
      </c>
      <c r="AU146" s="1">
        <v>40.818181818181799</v>
      </c>
      <c r="AV146" s="1">
        <v>-2</v>
      </c>
      <c r="AW146" s="1">
        <v>-0.81818181818182001</v>
      </c>
      <c r="AX146" s="1">
        <v>4.5454545454545503</v>
      </c>
      <c r="AY146" s="1">
        <v>2.9545454545454501</v>
      </c>
      <c r="AZ146" s="1">
        <v>4.69421487603306</v>
      </c>
      <c r="BA146" s="1">
        <v>0.17399999999999999</v>
      </c>
      <c r="BB146" s="1">
        <v>8.6999999999999993</v>
      </c>
      <c r="BC146" s="1"/>
      <c r="BD146" s="1"/>
      <c r="BE146" s="1"/>
      <c r="BF146" s="1"/>
      <c r="BG146" s="1"/>
      <c r="BH146" s="1"/>
    </row>
    <row r="147" spans="1:60" x14ac:dyDescent="0.2">
      <c r="A147" s="3">
        <v>145</v>
      </c>
      <c r="B147" s="3" t="s">
        <v>877</v>
      </c>
      <c r="C147" s="3" t="s">
        <v>878</v>
      </c>
      <c r="D147" s="1"/>
      <c r="E147" s="1">
        <f t="shared" si="12"/>
        <v>3.8172962373237596</v>
      </c>
      <c r="F147" s="1">
        <f t="shared" si="13"/>
        <v>7.1239669421487601</v>
      </c>
      <c r="G147" s="1">
        <f t="shared" si="14"/>
        <v>2.0454545454545499</v>
      </c>
      <c r="H147" s="1"/>
      <c r="I147" s="1">
        <v>0</v>
      </c>
      <c r="J147" s="1">
        <v>4</v>
      </c>
      <c r="K147" s="1">
        <v>3</v>
      </c>
      <c r="L147" s="1">
        <v>0</v>
      </c>
      <c r="M147" s="1">
        <v>1.9</v>
      </c>
      <c r="N147" s="1"/>
      <c r="O147" s="1">
        <v>3.3</v>
      </c>
      <c r="P147" s="1">
        <v>2.3333333333333299</v>
      </c>
      <c r="Q147" s="1">
        <v>1.7333333333333301</v>
      </c>
      <c r="R147" s="1">
        <v>2.0333333333333301</v>
      </c>
      <c r="S147" s="1">
        <v>0.97560975609755995</v>
      </c>
      <c r="T147" s="1">
        <v>1.8</v>
      </c>
      <c r="U147" s="1">
        <v>2.5</v>
      </c>
      <c r="V147" s="1">
        <v>1.3</v>
      </c>
      <c r="W147" s="1">
        <v>-6</v>
      </c>
      <c r="X147" s="1">
        <v>2.7</v>
      </c>
      <c r="Y147" s="1">
        <v>-7.3</v>
      </c>
      <c r="Z147" s="1" t="s">
        <v>95</v>
      </c>
      <c r="AA147" s="1" t="s">
        <v>1165</v>
      </c>
      <c r="AB147" s="1" t="s">
        <v>1177</v>
      </c>
      <c r="AC147" s="1">
        <v>-6.8</v>
      </c>
      <c r="AD147" s="1">
        <v>10</v>
      </c>
      <c r="AE147" s="1">
        <v>10</v>
      </c>
      <c r="AF147" s="1">
        <v>6</v>
      </c>
      <c r="AG147" s="1">
        <v>6.0773333333333301</v>
      </c>
      <c r="AH147" s="1"/>
      <c r="AI147" s="1"/>
      <c r="AJ147" s="1"/>
      <c r="AK147" s="1"/>
      <c r="AL147" s="1"/>
      <c r="AM147" s="1"/>
      <c r="AN147" s="1"/>
      <c r="AO147" s="1"/>
      <c r="AP147" s="1"/>
      <c r="AQ147" s="1"/>
      <c r="AR147" s="1"/>
      <c r="AS147" s="1">
        <v>53</v>
      </c>
      <c r="AT147" s="1">
        <v>53</v>
      </c>
      <c r="AU147" s="1">
        <v>54.181818181818201</v>
      </c>
      <c r="AV147" s="1">
        <v>0</v>
      </c>
      <c r="AW147" s="1">
        <v>-1.1818181818181801</v>
      </c>
      <c r="AX147" s="1">
        <v>6.9090909090909101</v>
      </c>
      <c r="AY147" s="1">
        <v>2.0454545454545499</v>
      </c>
      <c r="AZ147" s="1">
        <v>7.1239669421487601</v>
      </c>
      <c r="BA147" s="1">
        <v>0.11600000000000001</v>
      </c>
      <c r="BB147" s="1">
        <v>5.8</v>
      </c>
      <c r="BC147" s="1"/>
      <c r="BD147" s="1"/>
      <c r="BE147" s="1"/>
      <c r="BF147" s="1"/>
      <c r="BG147" s="1"/>
      <c r="BH147" s="1"/>
    </row>
    <row r="148" spans="1:60" x14ac:dyDescent="0.2">
      <c r="A148" s="3">
        <v>146</v>
      </c>
      <c r="B148" s="3" t="s">
        <v>881</v>
      </c>
      <c r="C148" s="3" t="s">
        <v>882</v>
      </c>
      <c r="D148" s="1"/>
      <c r="E148" s="1">
        <f t="shared" si="12"/>
        <v>7.4842685000751557</v>
      </c>
      <c r="F148" s="1">
        <f t="shared" si="13"/>
        <v>6.6611570247933898</v>
      </c>
      <c r="G148" s="1">
        <f t="shared" si="14"/>
        <v>8.4090909090909207</v>
      </c>
      <c r="H148" s="1"/>
      <c r="I148" s="1"/>
      <c r="J148" s="1"/>
      <c r="K148" s="1">
        <v>4</v>
      </c>
      <c r="L148" s="1">
        <v>0</v>
      </c>
      <c r="M148" s="1">
        <v>0.5</v>
      </c>
      <c r="N148" s="1">
        <v>8</v>
      </c>
      <c r="O148" s="1">
        <v>4.8</v>
      </c>
      <c r="P148" s="1">
        <v>4</v>
      </c>
      <c r="Q148" s="1">
        <v>3.3250000000000002</v>
      </c>
      <c r="R148" s="1">
        <v>3.6625000000000001</v>
      </c>
      <c r="S148" s="1">
        <v>8.3114446529080706</v>
      </c>
      <c r="T148" s="1">
        <v>6.1</v>
      </c>
      <c r="U148" s="1">
        <v>8.6</v>
      </c>
      <c r="V148" s="1">
        <v>9.4</v>
      </c>
      <c r="W148" s="1">
        <v>2</v>
      </c>
      <c r="X148" s="1">
        <v>6.9</v>
      </c>
      <c r="Y148" s="1">
        <v>-7.4</v>
      </c>
      <c r="Z148" s="1" t="s">
        <v>1263</v>
      </c>
      <c r="AA148" s="1" t="s">
        <v>1177</v>
      </c>
      <c r="AB148" s="1" t="s">
        <v>901</v>
      </c>
      <c r="AC148" s="1">
        <v>-6.6</v>
      </c>
      <c r="AD148" s="1">
        <v>10</v>
      </c>
      <c r="AE148" s="1">
        <v>10</v>
      </c>
      <c r="AF148" s="1">
        <v>3.4666666666666699</v>
      </c>
      <c r="AG148" s="1">
        <v>2.0099999999999998</v>
      </c>
      <c r="AH148" s="1"/>
      <c r="AI148" s="1"/>
      <c r="AJ148" s="1"/>
      <c r="AK148" s="1"/>
      <c r="AL148" s="1"/>
      <c r="AM148" s="1"/>
      <c r="AN148" s="1"/>
      <c r="AO148" s="1"/>
      <c r="AP148" s="1"/>
      <c r="AQ148" s="1"/>
      <c r="AR148" s="1"/>
      <c r="AS148" s="1">
        <v>53</v>
      </c>
      <c r="AT148" s="1">
        <v>53</v>
      </c>
      <c r="AU148" s="1">
        <v>51.636363636363598</v>
      </c>
      <c r="AV148" s="1">
        <v>0</v>
      </c>
      <c r="AW148" s="1">
        <v>1.36363636363637</v>
      </c>
      <c r="AX148" s="1">
        <v>6.9090909090909101</v>
      </c>
      <c r="AY148" s="1">
        <v>8.4090909090909207</v>
      </c>
      <c r="AZ148" s="1">
        <v>6.6611570247933898</v>
      </c>
      <c r="BA148" s="1"/>
      <c r="BB148" s="1"/>
      <c r="BC148" s="1"/>
      <c r="BD148" s="1"/>
      <c r="BE148" s="1"/>
      <c r="BF148" s="1"/>
      <c r="BG148" s="1"/>
      <c r="BH148" s="1"/>
    </row>
    <row r="149" spans="1:60" x14ac:dyDescent="0.2">
      <c r="A149" s="3">
        <v>147</v>
      </c>
      <c r="B149" s="3" t="s">
        <v>884</v>
      </c>
      <c r="C149" s="3" t="s">
        <v>885</v>
      </c>
      <c r="D149" s="1"/>
      <c r="E149" s="1">
        <f t="shared" si="12"/>
        <v>4.3916114285241044</v>
      </c>
      <c r="F149" s="1">
        <f t="shared" si="13"/>
        <v>4.9917355371900802</v>
      </c>
      <c r="G149" s="1">
        <f t="shared" si="14"/>
        <v>3.86363636363637</v>
      </c>
      <c r="H149" s="1"/>
      <c r="I149" s="1">
        <v>0</v>
      </c>
      <c r="J149" s="1">
        <v>4</v>
      </c>
      <c r="K149" s="1">
        <v>3</v>
      </c>
      <c r="L149" s="1">
        <v>0</v>
      </c>
      <c r="M149" s="1">
        <v>4.5</v>
      </c>
      <c r="N149" s="1"/>
      <c r="O149" s="1">
        <v>3.1</v>
      </c>
      <c r="P149" s="1">
        <v>2.3333333333333299</v>
      </c>
      <c r="Q149" s="1">
        <v>2.5333333333333301</v>
      </c>
      <c r="R149" s="1">
        <v>2.43333333333333</v>
      </c>
      <c r="S149" s="1">
        <v>2.77673545966229</v>
      </c>
      <c r="T149" s="1">
        <v>-0.7</v>
      </c>
      <c r="U149" s="1">
        <v>2.4</v>
      </c>
      <c r="V149" s="1">
        <v>0.3</v>
      </c>
      <c r="W149" s="1">
        <v>-3.8</v>
      </c>
      <c r="X149" s="1">
        <v>2.5</v>
      </c>
      <c r="Y149" s="1">
        <v>-4.0999999999999996</v>
      </c>
      <c r="Z149" s="1" t="s">
        <v>172</v>
      </c>
      <c r="AA149" s="1" t="s">
        <v>1197</v>
      </c>
      <c r="AB149" s="1" t="s">
        <v>414</v>
      </c>
      <c r="AC149" s="1">
        <v>-2.6</v>
      </c>
      <c r="AD149" s="1">
        <v>8.1999999999999993</v>
      </c>
      <c r="AE149" s="1">
        <v>5.2</v>
      </c>
      <c r="AF149" s="1">
        <v>6.93333333333333</v>
      </c>
      <c r="AG149" s="1">
        <v>6.9566666666666697</v>
      </c>
      <c r="AH149" s="1">
        <v>0</v>
      </c>
      <c r="AI149" s="1">
        <v>0</v>
      </c>
      <c r="AJ149" s="1">
        <v>0</v>
      </c>
      <c r="AK149" s="1">
        <v>0</v>
      </c>
      <c r="AL149" s="1">
        <v>1</v>
      </c>
      <c r="AM149" s="1">
        <v>0.5</v>
      </c>
      <c r="AN149" s="1">
        <v>0</v>
      </c>
      <c r="AO149" s="1">
        <v>0.5</v>
      </c>
      <c r="AP149" s="1">
        <v>0</v>
      </c>
      <c r="AQ149" s="1">
        <v>1.5</v>
      </c>
      <c r="AR149" s="1">
        <v>7.1428571428571397</v>
      </c>
      <c r="AS149" s="1">
        <v>42</v>
      </c>
      <c r="AT149" s="1">
        <v>42</v>
      </c>
      <c r="AU149" s="1">
        <v>42.454545454545503</v>
      </c>
      <c r="AV149" s="1">
        <v>0</v>
      </c>
      <c r="AW149" s="1">
        <v>-0.45454545454545298</v>
      </c>
      <c r="AX149" s="1">
        <v>4.9090909090909101</v>
      </c>
      <c r="AY149" s="1">
        <v>3.86363636363637</v>
      </c>
      <c r="AZ149" s="1">
        <v>4.9917355371900802</v>
      </c>
      <c r="BA149" s="1">
        <v>0.159</v>
      </c>
      <c r="BB149" s="1">
        <v>7.95</v>
      </c>
      <c r="BC149" s="1"/>
      <c r="BD149" s="1"/>
      <c r="BE149" s="1"/>
      <c r="BF149" s="1"/>
      <c r="BG149" s="1"/>
      <c r="BH149" s="1"/>
    </row>
    <row r="150" spans="1:60" x14ac:dyDescent="0.2">
      <c r="A150" s="3">
        <v>148</v>
      </c>
      <c r="B150" s="3" t="s">
        <v>887</v>
      </c>
      <c r="C150" s="3" t="s">
        <v>888</v>
      </c>
      <c r="D150" s="1"/>
      <c r="E150" s="1">
        <f t="shared" si="12"/>
        <v>8.6602540378443873</v>
      </c>
      <c r="F150" s="1">
        <f t="shared" si="13"/>
        <v>10</v>
      </c>
      <c r="G150" s="1">
        <f t="shared" si="14"/>
        <v>7.5</v>
      </c>
      <c r="H150" s="1"/>
      <c r="I150" s="1"/>
      <c r="J150" s="1"/>
      <c r="K150" s="1">
        <v>3</v>
      </c>
      <c r="L150" s="1">
        <v>0</v>
      </c>
      <c r="M150" s="1">
        <v>0</v>
      </c>
      <c r="N150" s="1"/>
      <c r="O150" s="1">
        <v>4.7</v>
      </c>
      <c r="P150" s="1">
        <v>3</v>
      </c>
      <c r="Q150" s="1">
        <v>1.56666666666667</v>
      </c>
      <c r="R150" s="1">
        <v>2.2833333333333301</v>
      </c>
      <c r="S150" s="1">
        <v>2.1013133208255099</v>
      </c>
      <c r="T150" s="1">
        <v>4.3</v>
      </c>
      <c r="U150" s="1">
        <v>-2.2999999999999998</v>
      </c>
      <c r="V150" s="1">
        <v>-2.6</v>
      </c>
      <c r="W150" s="1">
        <v>-4</v>
      </c>
      <c r="X150" s="1">
        <v>0.5</v>
      </c>
      <c r="Y150" s="1">
        <v>-1.4</v>
      </c>
      <c r="Z150" s="1" t="s">
        <v>1239</v>
      </c>
      <c r="AA150" s="1" t="s">
        <v>1223</v>
      </c>
      <c r="AB150" s="1" t="s">
        <v>1147</v>
      </c>
      <c r="AC150" s="1">
        <v>-4.7</v>
      </c>
      <c r="AD150" s="1">
        <v>2.8</v>
      </c>
      <c r="AE150" s="1">
        <v>9.4</v>
      </c>
      <c r="AF150" s="1">
        <v>8.8666666666666707</v>
      </c>
      <c r="AG150" s="1">
        <v>8.92</v>
      </c>
      <c r="AH150" s="1"/>
      <c r="AI150" s="1"/>
      <c r="AJ150" s="1"/>
      <c r="AK150" s="1"/>
      <c r="AL150" s="1"/>
      <c r="AM150" s="1"/>
      <c r="AN150" s="1"/>
      <c r="AO150" s="1"/>
      <c r="AP150" s="1"/>
      <c r="AQ150" s="1"/>
      <c r="AR150" s="1"/>
      <c r="AS150" s="1">
        <v>77</v>
      </c>
      <c r="AT150" s="1">
        <v>77</v>
      </c>
      <c r="AU150" s="1">
        <v>76</v>
      </c>
      <c r="AV150" s="1">
        <v>0</v>
      </c>
      <c r="AW150" s="1">
        <v>1</v>
      </c>
      <c r="AX150" s="1">
        <v>10</v>
      </c>
      <c r="AY150" s="1">
        <v>7.5</v>
      </c>
      <c r="AZ150" s="1">
        <v>10</v>
      </c>
      <c r="BA150" s="1"/>
      <c r="BB150" s="1"/>
      <c r="BC150" s="1"/>
      <c r="BD150" s="1"/>
      <c r="BE150" s="1"/>
      <c r="BF150" s="1"/>
      <c r="BG150" s="1"/>
      <c r="BH150" s="1"/>
    </row>
    <row r="151" spans="1:60" x14ac:dyDescent="0.2">
      <c r="A151" s="3">
        <v>149</v>
      </c>
      <c r="B151" s="3" t="s">
        <v>894</v>
      </c>
      <c r="C151" s="3" t="s">
        <v>895</v>
      </c>
      <c r="D151" s="1"/>
      <c r="E151" s="1">
        <f t="shared" si="12"/>
        <v>4.6334458490158958</v>
      </c>
      <c r="F151" s="1">
        <f t="shared" si="13"/>
        <v>6.2975206611570202</v>
      </c>
      <c r="G151" s="1">
        <f t="shared" si="14"/>
        <v>3.4090909090909198</v>
      </c>
      <c r="H151" s="1"/>
      <c r="I151" s="1">
        <v>5</v>
      </c>
      <c r="J151" s="1">
        <v>5</v>
      </c>
      <c r="K151" s="1">
        <v>3</v>
      </c>
      <c r="L151" s="1">
        <v>4</v>
      </c>
      <c r="M151" s="1"/>
      <c r="N151" s="1"/>
      <c r="O151" s="1">
        <v>3.7</v>
      </c>
      <c r="P151" s="1">
        <v>4.3333333333333304</v>
      </c>
      <c r="Q151" s="1">
        <v>3.85</v>
      </c>
      <c r="R151" s="1">
        <v>4.0916666666666703</v>
      </c>
      <c r="S151" s="1">
        <v>10</v>
      </c>
      <c r="T151" s="1">
        <v>7.4</v>
      </c>
      <c r="U151" s="1">
        <v>6.4</v>
      </c>
      <c r="V151" s="1">
        <v>5.3</v>
      </c>
      <c r="W151" s="1">
        <v>1.3</v>
      </c>
      <c r="X151" s="1">
        <v>4</v>
      </c>
      <c r="Y151" s="1">
        <v>-4</v>
      </c>
      <c r="Z151" s="1" t="s">
        <v>1159</v>
      </c>
      <c r="AA151" s="1" t="s">
        <v>1146</v>
      </c>
      <c r="AB151" s="1" t="s">
        <v>1200</v>
      </c>
      <c r="AC151" s="1">
        <v>-2.2999999999999998</v>
      </c>
      <c r="AD151" s="1">
        <v>8</v>
      </c>
      <c r="AE151" s="1">
        <v>4.5999999999999996</v>
      </c>
      <c r="AF151" s="1">
        <v>3.8</v>
      </c>
      <c r="AG151" s="1">
        <v>3.79266666666667</v>
      </c>
      <c r="AH151" s="1"/>
      <c r="AI151" s="1"/>
      <c r="AJ151" s="1"/>
      <c r="AK151" s="1"/>
      <c r="AL151" s="1"/>
      <c r="AM151" s="1"/>
      <c r="AN151" s="1"/>
      <c r="AO151" s="1"/>
      <c r="AP151" s="1"/>
      <c r="AQ151" s="1"/>
      <c r="AR151" s="1"/>
      <c r="AS151" s="1">
        <v>49</v>
      </c>
      <c r="AT151" s="1">
        <v>49</v>
      </c>
      <c r="AU151" s="1">
        <v>49.636363636363598</v>
      </c>
      <c r="AV151" s="1">
        <v>0</v>
      </c>
      <c r="AW151" s="1">
        <v>-0.63636363636363302</v>
      </c>
      <c r="AX151" s="1">
        <v>6.1818181818181799</v>
      </c>
      <c r="AY151" s="1">
        <v>3.4090909090909198</v>
      </c>
      <c r="AZ151" s="1">
        <v>6.2975206611570202</v>
      </c>
      <c r="BA151" s="1"/>
      <c r="BB151" s="1"/>
      <c r="BC151" s="1"/>
      <c r="BD151" s="1"/>
      <c r="BE151" s="1"/>
      <c r="BF151" s="1"/>
      <c r="BG151" s="1"/>
      <c r="BH151" s="1"/>
    </row>
    <row r="152" spans="1:60" x14ac:dyDescent="0.2">
      <c r="A152" s="3">
        <v>150</v>
      </c>
      <c r="B152" s="3" t="s">
        <v>899</v>
      </c>
      <c r="C152" s="3" t="s">
        <v>900</v>
      </c>
      <c r="D152" s="1"/>
      <c r="E152" s="1">
        <f t="shared" si="12"/>
        <v>1.36363636363636</v>
      </c>
      <c r="F152" s="1">
        <f t="shared" si="13"/>
        <v>0</v>
      </c>
      <c r="G152" s="1">
        <f t="shared" si="14"/>
        <v>1.36363636363636</v>
      </c>
      <c r="H152" s="1"/>
      <c r="I152" s="1">
        <v>5</v>
      </c>
      <c r="J152" s="1">
        <v>0</v>
      </c>
      <c r="K152" s="1">
        <v>4</v>
      </c>
      <c r="L152" s="1"/>
      <c r="M152" s="1">
        <v>0.8</v>
      </c>
      <c r="N152" s="1"/>
      <c r="O152" s="1">
        <v>1.3</v>
      </c>
      <c r="P152" s="1">
        <v>3</v>
      </c>
      <c r="Q152" s="1">
        <v>1.05</v>
      </c>
      <c r="R152" s="1">
        <v>2.0249999999999999</v>
      </c>
      <c r="S152" s="1">
        <v>0.93808630393996095</v>
      </c>
      <c r="T152" s="1"/>
      <c r="U152" s="1"/>
      <c r="V152" s="1"/>
      <c r="W152" s="1"/>
      <c r="X152" s="1"/>
      <c r="Y152" s="1"/>
      <c r="Z152" s="1" t="s">
        <v>823</v>
      </c>
      <c r="AA152" s="1" t="s">
        <v>1152</v>
      </c>
      <c r="AB152" s="1" t="s">
        <v>1146</v>
      </c>
      <c r="AC152" s="1">
        <v>-4.2</v>
      </c>
      <c r="AD152" s="1"/>
      <c r="AE152" s="1">
        <v>8.4</v>
      </c>
      <c r="AF152" s="1"/>
      <c r="AG152" s="1">
        <v>7.3339999999999996</v>
      </c>
      <c r="AH152" s="1"/>
      <c r="AI152" s="1"/>
      <c r="AJ152" s="1"/>
      <c r="AK152" s="1"/>
      <c r="AL152" s="1"/>
      <c r="AM152" s="1"/>
      <c r="AN152" s="1"/>
      <c r="AO152" s="1"/>
      <c r="AP152" s="1"/>
      <c r="AQ152" s="1"/>
      <c r="AR152" s="1"/>
      <c r="AS152" s="1">
        <v>11</v>
      </c>
      <c r="AT152" s="1">
        <v>12</v>
      </c>
      <c r="AU152" s="1">
        <v>12.454545454545499</v>
      </c>
      <c r="AV152" s="1">
        <v>-1</v>
      </c>
      <c r="AW152" s="1">
        <v>-1.4545454545454599</v>
      </c>
      <c r="AX152" s="1">
        <v>0</v>
      </c>
      <c r="AY152" s="1">
        <v>1.36363636363636</v>
      </c>
      <c r="AZ152" s="1">
        <v>0</v>
      </c>
      <c r="BA152" s="1"/>
      <c r="BB152" s="1"/>
      <c r="BC152" s="1"/>
      <c r="BD152" s="1"/>
      <c r="BE152" s="1"/>
      <c r="BF152" s="1"/>
      <c r="BG152" s="1"/>
      <c r="BH152" s="1"/>
    </row>
    <row r="153" spans="1:60" x14ac:dyDescent="0.2">
      <c r="A153" s="3">
        <v>151</v>
      </c>
      <c r="B153" s="3" t="s">
        <v>902</v>
      </c>
      <c r="C153" s="3" t="s">
        <v>903</v>
      </c>
      <c r="D153" s="1"/>
      <c r="E153" s="1">
        <f t="shared" si="12"/>
        <v>0</v>
      </c>
      <c r="F153" s="1">
        <f t="shared" si="13"/>
        <v>0</v>
      </c>
      <c r="G153" s="1">
        <f t="shared" si="14"/>
        <v>0</v>
      </c>
      <c r="H153" s="1"/>
      <c r="I153" s="1">
        <v>4</v>
      </c>
      <c r="J153" s="1">
        <v>5</v>
      </c>
      <c r="K153" s="1">
        <v>4</v>
      </c>
      <c r="L153" s="1">
        <v>0</v>
      </c>
      <c r="M153" s="1">
        <v>1.2</v>
      </c>
      <c r="N153" s="1">
        <v>7</v>
      </c>
      <c r="O153" s="1"/>
      <c r="P153" s="1">
        <v>4.3333333333333304</v>
      </c>
      <c r="Q153" s="1">
        <v>2.7333333333333298</v>
      </c>
      <c r="R153" s="1">
        <v>3.5333333333333301</v>
      </c>
      <c r="S153" s="1">
        <v>7.7298311444652903</v>
      </c>
      <c r="T153" s="1">
        <v>3.7</v>
      </c>
      <c r="U153" s="1">
        <v>3.9</v>
      </c>
      <c r="V153" s="1">
        <v>2.7</v>
      </c>
      <c r="W153" s="1">
        <v>-6.7</v>
      </c>
      <c r="X153" s="1">
        <v>-0.3</v>
      </c>
      <c r="Y153" s="1">
        <v>-9.4</v>
      </c>
      <c r="Z153" s="1" t="s">
        <v>1178</v>
      </c>
      <c r="AA153" s="1" t="s">
        <v>1264</v>
      </c>
      <c r="AB153" s="1" t="s">
        <v>224</v>
      </c>
      <c r="AC153" s="1">
        <v>-3.3</v>
      </c>
      <c r="AD153" s="1">
        <v>10</v>
      </c>
      <c r="AE153" s="1">
        <v>6.6</v>
      </c>
      <c r="AF153" s="1">
        <v>6.5333333333333297</v>
      </c>
      <c r="AG153" s="1">
        <v>6.6619999999999999</v>
      </c>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row>
    <row r="154" spans="1:60" x14ac:dyDescent="0.2">
      <c r="A154" s="3">
        <v>152</v>
      </c>
      <c r="B154" s="3" t="s">
        <v>905</v>
      </c>
      <c r="C154" s="3" t="s">
        <v>906</v>
      </c>
      <c r="D154" s="1"/>
      <c r="E154" s="1">
        <f t="shared" si="12"/>
        <v>3.6223905087312112</v>
      </c>
      <c r="F154" s="1">
        <f t="shared" si="13"/>
        <v>8.2479338842975203</v>
      </c>
      <c r="G154" s="1">
        <f t="shared" si="14"/>
        <v>1.5909090909090799</v>
      </c>
      <c r="H154" s="1"/>
      <c r="I154" s="1"/>
      <c r="J154" s="1"/>
      <c r="K154" s="1">
        <v>0</v>
      </c>
      <c r="L154" s="1">
        <v>0</v>
      </c>
      <c r="M154" s="1">
        <v>0.6</v>
      </c>
      <c r="N154" s="1"/>
      <c r="O154" s="1">
        <v>7.4</v>
      </c>
      <c r="P154" s="1">
        <v>0</v>
      </c>
      <c r="Q154" s="1">
        <v>2.6666666666666701</v>
      </c>
      <c r="R154" s="1">
        <v>1.3333333333333299</v>
      </c>
      <c r="S154" s="1">
        <v>0</v>
      </c>
      <c r="T154" s="1">
        <v>3.8</v>
      </c>
      <c r="U154" s="1">
        <v>3.5</v>
      </c>
      <c r="V154" s="1">
        <v>5.0999999999999996</v>
      </c>
      <c r="W154" s="1">
        <v>-2.2999999999999998</v>
      </c>
      <c r="X154" s="1">
        <v>4</v>
      </c>
      <c r="Y154" s="1">
        <v>-7.4</v>
      </c>
      <c r="Z154" s="1" t="s">
        <v>1211</v>
      </c>
      <c r="AA154" s="1" t="s">
        <v>1197</v>
      </c>
      <c r="AB154" s="1" t="s">
        <v>1189</v>
      </c>
      <c r="AC154" s="1">
        <v>-7.4</v>
      </c>
      <c r="AD154" s="1">
        <v>10</v>
      </c>
      <c r="AE154" s="1">
        <v>10</v>
      </c>
      <c r="AF154" s="1">
        <v>4.8666666666666698</v>
      </c>
      <c r="AG154" s="1">
        <v>5.39</v>
      </c>
      <c r="AH154" s="1"/>
      <c r="AI154" s="1"/>
      <c r="AJ154" s="1"/>
      <c r="AK154" s="1"/>
      <c r="AL154" s="1"/>
      <c r="AM154" s="1"/>
      <c r="AN154" s="1"/>
      <c r="AO154" s="1"/>
      <c r="AP154" s="1"/>
      <c r="AQ154" s="1"/>
      <c r="AR154" s="1"/>
      <c r="AS154" s="1">
        <v>59</v>
      </c>
      <c r="AT154" s="1">
        <v>59</v>
      </c>
      <c r="AU154" s="1">
        <v>60.363636363636402</v>
      </c>
      <c r="AV154" s="1">
        <v>0</v>
      </c>
      <c r="AW154" s="1">
        <v>-1.36363636363637</v>
      </c>
      <c r="AX154" s="1">
        <v>8</v>
      </c>
      <c r="AY154" s="1">
        <v>1.5909090909090799</v>
      </c>
      <c r="AZ154" s="1">
        <v>8.2479338842975203</v>
      </c>
      <c r="BA154" s="1"/>
      <c r="BB154" s="1"/>
      <c r="BC154" s="1"/>
      <c r="BD154" s="1"/>
      <c r="BE154" s="1"/>
      <c r="BF154" s="1"/>
      <c r="BG154" s="1"/>
      <c r="BH154" s="1"/>
    </row>
    <row r="155" spans="1:60" x14ac:dyDescent="0.2">
      <c r="A155" s="3">
        <v>153</v>
      </c>
      <c r="B155" s="3" t="s">
        <v>910</v>
      </c>
      <c r="C155" s="3" t="s">
        <v>911</v>
      </c>
      <c r="D155" s="1"/>
      <c r="E155" s="1">
        <f t="shared" si="12"/>
        <v>1.9196872397404336</v>
      </c>
      <c r="F155" s="1">
        <f t="shared" si="13"/>
        <v>5.4049586776859497</v>
      </c>
      <c r="G155" s="1">
        <f t="shared" si="14"/>
        <v>0.68181818181818299</v>
      </c>
      <c r="H155" s="1"/>
      <c r="I155" s="1">
        <v>4</v>
      </c>
      <c r="J155" s="1">
        <v>4</v>
      </c>
      <c r="K155" s="1">
        <v>4</v>
      </c>
      <c r="L155" s="1">
        <v>5</v>
      </c>
      <c r="M155" s="1">
        <v>0.5</v>
      </c>
      <c r="N155" s="1">
        <v>0</v>
      </c>
      <c r="O155" s="1">
        <v>4.5</v>
      </c>
      <c r="P155" s="1">
        <v>4</v>
      </c>
      <c r="Q155" s="1">
        <v>2.5</v>
      </c>
      <c r="R155" s="1">
        <v>3.25</v>
      </c>
      <c r="S155" s="1">
        <v>6.45403377110694</v>
      </c>
      <c r="T155" s="1">
        <v>2.2999999999999998</v>
      </c>
      <c r="U155" s="1">
        <v>2.4</v>
      </c>
      <c r="V155" s="1">
        <v>2.4</v>
      </c>
      <c r="W155" s="1">
        <v>-5.4</v>
      </c>
      <c r="X155" s="1">
        <v>3.8</v>
      </c>
      <c r="Y155" s="1">
        <v>-7.8</v>
      </c>
      <c r="Z155" s="1" t="s">
        <v>1210</v>
      </c>
      <c r="AA155" s="1" t="s">
        <v>1187</v>
      </c>
      <c r="AB155" s="1" t="s">
        <v>1148</v>
      </c>
      <c r="AC155" s="1">
        <v>-7.8</v>
      </c>
      <c r="AD155" s="1">
        <v>10</v>
      </c>
      <c r="AE155" s="1">
        <v>10</v>
      </c>
      <c r="AF155" s="1">
        <v>8.1333333333333293</v>
      </c>
      <c r="AG155" s="1">
        <v>9.3213333333333299</v>
      </c>
      <c r="AH155" s="1"/>
      <c r="AI155" s="1"/>
      <c r="AJ155" s="1"/>
      <c r="AK155" s="1"/>
      <c r="AL155" s="1"/>
      <c r="AM155" s="1"/>
      <c r="AN155" s="1"/>
      <c r="AO155" s="1"/>
      <c r="AP155" s="1"/>
      <c r="AQ155" s="1"/>
      <c r="AR155" s="1"/>
      <c r="AS155" s="1">
        <v>43</v>
      </c>
      <c r="AT155" s="1">
        <v>45</v>
      </c>
      <c r="AU155" s="1">
        <v>44.727272727272698</v>
      </c>
      <c r="AV155" s="1">
        <v>-2</v>
      </c>
      <c r="AW155" s="1">
        <v>-1.72727272727273</v>
      </c>
      <c r="AX155" s="1">
        <v>5.0909090909090899</v>
      </c>
      <c r="AY155" s="1">
        <v>0.68181818181818299</v>
      </c>
      <c r="AZ155" s="1">
        <v>5.4049586776859497</v>
      </c>
      <c r="BA155" s="1"/>
      <c r="BB155" s="1"/>
      <c r="BC155" s="1"/>
      <c r="BD155" s="1"/>
      <c r="BE155" s="1"/>
      <c r="BF155" s="1"/>
      <c r="BG155" s="1"/>
      <c r="BH155" s="1"/>
    </row>
    <row r="156" spans="1:60" x14ac:dyDescent="0.2">
      <c r="A156" s="3">
        <v>154</v>
      </c>
      <c r="B156" s="3" t="s">
        <v>915</v>
      </c>
      <c r="C156" s="3" t="s">
        <v>916</v>
      </c>
      <c r="D156" s="1"/>
      <c r="E156" s="1">
        <f t="shared" si="12"/>
        <v>8.3937205966451671</v>
      </c>
      <c r="F156" s="1">
        <f t="shared" si="13"/>
        <v>10</v>
      </c>
      <c r="G156" s="1">
        <f t="shared" si="14"/>
        <v>7.0454545454545299</v>
      </c>
      <c r="H156" s="1"/>
      <c r="I156" s="1"/>
      <c r="J156" s="1"/>
      <c r="K156" s="1"/>
      <c r="L156" s="1"/>
      <c r="M156" s="1"/>
      <c r="N156" s="1">
        <v>10</v>
      </c>
      <c r="O156" s="1"/>
      <c r="P156" s="1"/>
      <c r="Q156" s="1">
        <v>10</v>
      </c>
      <c r="R156" s="1">
        <v>10</v>
      </c>
      <c r="S156" s="1">
        <v>10</v>
      </c>
      <c r="T156" s="1"/>
      <c r="U156" s="1"/>
      <c r="V156" s="1"/>
      <c r="W156" s="1"/>
      <c r="X156" s="1"/>
      <c r="Y156" s="1"/>
      <c r="Z156" s="1" t="s">
        <v>414</v>
      </c>
      <c r="AA156" s="1" t="s">
        <v>1239</v>
      </c>
      <c r="AB156" s="1" t="s">
        <v>414</v>
      </c>
      <c r="AC156" s="1">
        <v>-5.4</v>
      </c>
      <c r="AD156" s="1"/>
      <c r="AE156" s="1">
        <v>10</v>
      </c>
      <c r="AF156" s="1"/>
      <c r="AG156" s="1">
        <v>4.3333333333333304</v>
      </c>
      <c r="AH156" s="1"/>
      <c r="AI156" s="1"/>
      <c r="AJ156" s="1"/>
      <c r="AK156" s="1"/>
      <c r="AL156" s="1"/>
      <c r="AM156" s="1"/>
      <c r="AN156" s="1"/>
      <c r="AO156" s="1"/>
      <c r="AP156" s="1"/>
      <c r="AQ156" s="1"/>
      <c r="AR156" s="1"/>
      <c r="AS156" s="1">
        <v>84</v>
      </c>
      <c r="AT156" s="1">
        <v>82</v>
      </c>
      <c r="AU156" s="1">
        <v>83.181818181818201</v>
      </c>
      <c r="AV156" s="1">
        <v>2</v>
      </c>
      <c r="AW156" s="1">
        <v>0.81818181818181301</v>
      </c>
      <c r="AX156" s="1">
        <v>10</v>
      </c>
      <c r="AY156" s="1">
        <v>7.0454545454545299</v>
      </c>
      <c r="AZ156" s="1">
        <v>10</v>
      </c>
      <c r="BA156" s="1"/>
      <c r="BB156" s="1"/>
      <c r="BC156" s="1"/>
      <c r="BD156" s="1"/>
      <c r="BE156" s="1"/>
      <c r="BF156" s="1"/>
      <c r="BG156" s="1"/>
      <c r="BH156" s="1"/>
    </row>
    <row r="157" spans="1:60" x14ac:dyDescent="0.2">
      <c r="A157" s="3">
        <v>155</v>
      </c>
      <c r="B157" s="3" t="s">
        <v>919</v>
      </c>
      <c r="C157" s="3" t="s">
        <v>920</v>
      </c>
      <c r="D157" s="1"/>
      <c r="E157" s="1">
        <f t="shared" si="12"/>
        <v>3.6415252622922751</v>
      </c>
      <c r="F157" s="1">
        <f t="shared" si="13"/>
        <v>5.8347107438016499</v>
      </c>
      <c r="G157" s="1">
        <f t="shared" si="14"/>
        <v>2.2727272727272698</v>
      </c>
      <c r="H157" s="1"/>
      <c r="I157" s="1"/>
      <c r="J157" s="1"/>
      <c r="K157" s="1">
        <v>3</v>
      </c>
      <c r="L157" s="1">
        <v>3</v>
      </c>
      <c r="M157" s="1">
        <v>0.7</v>
      </c>
      <c r="N157" s="1"/>
      <c r="O157" s="1">
        <v>4.2</v>
      </c>
      <c r="P157" s="1">
        <v>3</v>
      </c>
      <c r="Q157" s="1">
        <v>2.6333333333333302</v>
      </c>
      <c r="R157" s="1">
        <v>2.81666666666667</v>
      </c>
      <c r="S157" s="1">
        <v>4.5028142589118199</v>
      </c>
      <c r="T157" s="1">
        <v>2</v>
      </c>
      <c r="U157" s="1">
        <v>4.4000000000000004</v>
      </c>
      <c r="V157" s="1">
        <v>4.2</v>
      </c>
      <c r="W157" s="1">
        <v>-2.5</v>
      </c>
      <c r="X157" s="1">
        <v>4</v>
      </c>
      <c r="Y157" s="1">
        <v>-6.7</v>
      </c>
      <c r="Z157" s="1" t="s">
        <v>1166</v>
      </c>
      <c r="AA157" s="1" t="s">
        <v>1147</v>
      </c>
      <c r="AB157" s="1" t="s">
        <v>1205</v>
      </c>
      <c r="AC157" s="1">
        <v>-7.2</v>
      </c>
      <c r="AD157" s="1">
        <v>10</v>
      </c>
      <c r="AE157" s="1">
        <v>10</v>
      </c>
      <c r="AF157" s="1">
        <v>4.6666666666666696</v>
      </c>
      <c r="AG157" s="1">
        <v>4.9786666666666699</v>
      </c>
      <c r="AH157" s="1">
        <v>0</v>
      </c>
      <c r="AI157" s="1">
        <v>0.5</v>
      </c>
      <c r="AJ157" s="1">
        <v>0</v>
      </c>
      <c r="AK157" s="1">
        <v>1</v>
      </c>
      <c r="AL157" s="1">
        <v>1</v>
      </c>
      <c r="AM157" s="1">
        <v>1</v>
      </c>
      <c r="AN157" s="1">
        <v>0</v>
      </c>
      <c r="AO157" s="1">
        <v>0</v>
      </c>
      <c r="AP157" s="1">
        <v>0</v>
      </c>
      <c r="AQ157" s="1">
        <v>3.5</v>
      </c>
      <c r="AR157" s="1">
        <v>10</v>
      </c>
      <c r="AS157" s="1">
        <v>46</v>
      </c>
      <c r="AT157" s="1">
        <v>48</v>
      </c>
      <c r="AU157" s="1">
        <v>47.090909090909101</v>
      </c>
      <c r="AV157" s="1">
        <v>-2</v>
      </c>
      <c r="AW157" s="1">
        <v>-1.0909090909090899</v>
      </c>
      <c r="AX157" s="1">
        <v>5.6363636363636402</v>
      </c>
      <c r="AY157" s="1">
        <v>2.2727272727272698</v>
      </c>
      <c r="AZ157" s="1">
        <v>5.8347107438016499</v>
      </c>
      <c r="BA157" s="1">
        <v>0.13900000000000001</v>
      </c>
      <c r="BB157" s="1">
        <v>6.95</v>
      </c>
      <c r="BC157" s="1"/>
      <c r="BD157" s="1"/>
      <c r="BE157" s="1"/>
      <c r="BF157" s="1"/>
      <c r="BG157" s="1"/>
      <c r="BH157" s="1"/>
    </row>
    <row r="158" spans="1:60" x14ac:dyDescent="0.2">
      <c r="A158" s="3">
        <v>156</v>
      </c>
      <c r="B158" s="3" t="s">
        <v>923</v>
      </c>
      <c r="C158" s="3" t="s">
        <v>924</v>
      </c>
      <c r="D158" s="1"/>
      <c r="E158" s="1">
        <f t="shared" si="12"/>
        <v>0</v>
      </c>
      <c r="F158" s="1">
        <f t="shared" si="13"/>
        <v>0</v>
      </c>
      <c r="G158" s="1">
        <f t="shared" si="14"/>
        <v>0</v>
      </c>
      <c r="H158" s="1"/>
      <c r="I158" s="1"/>
      <c r="J158" s="1"/>
      <c r="K158" s="1"/>
      <c r="L158" s="1"/>
      <c r="M158" s="1">
        <v>0</v>
      </c>
      <c r="N158" s="1"/>
      <c r="O158" s="1"/>
      <c r="P158" s="1"/>
      <c r="Q158" s="1">
        <v>0</v>
      </c>
      <c r="R158" s="1">
        <v>0</v>
      </c>
      <c r="S158" s="1">
        <v>0</v>
      </c>
      <c r="T158" s="1">
        <v>-6.9</v>
      </c>
      <c r="U158" s="1">
        <v>-3.5</v>
      </c>
      <c r="V158" s="1">
        <v>3.2</v>
      </c>
      <c r="W158" s="1">
        <v>-4.3</v>
      </c>
      <c r="X158" s="1">
        <v>-23.6</v>
      </c>
      <c r="Y158" s="1">
        <v>-7.5</v>
      </c>
      <c r="Z158" s="1" t="s">
        <v>1265</v>
      </c>
      <c r="AA158" s="1" t="s">
        <v>362</v>
      </c>
      <c r="AB158" s="1" t="s">
        <v>1202</v>
      </c>
      <c r="AC158" s="1">
        <v>-6.4</v>
      </c>
      <c r="AD158" s="1">
        <v>10</v>
      </c>
      <c r="AE158" s="1">
        <v>10</v>
      </c>
      <c r="AF158" s="1">
        <v>10</v>
      </c>
      <c r="AG158" s="1">
        <v>10</v>
      </c>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row>
    <row r="159" spans="1:60" x14ac:dyDescent="0.2">
      <c r="A159" s="3">
        <v>157</v>
      </c>
      <c r="B159" s="3" t="s">
        <v>930</v>
      </c>
      <c r="C159" s="3" t="s">
        <v>931</v>
      </c>
      <c r="D159" s="1"/>
      <c r="E159" s="1">
        <f t="shared" si="12"/>
        <v>3.4590010413929537</v>
      </c>
      <c r="F159" s="1">
        <f t="shared" si="13"/>
        <v>7.5206611570247901</v>
      </c>
      <c r="G159" s="1">
        <f t="shared" si="14"/>
        <v>1.5909090909090799</v>
      </c>
      <c r="H159" s="1"/>
      <c r="I159" s="1">
        <v>5</v>
      </c>
      <c r="J159" s="1">
        <v>5</v>
      </c>
      <c r="K159" s="1">
        <v>5</v>
      </c>
      <c r="L159" s="1">
        <v>0</v>
      </c>
      <c r="M159" s="1">
        <v>0.6</v>
      </c>
      <c r="N159" s="1"/>
      <c r="O159" s="1"/>
      <c r="P159" s="1">
        <v>5</v>
      </c>
      <c r="Q159" s="1">
        <v>0.3</v>
      </c>
      <c r="R159" s="1">
        <v>2.65</v>
      </c>
      <c r="S159" s="1">
        <v>3.75234521575985</v>
      </c>
      <c r="T159" s="1">
        <v>3.9</v>
      </c>
      <c r="U159" s="1">
        <v>2.7</v>
      </c>
      <c r="V159" s="1">
        <v>2.4</v>
      </c>
      <c r="W159" s="1">
        <v>-9.5</v>
      </c>
      <c r="X159" s="1">
        <v>6.1</v>
      </c>
      <c r="Y159" s="1">
        <v>-11.9</v>
      </c>
      <c r="Z159" s="1" t="s">
        <v>95</v>
      </c>
      <c r="AA159" s="1" t="s">
        <v>1179</v>
      </c>
      <c r="AB159" s="1" t="s">
        <v>1200</v>
      </c>
      <c r="AC159" s="1">
        <v>-7.3</v>
      </c>
      <c r="AD159" s="1">
        <v>10</v>
      </c>
      <c r="AE159" s="1">
        <v>10</v>
      </c>
      <c r="AF159" s="1">
        <v>7.6666666666666696</v>
      </c>
      <c r="AG159" s="1">
        <v>7.6666666666666696</v>
      </c>
      <c r="AH159" s="1"/>
      <c r="AI159" s="1"/>
      <c r="AJ159" s="1"/>
      <c r="AK159" s="1"/>
      <c r="AL159" s="1"/>
      <c r="AM159" s="1"/>
      <c r="AN159" s="1"/>
      <c r="AO159" s="1"/>
      <c r="AP159" s="1"/>
      <c r="AQ159" s="1"/>
      <c r="AR159" s="1"/>
      <c r="AS159" s="1">
        <v>55</v>
      </c>
      <c r="AT159" s="1">
        <v>56</v>
      </c>
      <c r="AU159" s="1">
        <v>56.363636363636402</v>
      </c>
      <c r="AV159" s="1">
        <v>-1</v>
      </c>
      <c r="AW159" s="1">
        <v>-1.36363636363637</v>
      </c>
      <c r="AX159" s="1">
        <v>7.2727272727272698</v>
      </c>
      <c r="AY159" s="1">
        <v>1.5909090909090799</v>
      </c>
      <c r="AZ159" s="1">
        <v>7.5206611570247901</v>
      </c>
      <c r="BA159" s="1"/>
      <c r="BB159" s="1"/>
      <c r="BC159" s="1"/>
      <c r="BD159" s="1"/>
      <c r="BE159" s="1"/>
      <c r="BF159" s="1"/>
      <c r="BG159" s="1"/>
      <c r="BH159" s="1"/>
    </row>
    <row r="160" spans="1:60" x14ac:dyDescent="0.2">
      <c r="A160" s="3">
        <v>158</v>
      </c>
      <c r="B160" s="3" t="s">
        <v>933</v>
      </c>
      <c r="C160" s="3" t="s">
        <v>934</v>
      </c>
      <c r="D160" s="1"/>
      <c r="E160" s="1">
        <f t="shared" si="12"/>
        <v>3.7682687984059542</v>
      </c>
      <c r="F160" s="1">
        <f t="shared" si="13"/>
        <v>6.9421487603305803</v>
      </c>
      <c r="G160" s="1">
        <f t="shared" si="14"/>
        <v>2.0454545454545499</v>
      </c>
      <c r="H160" s="1"/>
      <c r="I160" s="1">
        <v>0</v>
      </c>
      <c r="J160" s="1">
        <v>4</v>
      </c>
      <c r="K160" s="1">
        <v>0</v>
      </c>
      <c r="L160" s="1">
        <v>0</v>
      </c>
      <c r="M160" s="1">
        <v>0.3</v>
      </c>
      <c r="N160" s="1"/>
      <c r="O160" s="1"/>
      <c r="P160" s="1">
        <v>1.3333333333333299</v>
      </c>
      <c r="Q160" s="1">
        <v>0.15</v>
      </c>
      <c r="R160" s="1">
        <v>0.74166666666666703</v>
      </c>
      <c r="S160" s="1">
        <v>0</v>
      </c>
      <c r="T160" s="1">
        <v>1.8</v>
      </c>
      <c r="U160" s="1">
        <v>2.6</v>
      </c>
      <c r="V160" s="1">
        <v>2.2999999999999998</v>
      </c>
      <c r="W160" s="1">
        <v>-5</v>
      </c>
      <c r="X160" s="1">
        <v>3</v>
      </c>
      <c r="Y160" s="1">
        <v>-7.3</v>
      </c>
      <c r="Z160" s="1" t="s">
        <v>718</v>
      </c>
      <c r="AA160" s="1" t="s">
        <v>1249</v>
      </c>
      <c r="AB160" s="1" t="s">
        <v>362</v>
      </c>
      <c r="AC160" s="1">
        <v>-7.2</v>
      </c>
      <c r="AD160" s="1">
        <v>10</v>
      </c>
      <c r="AE160" s="1">
        <v>10</v>
      </c>
      <c r="AF160" s="1">
        <v>10</v>
      </c>
      <c r="AG160" s="1">
        <v>10</v>
      </c>
      <c r="AH160" s="1"/>
      <c r="AI160" s="1"/>
      <c r="AJ160" s="1"/>
      <c r="AK160" s="1"/>
      <c r="AL160" s="1"/>
      <c r="AM160" s="1"/>
      <c r="AN160" s="1"/>
      <c r="AO160" s="1"/>
      <c r="AP160" s="1"/>
      <c r="AQ160" s="1"/>
      <c r="AR160" s="1"/>
      <c r="AS160" s="1">
        <v>52</v>
      </c>
      <c r="AT160" s="1">
        <v>53</v>
      </c>
      <c r="AU160" s="1">
        <v>53.181818181818201</v>
      </c>
      <c r="AV160" s="1">
        <v>-1</v>
      </c>
      <c r="AW160" s="1">
        <v>-1.1818181818181801</v>
      </c>
      <c r="AX160" s="1">
        <v>6.7272727272727302</v>
      </c>
      <c r="AY160" s="1">
        <v>2.0454545454545499</v>
      </c>
      <c r="AZ160" s="1">
        <v>6.9421487603305803</v>
      </c>
      <c r="BA160" s="1"/>
      <c r="BB160" s="1"/>
      <c r="BC160" s="1"/>
      <c r="BD160" s="1"/>
      <c r="BE160" s="1"/>
      <c r="BF160" s="1"/>
      <c r="BG160" s="1"/>
      <c r="BH160" s="1"/>
    </row>
    <row r="161" spans="1:60" x14ac:dyDescent="0.2">
      <c r="A161" s="3">
        <v>159</v>
      </c>
      <c r="B161" s="3" t="s">
        <v>939</v>
      </c>
      <c r="C161" s="3" t="s">
        <v>940</v>
      </c>
      <c r="D161" s="1"/>
      <c r="E161" s="1">
        <f t="shared" si="12"/>
        <v>4.8740716043681482</v>
      </c>
      <c r="F161" s="1">
        <f t="shared" si="13"/>
        <v>3.0743801652892602</v>
      </c>
      <c r="G161" s="1">
        <f t="shared" si="14"/>
        <v>7.7272727272727204</v>
      </c>
      <c r="H161" s="1"/>
      <c r="I161" s="1">
        <v>3</v>
      </c>
      <c r="J161" s="1">
        <v>3</v>
      </c>
      <c r="K161" s="1">
        <v>3</v>
      </c>
      <c r="L161" s="1">
        <v>0</v>
      </c>
      <c r="M161" s="1">
        <v>0.1</v>
      </c>
      <c r="N161" s="1"/>
      <c r="O161" s="1">
        <v>3.6</v>
      </c>
      <c r="P161" s="1">
        <v>3</v>
      </c>
      <c r="Q161" s="1">
        <v>1.2333333333333301</v>
      </c>
      <c r="R161" s="1">
        <v>2.1166666666666698</v>
      </c>
      <c r="S161" s="1">
        <v>1.3508442776735401</v>
      </c>
      <c r="T161" s="1"/>
      <c r="U161" s="1"/>
      <c r="V161" s="1"/>
      <c r="W161" s="1"/>
      <c r="X161" s="1"/>
      <c r="Y161" s="1"/>
      <c r="Z161" s="1" t="s">
        <v>718</v>
      </c>
      <c r="AA161" s="1" t="s">
        <v>1190</v>
      </c>
      <c r="AB161" s="1" t="s">
        <v>1232</v>
      </c>
      <c r="AC161" s="1">
        <v>-8.5</v>
      </c>
      <c r="AD161" s="1"/>
      <c r="AE161" s="1">
        <v>10</v>
      </c>
      <c r="AF161" s="1"/>
      <c r="AG161" s="1">
        <v>8.0573333333333306</v>
      </c>
      <c r="AH161" s="1"/>
      <c r="AI161" s="1"/>
      <c r="AJ161" s="1"/>
      <c r="AK161" s="1"/>
      <c r="AL161" s="1"/>
      <c r="AM161" s="1"/>
      <c r="AN161" s="1"/>
      <c r="AO161" s="1"/>
      <c r="AP161" s="1"/>
      <c r="AQ161" s="1"/>
      <c r="AR161" s="1"/>
      <c r="AS161" s="1">
        <v>33</v>
      </c>
      <c r="AT161" s="1">
        <v>33</v>
      </c>
      <c r="AU161" s="1">
        <v>31.909090909090899</v>
      </c>
      <c r="AV161" s="1">
        <v>0</v>
      </c>
      <c r="AW161" s="1">
        <v>1.0909090909090899</v>
      </c>
      <c r="AX161" s="1">
        <v>3.2727272727272698</v>
      </c>
      <c r="AY161" s="1">
        <v>7.7272727272727204</v>
      </c>
      <c r="AZ161" s="1">
        <v>3.0743801652892602</v>
      </c>
      <c r="BA161" s="1">
        <v>0.11700000000000001</v>
      </c>
      <c r="BB161" s="1">
        <v>5.85</v>
      </c>
      <c r="BC161" s="1"/>
      <c r="BD161" s="1"/>
      <c r="BE161" s="1"/>
      <c r="BF161" s="1"/>
      <c r="BG161" s="1"/>
      <c r="BH161" s="1"/>
    </row>
    <row r="162" spans="1:60" x14ac:dyDescent="0.2">
      <c r="A162" s="3">
        <v>160</v>
      </c>
      <c r="B162" s="3" t="s">
        <v>943</v>
      </c>
      <c r="C162" s="3" t="s">
        <v>944</v>
      </c>
      <c r="D162" s="1"/>
      <c r="E162" s="1">
        <f t="shared" si="12"/>
        <v>2.2314049586776901</v>
      </c>
      <c r="F162" s="1">
        <f t="shared" si="13"/>
        <v>2.2314049586776901</v>
      </c>
      <c r="G162" s="1">
        <f t="shared" si="14"/>
        <v>0</v>
      </c>
      <c r="H162" s="1"/>
      <c r="I162" s="1">
        <v>3</v>
      </c>
      <c r="J162" s="1">
        <v>3</v>
      </c>
      <c r="K162" s="1">
        <v>4</v>
      </c>
      <c r="L162" s="1">
        <v>0</v>
      </c>
      <c r="M162" s="1">
        <v>0</v>
      </c>
      <c r="N162" s="1"/>
      <c r="O162" s="1">
        <v>3.5</v>
      </c>
      <c r="P162" s="1">
        <v>3.3333333333333299</v>
      </c>
      <c r="Q162" s="1">
        <v>1.1666666666666701</v>
      </c>
      <c r="R162" s="1">
        <v>2.25</v>
      </c>
      <c r="S162" s="1">
        <v>1.9512195121951199</v>
      </c>
      <c r="T162" s="1"/>
      <c r="U162" s="1"/>
      <c r="V162" s="1"/>
      <c r="W162" s="1"/>
      <c r="X162" s="1"/>
      <c r="Y162" s="1"/>
      <c r="Z162" s="1" t="s">
        <v>1210</v>
      </c>
      <c r="AA162" s="1" t="s">
        <v>1217</v>
      </c>
      <c r="AB162" s="1" t="s">
        <v>1266</v>
      </c>
      <c r="AC162" s="1">
        <v>-10.4</v>
      </c>
      <c r="AD162" s="1"/>
      <c r="AE162" s="1">
        <v>10</v>
      </c>
      <c r="AF162" s="1"/>
      <c r="AG162" s="1">
        <v>7.8</v>
      </c>
      <c r="AH162" s="1"/>
      <c r="AI162" s="1"/>
      <c r="AJ162" s="1"/>
      <c r="AK162" s="1"/>
      <c r="AL162" s="1"/>
      <c r="AM162" s="1"/>
      <c r="AN162" s="1"/>
      <c r="AO162" s="1"/>
      <c r="AP162" s="1"/>
      <c r="AQ162" s="1"/>
      <c r="AR162" s="1"/>
      <c r="AS162" s="1">
        <v>24</v>
      </c>
      <c r="AT162" s="1">
        <v>29</v>
      </c>
      <c r="AU162" s="1">
        <v>27.272727272727298</v>
      </c>
      <c r="AV162" s="1">
        <v>-5</v>
      </c>
      <c r="AW162" s="1">
        <v>-3.2727272727272698</v>
      </c>
      <c r="AX162" s="1">
        <v>1.63636363636364</v>
      </c>
      <c r="AY162" s="1">
        <v>0</v>
      </c>
      <c r="AZ162" s="1">
        <v>2.2314049586776901</v>
      </c>
      <c r="BA162" s="1">
        <v>0.193</v>
      </c>
      <c r="BB162" s="1">
        <v>9.65</v>
      </c>
      <c r="BC162" s="1"/>
      <c r="BD162" s="1"/>
      <c r="BE162" s="1"/>
      <c r="BF162" s="1"/>
      <c r="BG162" s="1"/>
      <c r="BH162" s="1"/>
    </row>
    <row r="163" spans="1:60" x14ac:dyDescent="0.2">
      <c r="A163" s="3">
        <v>161</v>
      </c>
      <c r="B163" s="3" t="s">
        <v>946</v>
      </c>
      <c r="C163" s="3" t="s">
        <v>947</v>
      </c>
      <c r="D163" s="1"/>
      <c r="E163" s="1">
        <f t="shared" ref="E163:E194" si="15">IFERROR(GEOMEAN(F163, G163), MAX(F163, G163))</f>
        <v>0.8667841720414482</v>
      </c>
      <c r="F163" s="1">
        <f t="shared" ref="F163:F192" si="16">MAX(AZ163)</f>
        <v>0.413223140495868</v>
      </c>
      <c r="G163" s="1">
        <f t="shared" ref="G163:G192" si="17">MAX(AY163)</f>
        <v>1.8181818181818199</v>
      </c>
      <c r="H163" s="1"/>
      <c r="I163" s="1">
        <v>4</v>
      </c>
      <c r="J163" s="1">
        <v>4</v>
      </c>
      <c r="K163" s="1">
        <v>3</v>
      </c>
      <c r="L163" s="1">
        <v>0</v>
      </c>
      <c r="M163" s="1">
        <v>0.4</v>
      </c>
      <c r="N163" s="1"/>
      <c r="O163" s="1">
        <v>3</v>
      </c>
      <c r="P163" s="1">
        <v>3.6666666666666701</v>
      </c>
      <c r="Q163" s="1">
        <v>1.13333333333333</v>
      </c>
      <c r="R163" s="1">
        <v>2.4</v>
      </c>
      <c r="S163" s="1">
        <v>2.62664165103189</v>
      </c>
      <c r="T163" s="1"/>
      <c r="U163" s="1"/>
      <c r="V163" s="1"/>
      <c r="W163" s="1"/>
      <c r="X163" s="1"/>
      <c r="Y163" s="1"/>
      <c r="Z163" s="1" t="s">
        <v>1178</v>
      </c>
      <c r="AA163" s="1" t="s">
        <v>1234</v>
      </c>
      <c r="AB163" s="1" t="s">
        <v>1207</v>
      </c>
      <c r="AC163" s="1">
        <v>-8</v>
      </c>
      <c r="AD163" s="1"/>
      <c r="AE163" s="1">
        <v>10</v>
      </c>
      <c r="AF163" s="1"/>
      <c r="AG163" s="1">
        <v>6.4773333333333296</v>
      </c>
      <c r="AH163" s="1"/>
      <c r="AI163" s="1"/>
      <c r="AJ163" s="1"/>
      <c r="AK163" s="1"/>
      <c r="AL163" s="1"/>
      <c r="AM163" s="1"/>
      <c r="AN163" s="1"/>
      <c r="AO163" s="1"/>
      <c r="AP163" s="1"/>
      <c r="AQ163" s="1"/>
      <c r="AR163" s="1"/>
      <c r="AS163" s="1">
        <v>16</v>
      </c>
      <c r="AT163" s="1">
        <v>18</v>
      </c>
      <c r="AU163" s="1">
        <v>17.272727272727298</v>
      </c>
      <c r="AV163" s="1">
        <v>-2</v>
      </c>
      <c r="AW163" s="1">
        <v>-1.27272727272727</v>
      </c>
      <c r="AX163" s="1">
        <v>0.18181818181818199</v>
      </c>
      <c r="AY163" s="1">
        <v>1.8181818181818199</v>
      </c>
      <c r="AZ163" s="1">
        <v>0.413223140495868</v>
      </c>
      <c r="BA163" s="1"/>
      <c r="BB163" s="1"/>
      <c r="BC163" s="1"/>
      <c r="BD163" s="1"/>
      <c r="BE163" s="1"/>
      <c r="BF163" s="1"/>
      <c r="BG163" s="1"/>
      <c r="BH163" s="1"/>
    </row>
    <row r="164" spans="1:60" x14ac:dyDescent="0.2">
      <c r="A164" s="3">
        <v>162</v>
      </c>
      <c r="B164" s="3" t="s">
        <v>951</v>
      </c>
      <c r="C164" s="3" t="s">
        <v>952</v>
      </c>
      <c r="D164" s="1"/>
      <c r="E164" s="1">
        <f t="shared" si="15"/>
        <v>1.8140448803568439</v>
      </c>
      <c r="F164" s="1">
        <f t="shared" si="16"/>
        <v>7.2396694214875996</v>
      </c>
      <c r="G164" s="1">
        <f t="shared" si="17"/>
        <v>0.45454545454544998</v>
      </c>
      <c r="H164" s="1"/>
      <c r="I164" s="1"/>
      <c r="J164" s="1"/>
      <c r="K164" s="1">
        <v>3</v>
      </c>
      <c r="L164" s="1">
        <v>0</v>
      </c>
      <c r="M164" s="1">
        <v>0.5</v>
      </c>
      <c r="N164" s="1"/>
      <c r="O164" s="1">
        <v>3.4</v>
      </c>
      <c r="P164" s="1">
        <v>3</v>
      </c>
      <c r="Q164" s="1">
        <v>1.3</v>
      </c>
      <c r="R164" s="1">
        <v>2.15</v>
      </c>
      <c r="S164" s="1">
        <v>1.5009380863039401</v>
      </c>
      <c r="T164" s="1">
        <v>2</v>
      </c>
      <c r="U164" s="1">
        <v>2.4</v>
      </c>
      <c r="V164" s="1">
        <v>1.3</v>
      </c>
      <c r="W164" s="1">
        <v>-2.8</v>
      </c>
      <c r="X164" s="1">
        <v>2.7</v>
      </c>
      <c r="Y164" s="1">
        <v>-4.0999999999999996</v>
      </c>
      <c r="Z164" s="1" t="s">
        <v>121</v>
      </c>
      <c r="AA164" s="1" t="s">
        <v>1196</v>
      </c>
      <c r="AB164" s="1" t="s">
        <v>1161</v>
      </c>
      <c r="AC164" s="1">
        <v>-1.9</v>
      </c>
      <c r="AD164" s="1">
        <v>8.1999999999999993</v>
      </c>
      <c r="AE164" s="1">
        <v>3.8</v>
      </c>
      <c r="AF164" s="1">
        <v>7</v>
      </c>
      <c r="AG164" s="1">
        <v>7.1280000000000001</v>
      </c>
      <c r="AH164" s="1"/>
      <c r="AI164" s="1"/>
      <c r="AJ164" s="1"/>
      <c r="AK164" s="1"/>
      <c r="AL164" s="1"/>
      <c r="AM164" s="1"/>
      <c r="AN164" s="1"/>
      <c r="AO164" s="1"/>
      <c r="AP164" s="1"/>
      <c r="AQ164" s="1"/>
      <c r="AR164" s="1"/>
      <c r="AS164" s="1">
        <v>53</v>
      </c>
      <c r="AT164" s="1">
        <v>55</v>
      </c>
      <c r="AU164" s="1">
        <v>54.818181818181799</v>
      </c>
      <c r="AV164" s="1">
        <v>-2</v>
      </c>
      <c r="AW164" s="1">
        <v>-1.8181818181818199</v>
      </c>
      <c r="AX164" s="1">
        <v>6.9090909090909101</v>
      </c>
      <c r="AY164" s="1">
        <v>0.45454545454544998</v>
      </c>
      <c r="AZ164" s="1">
        <v>7.2396694214875996</v>
      </c>
      <c r="BA164" s="1"/>
      <c r="BB164" s="1"/>
      <c r="BC164" s="1"/>
      <c r="BD164" s="1"/>
      <c r="BE164" s="1"/>
      <c r="BF164" s="1"/>
      <c r="BG164" s="1"/>
      <c r="BH164" s="1"/>
    </row>
    <row r="165" spans="1:60" x14ac:dyDescent="0.2">
      <c r="A165" s="3">
        <v>163</v>
      </c>
      <c r="B165" s="3" t="s">
        <v>956</v>
      </c>
      <c r="C165" s="3" t="s">
        <v>957</v>
      </c>
      <c r="D165" s="1"/>
      <c r="E165" s="1">
        <f t="shared" si="15"/>
        <v>2.5433875905497656</v>
      </c>
      <c r="F165" s="1">
        <f t="shared" si="16"/>
        <v>4.0661157024793404</v>
      </c>
      <c r="G165" s="1">
        <f t="shared" si="17"/>
        <v>1.5909090909090799</v>
      </c>
      <c r="H165" s="1"/>
      <c r="I165" s="1">
        <v>5</v>
      </c>
      <c r="J165" s="1">
        <v>5</v>
      </c>
      <c r="K165" s="1">
        <v>8</v>
      </c>
      <c r="L165" s="1">
        <v>0</v>
      </c>
      <c r="M165" s="1">
        <v>0.5</v>
      </c>
      <c r="N165" s="1"/>
      <c r="O165" s="1">
        <v>4.5</v>
      </c>
      <c r="P165" s="1">
        <v>6</v>
      </c>
      <c r="Q165" s="1">
        <v>1.6666666666666701</v>
      </c>
      <c r="R165" s="1">
        <v>3.8333333333333299</v>
      </c>
      <c r="S165" s="1">
        <v>9.0806754221388406</v>
      </c>
      <c r="T165" s="1">
        <v>4.3</v>
      </c>
      <c r="U165" s="1">
        <v>4.0999999999999996</v>
      </c>
      <c r="V165" s="1">
        <v>3.8</v>
      </c>
      <c r="W165" s="1">
        <v>-11.1</v>
      </c>
      <c r="X165" s="1">
        <v>6.3</v>
      </c>
      <c r="Y165" s="1">
        <v>-14.9</v>
      </c>
      <c r="Z165" s="1" t="s">
        <v>1186</v>
      </c>
      <c r="AA165" s="1" t="s">
        <v>1267</v>
      </c>
      <c r="AB165" s="1" t="s">
        <v>97</v>
      </c>
      <c r="AC165" s="1">
        <v>-14.7</v>
      </c>
      <c r="AD165" s="1">
        <v>10</v>
      </c>
      <c r="AE165" s="1">
        <v>10</v>
      </c>
      <c r="AF165" s="1">
        <v>10</v>
      </c>
      <c r="AG165" s="1">
        <v>10</v>
      </c>
      <c r="AH165" s="1"/>
      <c r="AI165" s="1"/>
      <c r="AJ165" s="1"/>
      <c r="AK165" s="1"/>
      <c r="AL165" s="1"/>
      <c r="AM165" s="1"/>
      <c r="AN165" s="1"/>
      <c r="AO165" s="1"/>
      <c r="AP165" s="1"/>
      <c r="AQ165" s="1"/>
      <c r="AR165" s="1"/>
      <c r="AS165" s="1">
        <v>36</v>
      </c>
      <c r="AT165" s="1">
        <v>39</v>
      </c>
      <c r="AU165" s="1">
        <v>37.363636363636402</v>
      </c>
      <c r="AV165" s="1">
        <v>-3</v>
      </c>
      <c r="AW165" s="1">
        <v>-1.36363636363637</v>
      </c>
      <c r="AX165" s="1">
        <v>3.8181818181818201</v>
      </c>
      <c r="AY165" s="1">
        <v>1.5909090909090799</v>
      </c>
      <c r="AZ165" s="1">
        <v>4.0661157024793404</v>
      </c>
      <c r="BA165" s="1"/>
      <c r="BB165" s="1"/>
      <c r="BC165" s="1"/>
      <c r="BD165" s="1"/>
      <c r="BE165" s="1"/>
      <c r="BF165" s="1"/>
      <c r="BG165" s="1"/>
      <c r="BH165" s="1"/>
    </row>
    <row r="166" spans="1:60" x14ac:dyDescent="0.2">
      <c r="A166" s="3">
        <v>164</v>
      </c>
      <c r="B166" s="3" t="s">
        <v>960</v>
      </c>
      <c r="C166" s="3" t="s">
        <v>961</v>
      </c>
      <c r="D166" s="1"/>
      <c r="E166" s="1">
        <f t="shared" si="15"/>
        <v>6.7419986246324095</v>
      </c>
      <c r="F166" s="1">
        <f t="shared" si="16"/>
        <v>10</v>
      </c>
      <c r="G166" s="1">
        <f t="shared" si="17"/>
        <v>4.5454545454545299</v>
      </c>
      <c r="H166" s="1"/>
      <c r="I166" s="1"/>
      <c r="J166" s="1"/>
      <c r="K166" s="1">
        <v>4</v>
      </c>
      <c r="L166" s="1"/>
      <c r="M166" s="1"/>
      <c r="N166" s="1"/>
      <c r="O166" s="1"/>
      <c r="P166" s="1">
        <v>4</v>
      </c>
      <c r="Q166" s="1"/>
      <c r="R166" s="1">
        <v>4</v>
      </c>
      <c r="S166" s="1">
        <v>9.8311444652908104</v>
      </c>
      <c r="T166" s="1"/>
      <c r="U166" s="1"/>
      <c r="V166" s="1"/>
      <c r="W166" s="1"/>
      <c r="X166" s="1"/>
      <c r="Y166" s="1"/>
      <c r="Z166" s="1" t="s">
        <v>1243</v>
      </c>
      <c r="AA166" s="1" t="s">
        <v>1243</v>
      </c>
      <c r="AB166" s="1" t="s">
        <v>1243</v>
      </c>
      <c r="AC166" s="1"/>
      <c r="AD166" s="1"/>
      <c r="AE166" s="1"/>
      <c r="AF166" s="1"/>
      <c r="AG166" s="1"/>
      <c r="AH166" s="1"/>
      <c r="AI166" s="1"/>
      <c r="AJ166" s="1"/>
      <c r="AK166" s="1"/>
      <c r="AL166" s="1"/>
      <c r="AM166" s="1"/>
      <c r="AN166" s="1"/>
      <c r="AO166" s="1"/>
      <c r="AP166" s="1"/>
      <c r="AQ166" s="1"/>
      <c r="AR166" s="1"/>
      <c r="AS166" s="1">
        <v>87</v>
      </c>
      <c r="AT166" s="1">
        <v>87</v>
      </c>
      <c r="AU166" s="1">
        <v>87.181818181818201</v>
      </c>
      <c r="AV166" s="1">
        <v>0</v>
      </c>
      <c r="AW166" s="1">
        <v>-0.18181818181818701</v>
      </c>
      <c r="AX166" s="1">
        <v>10</v>
      </c>
      <c r="AY166" s="1">
        <v>4.5454545454545299</v>
      </c>
      <c r="AZ166" s="1">
        <v>10</v>
      </c>
      <c r="BA166" s="1"/>
      <c r="BB166" s="1"/>
      <c r="BC166" s="1"/>
      <c r="BD166" s="1"/>
      <c r="BE166" s="1"/>
      <c r="BF166" s="1"/>
      <c r="BG166" s="1"/>
      <c r="BH166" s="1"/>
    </row>
    <row r="167" spans="1:60" x14ac:dyDescent="0.2">
      <c r="A167" s="3">
        <v>165</v>
      </c>
      <c r="B167" s="3" t="s">
        <v>965</v>
      </c>
      <c r="C167" s="3" t="s">
        <v>966</v>
      </c>
      <c r="D167" s="1"/>
      <c r="E167" s="1">
        <f t="shared" si="15"/>
        <v>6.527696296024585</v>
      </c>
      <c r="F167" s="1">
        <f t="shared" si="16"/>
        <v>9.8677685950413192</v>
      </c>
      <c r="G167" s="1">
        <f t="shared" si="17"/>
        <v>4.3181818181818299</v>
      </c>
      <c r="H167" s="1"/>
      <c r="I167" s="1"/>
      <c r="J167" s="1"/>
      <c r="K167" s="1">
        <v>0</v>
      </c>
      <c r="L167" s="1"/>
      <c r="M167" s="1"/>
      <c r="N167" s="1"/>
      <c r="O167" s="1"/>
      <c r="P167" s="1">
        <v>0</v>
      </c>
      <c r="Q167" s="1"/>
      <c r="R167" s="1">
        <v>0</v>
      </c>
      <c r="S167" s="1">
        <v>0</v>
      </c>
      <c r="T167" s="1">
        <v>-3</v>
      </c>
      <c r="U167" s="1">
        <v>2.6</v>
      </c>
      <c r="V167" s="1">
        <v>3.2</v>
      </c>
      <c r="W167" s="1">
        <v>-0.2</v>
      </c>
      <c r="X167" s="1">
        <v>4.7</v>
      </c>
      <c r="Y167" s="1">
        <v>-3.4</v>
      </c>
      <c r="Z167" s="1" t="s">
        <v>1146</v>
      </c>
      <c r="AA167" s="1" t="s">
        <v>1254</v>
      </c>
      <c r="AB167" s="1" t="s">
        <v>557</v>
      </c>
      <c r="AC167" s="1">
        <v>-3.2</v>
      </c>
      <c r="AD167" s="1">
        <v>6.8</v>
      </c>
      <c r="AE167" s="1">
        <v>6.4</v>
      </c>
      <c r="AF167" s="1">
        <v>5.2</v>
      </c>
      <c r="AG167" s="1">
        <v>3.7773333333333299</v>
      </c>
      <c r="AH167" s="1"/>
      <c r="AI167" s="1"/>
      <c r="AJ167" s="1"/>
      <c r="AK167" s="1"/>
      <c r="AL167" s="1"/>
      <c r="AM167" s="1"/>
      <c r="AN167" s="1"/>
      <c r="AO167" s="1"/>
      <c r="AP167" s="1"/>
      <c r="AQ167" s="1"/>
      <c r="AR167" s="1"/>
      <c r="AS167" s="1">
        <v>69</v>
      </c>
      <c r="AT167" s="1">
        <v>70</v>
      </c>
      <c r="AU167" s="1">
        <v>69.272727272727295</v>
      </c>
      <c r="AV167" s="1">
        <v>-1</v>
      </c>
      <c r="AW167" s="1">
        <v>-0.27272727272726599</v>
      </c>
      <c r="AX167" s="1">
        <v>9.8181818181818201</v>
      </c>
      <c r="AY167" s="1">
        <v>4.3181818181818299</v>
      </c>
      <c r="AZ167" s="1">
        <v>9.8677685950413192</v>
      </c>
      <c r="BA167" s="1"/>
      <c r="BB167" s="1"/>
      <c r="BC167" s="1"/>
      <c r="BD167" s="1"/>
      <c r="BE167" s="1"/>
      <c r="BF167" s="1"/>
      <c r="BG167" s="1"/>
      <c r="BH167" s="1"/>
    </row>
    <row r="168" spans="1:60" x14ac:dyDescent="0.2">
      <c r="A168" s="3">
        <v>166</v>
      </c>
      <c r="B168" s="3" t="s">
        <v>969</v>
      </c>
      <c r="C168" s="3" t="s">
        <v>970</v>
      </c>
      <c r="D168" s="1"/>
      <c r="E168" s="1">
        <f t="shared" si="15"/>
        <v>6.3860290786166676</v>
      </c>
      <c r="F168" s="1">
        <f t="shared" si="16"/>
        <v>7.8016528925619797</v>
      </c>
      <c r="G168" s="1">
        <f t="shared" si="17"/>
        <v>5.2272727272727302</v>
      </c>
      <c r="H168" s="1"/>
      <c r="I168" s="1"/>
      <c r="J168" s="1"/>
      <c r="K168" s="1">
        <v>3</v>
      </c>
      <c r="L168" s="1">
        <v>3</v>
      </c>
      <c r="M168" s="1"/>
      <c r="N168" s="1">
        <v>7</v>
      </c>
      <c r="O168" s="1">
        <v>3.6</v>
      </c>
      <c r="P168" s="1">
        <v>3</v>
      </c>
      <c r="Q168" s="1">
        <v>4.5333333333333297</v>
      </c>
      <c r="R168" s="1">
        <v>3.7666666666666702</v>
      </c>
      <c r="S168" s="1">
        <v>8.7804878048780495</v>
      </c>
      <c r="T168" s="1">
        <v>4.4000000000000004</v>
      </c>
      <c r="U168" s="1">
        <v>4.9000000000000004</v>
      </c>
      <c r="V168" s="1">
        <v>5.3</v>
      </c>
      <c r="W168" s="1">
        <v>1</v>
      </c>
      <c r="X168" s="1">
        <v>4</v>
      </c>
      <c r="Y168" s="1">
        <v>-4.3</v>
      </c>
      <c r="Z168" s="1" t="s">
        <v>1159</v>
      </c>
      <c r="AA168" s="1" t="s">
        <v>121</v>
      </c>
      <c r="AB168" s="1" t="s">
        <v>1189</v>
      </c>
      <c r="AC168" s="1">
        <v>-4.3</v>
      </c>
      <c r="AD168" s="1">
        <v>8.6</v>
      </c>
      <c r="AE168" s="1">
        <v>8.6</v>
      </c>
      <c r="AF168" s="1">
        <v>4</v>
      </c>
      <c r="AG168" s="1">
        <v>4</v>
      </c>
      <c r="AH168" s="1"/>
      <c r="AI168" s="1"/>
      <c r="AJ168" s="1"/>
      <c r="AK168" s="1"/>
      <c r="AL168" s="1"/>
      <c r="AM168" s="1"/>
      <c r="AN168" s="1"/>
      <c r="AO168" s="1"/>
      <c r="AP168" s="1"/>
      <c r="AQ168" s="1"/>
      <c r="AR168" s="1"/>
      <c r="AS168" s="1">
        <v>58</v>
      </c>
      <c r="AT168" s="1">
        <v>57</v>
      </c>
      <c r="AU168" s="1">
        <v>57.909090909090899</v>
      </c>
      <c r="AV168" s="1">
        <v>1</v>
      </c>
      <c r="AW168" s="1">
        <v>9.0909090909093507E-2</v>
      </c>
      <c r="AX168" s="1">
        <v>7.8181818181818201</v>
      </c>
      <c r="AY168" s="1">
        <v>5.2272727272727302</v>
      </c>
      <c r="AZ168" s="1">
        <v>7.8016528925619797</v>
      </c>
      <c r="BA168" s="1"/>
      <c r="BB168" s="1"/>
      <c r="BC168" s="1"/>
      <c r="BD168" s="1"/>
      <c r="BE168" s="1"/>
      <c r="BF168" s="1"/>
      <c r="BG168" s="1"/>
      <c r="BH168" s="1"/>
    </row>
    <row r="169" spans="1:60" x14ac:dyDescent="0.2">
      <c r="A169" s="3">
        <v>167</v>
      </c>
      <c r="B169" s="3" t="s">
        <v>973</v>
      </c>
      <c r="C169" s="3" t="s">
        <v>974</v>
      </c>
      <c r="D169" s="1"/>
      <c r="E169" s="1">
        <f t="shared" si="15"/>
        <v>3.6528551660327326</v>
      </c>
      <c r="F169" s="1">
        <f t="shared" si="16"/>
        <v>4.8925619834710696</v>
      </c>
      <c r="G169" s="1">
        <f t="shared" si="17"/>
        <v>2.7272727272727302</v>
      </c>
      <c r="H169" s="1"/>
      <c r="I169" s="1">
        <v>4</v>
      </c>
      <c r="J169" s="1">
        <v>3</v>
      </c>
      <c r="K169" s="1">
        <v>5</v>
      </c>
      <c r="L169" s="1">
        <v>0</v>
      </c>
      <c r="M169" s="1">
        <v>1.2</v>
      </c>
      <c r="N169" s="1">
        <v>0</v>
      </c>
      <c r="O169" s="1">
        <v>2.8</v>
      </c>
      <c r="P169" s="1">
        <v>4</v>
      </c>
      <c r="Q169" s="1">
        <v>1</v>
      </c>
      <c r="R169" s="1">
        <v>2.5</v>
      </c>
      <c r="S169" s="1">
        <v>3.0769230769230802</v>
      </c>
      <c r="T169" s="1">
        <v>4.0999999999999996</v>
      </c>
      <c r="U169" s="1">
        <v>4.2</v>
      </c>
      <c r="V169" s="1">
        <v>2.4</v>
      </c>
      <c r="W169" s="1">
        <v>-5</v>
      </c>
      <c r="X169" s="1">
        <v>4.0999999999999996</v>
      </c>
      <c r="Y169" s="1">
        <v>-7.4</v>
      </c>
      <c r="Z169" s="1" t="s">
        <v>1210</v>
      </c>
      <c r="AA169" s="1" t="s">
        <v>1162</v>
      </c>
      <c r="AB169" s="1" t="s">
        <v>557</v>
      </c>
      <c r="AC169" s="1">
        <v>-9.1</v>
      </c>
      <c r="AD169" s="1">
        <v>10</v>
      </c>
      <c r="AE169" s="1">
        <v>10</v>
      </c>
      <c r="AF169" s="1">
        <v>7.6666666666666696</v>
      </c>
      <c r="AG169" s="1">
        <v>8.0966666666666693</v>
      </c>
      <c r="AH169" s="1">
        <v>0</v>
      </c>
      <c r="AI169" s="1">
        <v>0</v>
      </c>
      <c r="AJ169" s="1">
        <v>0</v>
      </c>
      <c r="AK169" s="1">
        <v>0</v>
      </c>
      <c r="AL169" s="1">
        <v>0.5</v>
      </c>
      <c r="AM169" s="1">
        <v>0</v>
      </c>
      <c r="AN169" s="1">
        <v>0</v>
      </c>
      <c r="AO169" s="1">
        <v>0.5</v>
      </c>
      <c r="AP169" s="1">
        <v>0</v>
      </c>
      <c r="AQ169" s="1">
        <v>0.5</v>
      </c>
      <c r="AR169" s="1">
        <v>2.38095238095238</v>
      </c>
      <c r="AS169" s="1">
        <v>41</v>
      </c>
      <c r="AT169" s="1">
        <v>44</v>
      </c>
      <c r="AU169" s="1">
        <v>41.909090909090899</v>
      </c>
      <c r="AV169" s="1">
        <v>-3</v>
      </c>
      <c r="AW169" s="1">
        <v>-0.90909090909090695</v>
      </c>
      <c r="AX169" s="1">
        <v>4.7272727272727302</v>
      </c>
      <c r="AY169" s="1">
        <v>2.7272727272727302</v>
      </c>
      <c r="AZ169" s="1">
        <v>4.8925619834710696</v>
      </c>
      <c r="BA169" s="1">
        <v>9.0999999999999998E-2</v>
      </c>
      <c r="BB169" s="1">
        <v>4.55</v>
      </c>
      <c r="BC169" s="1"/>
      <c r="BD169" s="1"/>
      <c r="BE169" s="1"/>
      <c r="BF169" s="1"/>
      <c r="BG169" s="1"/>
      <c r="BH169" s="1"/>
    </row>
    <row r="170" spans="1:60" x14ac:dyDescent="0.2">
      <c r="A170" s="3">
        <v>168</v>
      </c>
      <c r="B170" s="3" t="s">
        <v>978</v>
      </c>
      <c r="C170" s="3" t="s">
        <v>979</v>
      </c>
      <c r="D170" s="1"/>
      <c r="E170" s="1">
        <f t="shared" si="15"/>
        <v>4.7673129462279586</v>
      </c>
      <c r="F170" s="1">
        <f t="shared" si="16"/>
        <v>10</v>
      </c>
      <c r="G170" s="1">
        <f t="shared" si="17"/>
        <v>2.2727272727272698</v>
      </c>
      <c r="H170" s="1"/>
      <c r="I170" s="1"/>
      <c r="J170" s="1"/>
      <c r="K170" s="1">
        <v>3</v>
      </c>
      <c r="L170" s="1">
        <v>6</v>
      </c>
      <c r="M170" s="1">
        <v>0.4</v>
      </c>
      <c r="N170" s="1"/>
      <c r="O170" s="1">
        <v>3.7</v>
      </c>
      <c r="P170" s="1">
        <v>3</v>
      </c>
      <c r="Q170" s="1">
        <v>3.3666666666666698</v>
      </c>
      <c r="R170" s="1">
        <v>3.18333333333333</v>
      </c>
      <c r="S170" s="1">
        <v>6.1538461538461604</v>
      </c>
      <c r="T170" s="1">
        <v>7.6</v>
      </c>
      <c r="U170" s="1">
        <v>7.3</v>
      </c>
      <c r="V170" s="1">
        <v>7.5</v>
      </c>
      <c r="W170" s="1">
        <v>-2</v>
      </c>
      <c r="X170" s="1">
        <v>3.7</v>
      </c>
      <c r="Y170" s="1">
        <v>-9.5</v>
      </c>
      <c r="Z170" s="1" t="s">
        <v>1205</v>
      </c>
      <c r="AA170" s="1" t="s">
        <v>121</v>
      </c>
      <c r="AB170" s="1" t="s">
        <v>1200</v>
      </c>
      <c r="AC170" s="1">
        <v>-6.5</v>
      </c>
      <c r="AD170" s="1">
        <v>10</v>
      </c>
      <c r="AE170" s="1">
        <v>10</v>
      </c>
      <c r="AF170" s="1">
        <v>3</v>
      </c>
      <c r="AG170" s="1">
        <v>2.6666666666666701</v>
      </c>
      <c r="AH170" s="1"/>
      <c r="AI170" s="1"/>
      <c r="AJ170" s="1"/>
      <c r="AK170" s="1"/>
      <c r="AL170" s="1"/>
      <c r="AM170" s="1"/>
      <c r="AN170" s="1"/>
      <c r="AO170" s="1"/>
      <c r="AP170" s="1"/>
      <c r="AQ170" s="1"/>
      <c r="AR170" s="1"/>
      <c r="AS170" s="1">
        <v>73</v>
      </c>
      <c r="AT170" s="1">
        <v>73</v>
      </c>
      <c r="AU170" s="1">
        <v>74.090909090909093</v>
      </c>
      <c r="AV170" s="1">
        <v>0</v>
      </c>
      <c r="AW170" s="1">
        <v>-1.0909090909090899</v>
      </c>
      <c r="AX170" s="1">
        <v>10</v>
      </c>
      <c r="AY170" s="1">
        <v>2.2727272727272698</v>
      </c>
      <c r="AZ170" s="1">
        <v>10</v>
      </c>
      <c r="BA170" s="1"/>
      <c r="BB170" s="1"/>
      <c r="BC170" s="1"/>
      <c r="BD170" s="1"/>
      <c r="BE170" s="1"/>
      <c r="BF170" s="1"/>
      <c r="BG170" s="1"/>
      <c r="BH170" s="1"/>
    </row>
    <row r="171" spans="1:60" x14ac:dyDescent="0.2">
      <c r="A171" s="3">
        <v>169</v>
      </c>
      <c r="B171" s="3" t="s">
        <v>980</v>
      </c>
      <c r="C171" s="3" t="s">
        <v>981</v>
      </c>
      <c r="D171" s="1"/>
      <c r="E171" s="1">
        <f t="shared" si="15"/>
        <v>10</v>
      </c>
      <c r="F171" s="1">
        <f t="shared" si="16"/>
        <v>10</v>
      </c>
      <c r="G171" s="1">
        <f t="shared" si="17"/>
        <v>0</v>
      </c>
      <c r="H171" s="1"/>
      <c r="I171" s="1"/>
      <c r="J171" s="1"/>
      <c r="K171" s="1"/>
      <c r="L171" s="1">
        <v>0</v>
      </c>
      <c r="M171" s="1"/>
      <c r="N171" s="1"/>
      <c r="O171" s="1"/>
      <c r="P171" s="1"/>
      <c r="Q171" s="1">
        <v>0</v>
      </c>
      <c r="R171" s="1">
        <v>0</v>
      </c>
      <c r="S171" s="1">
        <v>0</v>
      </c>
      <c r="T171" s="1">
        <v>6.5</v>
      </c>
      <c r="U171" s="1">
        <v>6.2</v>
      </c>
      <c r="V171" s="1">
        <v>6.3</v>
      </c>
      <c r="W171" s="1">
        <v>0</v>
      </c>
      <c r="X171" s="1">
        <v>4</v>
      </c>
      <c r="Y171" s="1">
        <v>-6.3</v>
      </c>
      <c r="Z171" s="1" t="s">
        <v>1229</v>
      </c>
      <c r="AA171" s="1" t="s">
        <v>1161</v>
      </c>
      <c r="AB171" s="1" t="s">
        <v>1169</v>
      </c>
      <c r="AC171" s="1">
        <v>-4.5</v>
      </c>
      <c r="AD171" s="1">
        <v>10</v>
      </c>
      <c r="AE171" s="1">
        <v>9</v>
      </c>
      <c r="AF171" s="1"/>
      <c r="AG171" s="1">
        <v>2.1486666666666698</v>
      </c>
      <c r="AH171" s="1"/>
      <c r="AI171" s="1"/>
      <c r="AJ171" s="1"/>
      <c r="AK171" s="1"/>
      <c r="AL171" s="1"/>
      <c r="AM171" s="1"/>
      <c r="AN171" s="1"/>
      <c r="AO171" s="1"/>
      <c r="AP171" s="1"/>
      <c r="AQ171" s="1"/>
      <c r="AR171" s="1"/>
      <c r="AS171" s="1">
        <v>73</v>
      </c>
      <c r="AT171" s="1">
        <v>75</v>
      </c>
      <c r="AU171" s="1">
        <v>75.636363636363598</v>
      </c>
      <c r="AV171" s="1">
        <v>-2</v>
      </c>
      <c r="AW171" s="1">
        <v>-2.6363636363636398</v>
      </c>
      <c r="AX171" s="1">
        <v>10</v>
      </c>
      <c r="AY171" s="1">
        <v>0</v>
      </c>
      <c r="AZ171" s="1">
        <v>10</v>
      </c>
      <c r="BA171" s="1"/>
      <c r="BB171" s="1"/>
      <c r="BC171" s="1"/>
      <c r="BD171" s="1"/>
      <c r="BE171" s="1"/>
      <c r="BF171" s="1"/>
      <c r="BG171" s="1"/>
      <c r="BH171" s="1"/>
    </row>
    <row r="172" spans="1:60" x14ac:dyDescent="0.2">
      <c r="A172" s="3">
        <v>170</v>
      </c>
      <c r="B172" s="3" t="s">
        <v>982</v>
      </c>
      <c r="C172" s="3" t="s">
        <v>983</v>
      </c>
      <c r="D172" s="1"/>
      <c r="E172" s="1">
        <f t="shared" si="15"/>
        <v>3.6682486399026004</v>
      </c>
      <c r="F172" s="1">
        <f t="shared" si="16"/>
        <v>6.5785123966942098</v>
      </c>
      <c r="G172" s="1">
        <f t="shared" si="17"/>
        <v>2.0454545454545499</v>
      </c>
      <c r="H172" s="1"/>
      <c r="I172" s="1"/>
      <c r="J172" s="1"/>
      <c r="K172" s="1"/>
      <c r="L172" s="1">
        <v>0</v>
      </c>
      <c r="M172" s="1">
        <v>0.4</v>
      </c>
      <c r="N172" s="1">
        <v>5</v>
      </c>
      <c r="O172" s="1">
        <v>4.5</v>
      </c>
      <c r="P172" s="1"/>
      <c r="Q172" s="1">
        <v>2.4750000000000001</v>
      </c>
      <c r="R172" s="1">
        <v>2.4750000000000001</v>
      </c>
      <c r="S172" s="1">
        <v>2.9643527204502802</v>
      </c>
      <c r="T172" s="1">
        <v>-3.8</v>
      </c>
      <c r="U172" s="1">
        <v>-0.8</v>
      </c>
      <c r="V172" s="1">
        <v>3.4</v>
      </c>
      <c r="W172" s="1">
        <v>-4.8</v>
      </c>
      <c r="X172" s="1">
        <v>3.8</v>
      </c>
      <c r="Y172" s="1">
        <v>-8.1999999999999993</v>
      </c>
      <c r="Z172" s="1" t="s">
        <v>1199</v>
      </c>
      <c r="AA172" s="1" t="s">
        <v>1147</v>
      </c>
      <c r="AB172" s="1" t="s">
        <v>224</v>
      </c>
      <c r="AC172" s="1">
        <v>-6.1</v>
      </c>
      <c r="AD172" s="1">
        <v>10</v>
      </c>
      <c r="AE172" s="1">
        <v>10</v>
      </c>
      <c r="AF172" s="1">
        <v>7.8666666666666698</v>
      </c>
      <c r="AG172" s="1">
        <v>7.8666666666666698</v>
      </c>
      <c r="AH172" s="1"/>
      <c r="AI172" s="1"/>
      <c r="AJ172" s="1"/>
      <c r="AK172" s="1"/>
      <c r="AL172" s="1"/>
      <c r="AM172" s="1"/>
      <c r="AN172" s="1"/>
      <c r="AO172" s="1"/>
      <c r="AP172" s="1"/>
      <c r="AQ172" s="1"/>
      <c r="AR172" s="1"/>
      <c r="AS172" s="1">
        <v>50</v>
      </c>
      <c r="AT172" s="1">
        <v>51</v>
      </c>
      <c r="AU172" s="1">
        <v>51.181818181818201</v>
      </c>
      <c r="AV172" s="1">
        <v>-1</v>
      </c>
      <c r="AW172" s="1">
        <v>-1.1818181818181801</v>
      </c>
      <c r="AX172" s="1">
        <v>6.3636363636363598</v>
      </c>
      <c r="AY172" s="1">
        <v>2.0454545454545499</v>
      </c>
      <c r="AZ172" s="1">
        <v>6.5785123966942098</v>
      </c>
      <c r="BA172" s="1"/>
      <c r="BB172" s="1"/>
      <c r="BC172" s="1"/>
      <c r="BD172" s="1"/>
      <c r="BE172" s="1"/>
      <c r="BF172" s="1"/>
      <c r="BG172" s="1"/>
      <c r="BH172" s="1"/>
    </row>
    <row r="173" spans="1:60" x14ac:dyDescent="0.2">
      <c r="A173" s="3">
        <v>171</v>
      </c>
      <c r="B173" s="3" t="s">
        <v>984</v>
      </c>
      <c r="C173" s="3" t="s">
        <v>985</v>
      </c>
      <c r="D173" s="1"/>
      <c r="E173" s="1">
        <f t="shared" si="15"/>
        <v>0</v>
      </c>
      <c r="F173" s="1">
        <f t="shared" si="16"/>
        <v>0</v>
      </c>
      <c r="G173" s="1">
        <f t="shared" si="17"/>
        <v>0</v>
      </c>
      <c r="H173" s="1"/>
      <c r="I173" s="1"/>
      <c r="J173" s="1"/>
      <c r="K173" s="1">
        <v>4</v>
      </c>
      <c r="L173" s="1">
        <v>6</v>
      </c>
      <c r="M173" s="1">
        <v>1.1000000000000001</v>
      </c>
      <c r="N173" s="1">
        <v>8</v>
      </c>
      <c r="O173" s="1"/>
      <c r="P173" s="1">
        <v>4</v>
      </c>
      <c r="Q173" s="1">
        <v>5.0333333333333297</v>
      </c>
      <c r="R173" s="1">
        <v>4.5166666666666702</v>
      </c>
      <c r="S173" s="1">
        <v>10</v>
      </c>
      <c r="T173" s="1"/>
      <c r="U173" s="1"/>
      <c r="V173" s="1"/>
      <c r="W173" s="1"/>
      <c r="X173" s="1"/>
      <c r="Y173" s="1"/>
      <c r="Z173" s="1" t="s">
        <v>1184</v>
      </c>
      <c r="AA173" s="1" t="s">
        <v>1194</v>
      </c>
      <c r="AB173" s="1" t="s">
        <v>1178</v>
      </c>
      <c r="AC173" s="1">
        <v>-1.1000000000000001</v>
      </c>
      <c r="AD173" s="1"/>
      <c r="AE173" s="1">
        <v>2.2000000000000002</v>
      </c>
      <c r="AF173" s="1"/>
      <c r="AG173" s="1">
        <v>10</v>
      </c>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row>
    <row r="174" spans="1:60" x14ac:dyDescent="0.2">
      <c r="A174" s="3">
        <v>172</v>
      </c>
      <c r="B174" s="3" t="s">
        <v>986</v>
      </c>
      <c r="C174" s="3" t="s">
        <v>987</v>
      </c>
      <c r="D174" s="1"/>
      <c r="E174" s="1">
        <f t="shared" si="15"/>
        <v>2.702365605310165</v>
      </c>
      <c r="F174" s="1">
        <f t="shared" si="16"/>
        <v>5.3553719008264498</v>
      </c>
      <c r="G174" s="1">
        <f t="shared" si="17"/>
        <v>1.36363636363637</v>
      </c>
      <c r="H174" s="1"/>
      <c r="I174" s="1"/>
      <c r="J174" s="1"/>
      <c r="K174" s="1">
        <v>3</v>
      </c>
      <c r="L174" s="1">
        <v>0</v>
      </c>
      <c r="M174" s="1">
        <v>1.5</v>
      </c>
      <c r="N174" s="1"/>
      <c r="O174" s="1"/>
      <c r="P174" s="1">
        <v>3</v>
      </c>
      <c r="Q174" s="1">
        <v>0.75</v>
      </c>
      <c r="R174" s="1">
        <v>1.875</v>
      </c>
      <c r="S174" s="1">
        <v>0.26266416510318902</v>
      </c>
      <c r="T174" s="1"/>
      <c r="U174" s="1"/>
      <c r="V174" s="1"/>
      <c r="W174" s="1"/>
      <c r="X174" s="1"/>
      <c r="Y174" s="1"/>
      <c r="Z174" s="1" t="s">
        <v>103</v>
      </c>
      <c r="AA174" s="1" t="s">
        <v>1191</v>
      </c>
      <c r="AB174" s="1" t="s">
        <v>889</v>
      </c>
      <c r="AC174" s="1">
        <v>-4.5</v>
      </c>
      <c r="AD174" s="1"/>
      <c r="AE174" s="1">
        <v>9</v>
      </c>
      <c r="AF174" s="1"/>
      <c r="AG174" s="1">
        <v>7.0966666666666702</v>
      </c>
      <c r="AH174" s="1"/>
      <c r="AI174" s="1"/>
      <c r="AJ174" s="1"/>
      <c r="AK174" s="1"/>
      <c r="AL174" s="1"/>
      <c r="AM174" s="1"/>
      <c r="AN174" s="1"/>
      <c r="AO174" s="1"/>
      <c r="AP174" s="1"/>
      <c r="AQ174" s="1"/>
      <c r="AR174" s="1"/>
      <c r="AS174" s="1">
        <v>43</v>
      </c>
      <c r="AT174" s="1">
        <v>45</v>
      </c>
      <c r="AU174" s="1">
        <v>44.454545454545503</v>
      </c>
      <c r="AV174" s="1">
        <v>-2</v>
      </c>
      <c r="AW174" s="1">
        <v>-1.4545454545454499</v>
      </c>
      <c r="AX174" s="1">
        <v>5.0909090909090899</v>
      </c>
      <c r="AY174" s="1">
        <v>1.36363636363637</v>
      </c>
      <c r="AZ174" s="1">
        <v>5.3553719008264498</v>
      </c>
      <c r="BA174" s="1">
        <v>2E-3</v>
      </c>
      <c r="BB174" s="1">
        <v>9.9999999999999603E-2</v>
      </c>
      <c r="BC174" s="1"/>
      <c r="BD174" s="1"/>
      <c r="BE174" s="1"/>
      <c r="BF174" s="1"/>
      <c r="BG174" s="1"/>
      <c r="BH174" s="1"/>
    </row>
    <row r="175" spans="1:60" x14ac:dyDescent="0.2">
      <c r="A175" s="3">
        <v>173</v>
      </c>
      <c r="B175" s="3" t="s">
        <v>991</v>
      </c>
      <c r="C175" s="3" t="s">
        <v>992</v>
      </c>
      <c r="D175" s="1"/>
      <c r="E175" s="1">
        <f t="shared" si="15"/>
        <v>5.6732993989938132</v>
      </c>
      <c r="F175" s="1">
        <f t="shared" si="16"/>
        <v>6.74380165289256</v>
      </c>
      <c r="G175" s="1">
        <f t="shared" si="17"/>
        <v>4.7727272727272698</v>
      </c>
      <c r="H175" s="1"/>
      <c r="I175" s="1"/>
      <c r="J175" s="1"/>
      <c r="K175" s="1">
        <v>4</v>
      </c>
      <c r="L175" s="1">
        <v>0</v>
      </c>
      <c r="M175" s="1">
        <v>0.5</v>
      </c>
      <c r="N175" s="1"/>
      <c r="O175" s="1">
        <v>5</v>
      </c>
      <c r="P175" s="1">
        <v>4</v>
      </c>
      <c r="Q175" s="1">
        <v>1.8333333333333299</v>
      </c>
      <c r="R175" s="1">
        <v>2.9166666666666701</v>
      </c>
      <c r="S175" s="1">
        <v>4.9530956848030003</v>
      </c>
      <c r="T175" s="1">
        <v>1.9</v>
      </c>
      <c r="U175" s="1">
        <v>2.7</v>
      </c>
      <c r="V175" s="1">
        <v>1</v>
      </c>
      <c r="W175" s="1">
        <v>-4</v>
      </c>
      <c r="X175" s="1">
        <v>4.2</v>
      </c>
      <c r="Y175" s="1">
        <v>-5</v>
      </c>
      <c r="Z175" s="1" t="s">
        <v>121</v>
      </c>
      <c r="AA175" s="1" t="s">
        <v>1262</v>
      </c>
      <c r="AB175" s="1" t="s">
        <v>1195</v>
      </c>
      <c r="AC175" s="1">
        <v>-5.3</v>
      </c>
      <c r="AD175" s="1">
        <v>10</v>
      </c>
      <c r="AE175" s="1">
        <v>10</v>
      </c>
      <c r="AF175" s="1">
        <v>9.4</v>
      </c>
      <c r="AG175" s="1">
        <v>8.0293333333333301</v>
      </c>
      <c r="AH175" s="1">
        <v>1</v>
      </c>
      <c r="AI175" s="1">
        <v>1</v>
      </c>
      <c r="AJ175" s="1">
        <v>1</v>
      </c>
      <c r="AK175" s="1">
        <v>0</v>
      </c>
      <c r="AL175" s="1">
        <v>0.5</v>
      </c>
      <c r="AM175" s="1">
        <v>1</v>
      </c>
      <c r="AN175" s="1">
        <v>1</v>
      </c>
      <c r="AO175" s="1">
        <v>0</v>
      </c>
      <c r="AP175" s="1">
        <v>1</v>
      </c>
      <c r="AQ175" s="1">
        <v>4.5</v>
      </c>
      <c r="AR175" s="1">
        <v>10</v>
      </c>
      <c r="AS175" s="1">
        <v>52</v>
      </c>
      <c r="AT175" s="1">
        <v>52</v>
      </c>
      <c r="AU175" s="1">
        <v>52.090909090909101</v>
      </c>
      <c r="AV175" s="1">
        <v>0</v>
      </c>
      <c r="AW175" s="1">
        <v>-9.0909090909093507E-2</v>
      </c>
      <c r="AX175" s="1">
        <v>6.7272727272727302</v>
      </c>
      <c r="AY175" s="1">
        <v>4.7727272727272698</v>
      </c>
      <c r="AZ175" s="1">
        <v>6.74380165289256</v>
      </c>
      <c r="BA175" s="1">
        <v>0.159</v>
      </c>
      <c r="BB175" s="1">
        <v>7.95</v>
      </c>
      <c r="BC175" s="1"/>
      <c r="BD175" s="1"/>
      <c r="BE175" s="1"/>
      <c r="BF175" s="1"/>
      <c r="BG175" s="1"/>
      <c r="BH175" s="1"/>
    </row>
    <row r="176" spans="1:60" x14ac:dyDescent="0.2">
      <c r="A176" s="3">
        <v>174</v>
      </c>
      <c r="B176" s="3" t="s">
        <v>995</v>
      </c>
      <c r="C176" s="3" t="s">
        <v>996</v>
      </c>
      <c r="D176" s="1"/>
      <c r="E176" s="1">
        <f t="shared" si="15"/>
        <v>6.7564700327004994</v>
      </c>
      <c r="F176" s="1">
        <f t="shared" si="16"/>
        <v>7.1735537190082601</v>
      </c>
      <c r="G176" s="1">
        <f t="shared" si="17"/>
        <v>6.3636363636363704</v>
      </c>
      <c r="H176" s="1"/>
      <c r="I176" s="1">
        <v>3</v>
      </c>
      <c r="J176" s="1">
        <v>3</v>
      </c>
      <c r="K176" s="1">
        <v>4</v>
      </c>
      <c r="L176" s="1">
        <v>0</v>
      </c>
      <c r="M176" s="1">
        <v>0.8</v>
      </c>
      <c r="N176" s="1">
        <v>0</v>
      </c>
      <c r="O176" s="1">
        <v>3.4</v>
      </c>
      <c r="P176" s="1">
        <v>3.3333333333333299</v>
      </c>
      <c r="Q176" s="1">
        <v>1.05</v>
      </c>
      <c r="R176" s="1">
        <v>2.19166666666667</v>
      </c>
      <c r="S176" s="1">
        <v>1.6885553470919299</v>
      </c>
      <c r="T176" s="1">
        <v>7.5</v>
      </c>
      <c r="U176" s="1">
        <v>2.8</v>
      </c>
      <c r="V176" s="1">
        <v>0.9</v>
      </c>
      <c r="W176" s="1">
        <v>-3.8</v>
      </c>
      <c r="X176" s="1">
        <v>5</v>
      </c>
      <c r="Y176" s="1">
        <v>-4.7</v>
      </c>
      <c r="Z176" s="1" t="s">
        <v>669</v>
      </c>
      <c r="AA176" s="1" t="s">
        <v>1151</v>
      </c>
      <c r="AB176" s="1" t="s">
        <v>1232</v>
      </c>
      <c r="AC176" s="1">
        <v>-5.9</v>
      </c>
      <c r="AD176" s="1">
        <v>9.4</v>
      </c>
      <c r="AE176" s="1">
        <v>10</v>
      </c>
      <c r="AF176" s="1">
        <v>3</v>
      </c>
      <c r="AG176" s="1">
        <v>6.6566666666666698</v>
      </c>
      <c r="AH176" s="1">
        <v>1</v>
      </c>
      <c r="AI176" s="1">
        <v>1</v>
      </c>
      <c r="AJ176" s="1">
        <v>0</v>
      </c>
      <c r="AK176" s="1">
        <v>0</v>
      </c>
      <c r="AL176" s="1">
        <v>0</v>
      </c>
      <c r="AM176" s="1">
        <v>0</v>
      </c>
      <c r="AN176" s="1">
        <v>0</v>
      </c>
      <c r="AO176" s="1">
        <v>0</v>
      </c>
      <c r="AP176" s="1">
        <v>1</v>
      </c>
      <c r="AQ176" s="1">
        <v>2</v>
      </c>
      <c r="AR176" s="1">
        <v>9.5238095238095202</v>
      </c>
      <c r="AS176" s="1">
        <v>55</v>
      </c>
      <c r="AT176" s="1">
        <v>55</v>
      </c>
      <c r="AU176" s="1">
        <v>54.454545454545503</v>
      </c>
      <c r="AV176" s="1">
        <v>0</v>
      </c>
      <c r="AW176" s="1">
        <v>0.54545454545454697</v>
      </c>
      <c r="AX176" s="1">
        <v>7.2727272727272698</v>
      </c>
      <c r="AY176" s="1">
        <v>6.3636363636363704</v>
      </c>
      <c r="AZ176" s="1">
        <v>7.1735537190082601</v>
      </c>
      <c r="BA176" s="1">
        <v>0.10299999999999999</v>
      </c>
      <c r="BB176" s="1">
        <v>5.15</v>
      </c>
      <c r="BC176" s="1"/>
      <c r="BD176" s="1"/>
      <c r="BE176" s="1"/>
      <c r="BF176" s="1"/>
      <c r="BG176" s="1"/>
      <c r="BH176" s="1"/>
    </row>
    <row r="177" spans="1:60" x14ac:dyDescent="0.2">
      <c r="A177" s="3">
        <v>175</v>
      </c>
      <c r="B177" s="3" t="s">
        <v>1001</v>
      </c>
      <c r="C177" s="3" t="s">
        <v>1002</v>
      </c>
      <c r="D177" s="1"/>
      <c r="E177" s="1">
        <f t="shared" si="15"/>
        <v>0</v>
      </c>
      <c r="F177" s="1">
        <f t="shared" si="16"/>
        <v>0</v>
      </c>
      <c r="G177" s="1">
        <f t="shared" si="17"/>
        <v>0</v>
      </c>
      <c r="H177" s="1"/>
      <c r="I177" s="1"/>
      <c r="J177" s="1"/>
      <c r="K177" s="1"/>
      <c r="L177" s="1">
        <v>3</v>
      </c>
      <c r="M177" s="1"/>
      <c r="N177" s="1"/>
      <c r="O177" s="1"/>
      <c r="P177" s="1"/>
      <c r="Q177" s="1">
        <v>3</v>
      </c>
      <c r="R177" s="1">
        <v>3</v>
      </c>
      <c r="S177" s="1">
        <v>5.3283302063789897</v>
      </c>
      <c r="T177" s="1"/>
      <c r="U177" s="1"/>
      <c r="V177" s="1"/>
      <c r="W177" s="1"/>
      <c r="X177" s="1"/>
      <c r="Y177" s="1"/>
      <c r="Z177" s="1" t="s">
        <v>1005</v>
      </c>
      <c r="AA177" s="1" t="s">
        <v>1212</v>
      </c>
      <c r="AB177" s="1" t="s">
        <v>1177</v>
      </c>
      <c r="AC177" s="1">
        <v>-7</v>
      </c>
      <c r="AD177" s="1"/>
      <c r="AE177" s="1">
        <v>10</v>
      </c>
      <c r="AF177" s="1"/>
      <c r="AG177" s="1">
        <v>4.03</v>
      </c>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row>
    <row r="178" spans="1:60" x14ac:dyDescent="0.2">
      <c r="A178" s="3">
        <v>176</v>
      </c>
      <c r="B178" s="3" t="s">
        <v>1003</v>
      </c>
      <c r="C178" s="3" t="s">
        <v>1004</v>
      </c>
      <c r="D178" s="1"/>
      <c r="E178" s="1">
        <f t="shared" si="15"/>
        <v>6.0426731935308835</v>
      </c>
      <c r="F178" s="1">
        <f t="shared" si="16"/>
        <v>8.0330578512396702</v>
      </c>
      <c r="G178" s="1">
        <f t="shared" si="17"/>
        <v>4.5454545454545503</v>
      </c>
      <c r="H178" s="1"/>
      <c r="I178" s="1">
        <v>5</v>
      </c>
      <c r="J178" s="1">
        <v>3</v>
      </c>
      <c r="K178" s="1">
        <v>4</v>
      </c>
      <c r="L178" s="1">
        <v>0</v>
      </c>
      <c r="M178" s="1">
        <v>0.6</v>
      </c>
      <c r="N178" s="1">
        <v>6</v>
      </c>
      <c r="O178" s="1">
        <v>3</v>
      </c>
      <c r="P178" s="1">
        <v>4</v>
      </c>
      <c r="Q178" s="1">
        <v>2.4</v>
      </c>
      <c r="R178" s="1">
        <v>3.2</v>
      </c>
      <c r="S178" s="1">
        <v>6.2288930581613497</v>
      </c>
      <c r="T178" s="1">
        <v>6.8</v>
      </c>
      <c r="U178" s="1">
        <v>5.4</v>
      </c>
      <c r="V178" s="1">
        <v>5.8</v>
      </c>
      <c r="W178" s="1">
        <v>2.5</v>
      </c>
      <c r="X178" s="1">
        <v>5.5</v>
      </c>
      <c r="Y178" s="1">
        <v>-3.3</v>
      </c>
      <c r="Z178" s="1" t="s">
        <v>1229</v>
      </c>
      <c r="AA178" s="1" t="s">
        <v>147</v>
      </c>
      <c r="AB178" s="1" t="s">
        <v>1168</v>
      </c>
      <c r="AC178" s="1">
        <v>-4.3</v>
      </c>
      <c r="AD178" s="1">
        <v>6.6</v>
      </c>
      <c r="AE178" s="1">
        <v>8.6</v>
      </c>
      <c r="AF178" s="1">
        <v>1.6666666666666701</v>
      </c>
      <c r="AG178" s="1">
        <v>2.802</v>
      </c>
      <c r="AH178" s="1"/>
      <c r="AI178" s="1"/>
      <c r="AJ178" s="1"/>
      <c r="AK178" s="1"/>
      <c r="AL178" s="1"/>
      <c r="AM178" s="1"/>
      <c r="AN178" s="1"/>
      <c r="AO178" s="1"/>
      <c r="AP178" s="1"/>
      <c r="AQ178" s="1"/>
      <c r="AR178" s="1"/>
      <c r="AS178" s="1">
        <v>59</v>
      </c>
      <c r="AT178" s="1">
        <v>59</v>
      </c>
      <c r="AU178" s="1">
        <v>59.181818181818201</v>
      </c>
      <c r="AV178" s="1">
        <v>0</v>
      </c>
      <c r="AW178" s="1">
        <v>-0.18181818181817999</v>
      </c>
      <c r="AX178" s="1">
        <v>8</v>
      </c>
      <c r="AY178" s="1">
        <v>4.5454545454545503</v>
      </c>
      <c r="AZ178" s="1">
        <v>8.0330578512396702</v>
      </c>
      <c r="BA178" s="1"/>
      <c r="BB178" s="1"/>
      <c r="BC178" s="1"/>
      <c r="BD178" s="1"/>
      <c r="BE178" s="1"/>
      <c r="BF178" s="1"/>
      <c r="BG178" s="1"/>
      <c r="BH178" s="1"/>
    </row>
    <row r="179" spans="1:60" x14ac:dyDescent="0.2">
      <c r="A179" s="3">
        <v>177</v>
      </c>
      <c r="B179" s="3" t="s">
        <v>1007</v>
      </c>
      <c r="C179" s="3" t="s">
        <v>1008</v>
      </c>
      <c r="D179" s="1"/>
      <c r="E179" s="1">
        <f t="shared" si="15"/>
        <v>7.4374425857534332</v>
      </c>
      <c r="F179" s="1">
        <f t="shared" si="16"/>
        <v>7.8512396694214903</v>
      </c>
      <c r="G179" s="1">
        <f t="shared" si="17"/>
        <v>7.0454545454545503</v>
      </c>
      <c r="H179" s="1"/>
      <c r="I179" s="1">
        <v>5</v>
      </c>
      <c r="J179" s="1">
        <v>4</v>
      </c>
      <c r="K179" s="1">
        <v>3</v>
      </c>
      <c r="L179" s="1">
        <v>0</v>
      </c>
      <c r="M179" s="1">
        <v>0.7</v>
      </c>
      <c r="N179" s="1">
        <v>8</v>
      </c>
      <c r="O179" s="1">
        <v>3.9</v>
      </c>
      <c r="P179" s="1">
        <v>4</v>
      </c>
      <c r="Q179" s="1">
        <v>3.15</v>
      </c>
      <c r="R179" s="1">
        <v>3.5750000000000002</v>
      </c>
      <c r="S179" s="1">
        <v>7.9174484052532899</v>
      </c>
      <c r="T179" s="1">
        <v>3.9</v>
      </c>
      <c r="U179" s="1">
        <v>6.2</v>
      </c>
      <c r="V179" s="1">
        <v>6.5</v>
      </c>
      <c r="W179" s="1">
        <v>3.3</v>
      </c>
      <c r="X179" s="1">
        <v>3.7</v>
      </c>
      <c r="Y179" s="1">
        <v>-3.2</v>
      </c>
      <c r="Z179" s="1" t="s">
        <v>362</v>
      </c>
      <c r="AA179" s="1" t="s">
        <v>1177</v>
      </c>
      <c r="AB179" s="1" t="s">
        <v>1218</v>
      </c>
      <c r="AC179" s="1">
        <v>-1.4</v>
      </c>
      <c r="AD179" s="1">
        <v>6.4</v>
      </c>
      <c r="AE179" s="1">
        <v>2.8</v>
      </c>
      <c r="AF179" s="1">
        <v>4.4000000000000004</v>
      </c>
      <c r="AG179" s="1">
        <v>3.5253333333333301</v>
      </c>
      <c r="AH179" s="1">
        <v>0</v>
      </c>
      <c r="AI179" s="1">
        <v>0</v>
      </c>
      <c r="AJ179" s="1">
        <v>0</v>
      </c>
      <c r="AK179" s="1">
        <v>0</v>
      </c>
      <c r="AL179" s="1">
        <v>0</v>
      </c>
      <c r="AM179" s="1">
        <v>0</v>
      </c>
      <c r="AN179" s="1">
        <v>0</v>
      </c>
      <c r="AO179" s="1">
        <v>0</v>
      </c>
      <c r="AP179" s="1">
        <v>0</v>
      </c>
      <c r="AQ179" s="1">
        <v>0</v>
      </c>
      <c r="AR179" s="1">
        <v>0</v>
      </c>
      <c r="AS179" s="1">
        <v>59</v>
      </c>
      <c r="AT179" s="1">
        <v>59</v>
      </c>
      <c r="AU179" s="1">
        <v>58.181818181818201</v>
      </c>
      <c r="AV179" s="1">
        <v>0</v>
      </c>
      <c r="AW179" s="1">
        <v>0.81818181818182001</v>
      </c>
      <c r="AX179" s="1">
        <v>8</v>
      </c>
      <c r="AY179" s="1">
        <v>7.0454545454545503</v>
      </c>
      <c r="AZ179" s="1">
        <v>7.8512396694214903</v>
      </c>
      <c r="BA179" s="1">
        <v>0.13800000000000001</v>
      </c>
      <c r="BB179" s="1">
        <v>6.9</v>
      </c>
      <c r="BC179" s="1"/>
      <c r="BD179" s="1"/>
      <c r="BE179" s="1"/>
      <c r="BF179" s="1"/>
      <c r="BG179" s="1"/>
      <c r="BH179" s="1"/>
    </row>
    <row r="180" spans="1:60" x14ac:dyDescent="0.2">
      <c r="A180" s="3">
        <v>178</v>
      </c>
      <c r="B180" s="3" t="s">
        <v>1011</v>
      </c>
      <c r="C180" s="3" t="s">
        <v>1012</v>
      </c>
      <c r="D180" s="1"/>
      <c r="E180" s="1">
        <f t="shared" si="15"/>
        <v>5.8724227846249555</v>
      </c>
      <c r="F180" s="1">
        <f t="shared" si="16"/>
        <v>8.4297520661157002</v>
      </c>
      <c r="G180" s="1">
        <f t="shared" si="17"/>
        <v>4.0909090909090802</v>
      </c>
      <c r="H180" s="1"/>
      <c r="I180" s="1">
        <v>5</v>
      </c>
      <c r="J180" s="1">
        <v>3</v>
      </c>
      <c r="K180" s="1">
        <v>3</v>
      </c>
      <c r="L180" s="1">
        <v>4</v>
      </c>
      <c r="M180" s="1">
        <v>0.5</v>
      </c>
      <c r="N180" s="1">
        <v>0</v>
      </c>
      <c r="O180" s="1">
        <v>4.0999999999999996</v>
      </c>
      <c r="P180" s="1">
        <v>3.6666666666666701</v>
      </c>
      <c r="Q180" s="1">
        <v>2.15</v>
      </c>
      <c r="R180" s="1">
        <v>2.9083333333333301</v>
      </c>
      <c r="S180" s="1">
        <v>4.9155722326453999</v>
      </c>
      <c r="T180" s="1">
        <v>2.5</v>
      </c>
      <c r="U180" s="1">
        <v>3.3</v>
      </c>
      <c r="V180" s="1">
        <v>3.2</v>
      </c>
      <c r="W180" s="1">
        <v>-3.5</v>
      </c>
      <c r="X180" s="1">
        <v>3</v>
      </c>
      <c r="Y180" s="1">
        <v>-6.7</v>
      </c>
      <c r="Z180" s="1" t="s">
        <v>1202</v>
      </c>
      <c r="AA180" s="1" t="s">
        <v>1268</v>
      </c>
      <c r="AB180" s="1" t="s">
        <v>628</v>
      </c>
      <c r="AC180" s="1">
        <v>-10.9</v>
      </c>
      <c r="AD180" s="1">
        <v>10</v>
      </c>
      <c r="AE180" s="1">
        <v>10</v>
      </c>
      <c r="AF180" s="1">
        <v>7</v>
      </c>
      <c r="AG180" s="1">
        <v>8.1333333333333293</v>
      </c>
      <c r="AH180" s="1">
        <v>0</v>
      </c>
      <c r="AI180" s="1">
        <v>1</v>
      </c>
      <c r="AJ180" s="1">
        <v>0</v>
      </c>
      <c r="AK180" s="1">
        <v>1</v>
      </c>
      <c r="AL180" s="1">
        <v>0</v>
      </c>
      <c r="AM180" s="1">
        <v>0</v>
      </c>
      <c r="AN180" s="1">
        <v>0</v>
      </c>
      <c r="AO180" s="1">
        <v>0.5</v>
      </c>
      <c r="AP180" s="1">
        <v>1</v>
      </c>
      <c r="AQ180" s="1">
        <v>2</v>
      </c>
      <c r="AR180" s="1">
        <v>9.5238095238095202</v>
      </c>
      <c r="AS180" s="1">
        <v>61</v>
      </c>
      <c r="AT180" s="1">
        <v>61</v>
      </c>
      <c r="AU180" s="1">
        <v>61.363636363636402</v>
      </c>
      <c r="AV180" s="1">
        <v>0</v>
      </c>
      <c r="AW180" s="1">
        <v>-0.36363636363636698</v>
      </c>
      <c r="AX180" s="1">
        <v>8.3636363636363598</v>
      </c>
      <c r="AY180" s="1">
        <v>4.0909090909090802</v>
      </c>
      <c r="AZ180" s="1">
        <v>8.4297520661157002</v>
      </c>
      <c r="BA180" s="1">
        <v>0.17799999999999999</v>
      </c>
      <c r="BB180" s="1">
        <v>8.9</v>
      </c>
      <c r="BC180" s="1"/>
      <c r="BD180" s="1"/>
      <c r="BE180" s="1"/>
      <c r="BF180" s="1"/>
      <c r="BG180" s="1"/>
      <c r="BH180" s="1"/>
    </row>
    <row r="181" spans="1:60" x14ac:dyDescent="0.2">
      <c r="A181" s="3">
        <v>179</v>
      </c>
      <c r="B181" s="3" t="s">
        <v>1015</v>
      </c>
      <c r="C181" s="3" t="s">
        <v>1016</v>
      </c>
      <c r="D181" s="1"/>
      <c r="E181" s="1">
        <f t="shared" si="15"/>
        <v>2.7086138578254126</v>
      </c>
      <c r="F181" s="1">
        <f t="shared" si="16"/>
        <v>4.6115702479338898</v>
      </c>
      <c r="G181" s="1">
        <f t="shared" si="17"/>
        <v>1.5909090909090799</v>
      </c>
      <c r="H181" s="1"/>
      <c r="I181" s="1">
        <v>4</v>
      </c>
      <c r="J181" s="1">
        <v>4</v>
      </c>
      <c r="K181" s="1">
        <v>4</v>
      </c>
      <c r="L181" s="1">
        <v>0</v>
      </c>
      <c r="M181" s="1">
        <v>1.5</v>
      </c>
      <c r="N181" s="1">
        <v>0</v>
      </c>
      <c r="O181" s="1">
        <v>4.4000000000000004</v>
      </c>
      <c r="P181" s="1">
        <v>4</v>
      </c>
      <c r="Q181" s="1">
        <v>1.4750000000000001</v>
      </c>
      <c r="R181" s="1">
        <v>2.7374999999999998</v>
      </c>
      <c r="S181" s="1">
        <v>4.1463414634146298</v>
      </c>
      <c r="T181" s="1">
        <v>2.6</v>
      </c>
      <c r="U181" s="1">
        <v>1.6</v>
      </c>
      <c r="V181" s="1">
        <v>0.2</v>
      </c>
      <c r="W181" s="1">
        <v>-3.7</v>
      </c>
      <c r="X181" s="1">
        <v>4.5999999999999996</v>
      </c>
      <c r="Y181" s="1">
        <v>-3.9</v>
      </c>
      <c r="Z181" s="1" t="s">
        <v>309</v>
      </c>
      <c r="AA181" s="1" t="s">
        <v>1147</v>
      </c>
      <c r="AB181" s="1" t="s">
        <v>1232</v>
      </c>
      <c r="AC181" s="1">
        <v>-3.2</v>
      </c>
      <c r="AD181" s="1">
        <v>7.8</v>
      </c>
      <c r="AE181" s="1">
        <v>6.4</v>
      </c>
      <c r="AF181" s="1">
        <v>6.2</v>
      </c>
      <c r="AG181" s="1">
        <v>6.3333333333333304</v>
      </c>
      <c r="AH181" s="1">
        <v>0</v>
      </c>
      <c r="AI181" s="1">
        <v>0</v>
      </c>
      <c r="AJ181" s="1">
        <v>0</v>
      </c>
      <c r="AK181" s="1">
        <v>0</v>
      </c>
      <c r="AL181" s="1">
        <v>0.5</v>
      </c>
      <c r="AM181" s="1">
        <v>0</v>
      </c>
      <c r="AN181" s="1">
        <v>0</v>
      </c>
      <c r="AO181" s="1">
        <v>0</v>
      </c>
      <c r="AP181" s="1">
        <v>0</v>
      </c>
      <c r="AQ181" s="1">
        <v>0.5</v>
      </c>
      <c r="AR181" s="1">
        <v>2.38095238095238</v>
      </c>
      <c r="AS181" s="1">
        <v>39</v>
      </c>
      <c r="AT181" s="1">
        <v>41</v>
      </c>
      <c r="AU181" s="1">
        <v>40.363636363636402</v>
      </c>
      <c r="AV181" s="1">
        <v>-2</v>
      </c>
      <c r="AW181" s="1">
        <v>-1.36363636363637</v>
      </c>
      <c r="AX181" s="1">
        <v>4.3636363636363598</v>
      </c>
      <c r="AY181" s="1">
        <v>1.5909090909090799</v>
      </c>
      <c r="AZ181" s="1">
        <v>4.6115702479338898</v>
      </c>
      <c r="BA181" s="1">
        <v>0.14299999999999999</v>
      </c>
      <c r="BB181" s="1">
        <v>7.15</v>
      </c>
      <c r="BC181" s="1"/>
      <c r="BD181" s="1"/>
      <c r="BE181" s="1"/>
      <c r="BF181" s="1"/>
      <c r="BG181" s="1"/>
      <c r="BH181" s="1"/>
    </row>
    <row r="182" spans="1:60" x14ac:dyDescent="0.2">
      <c r="A182" s="3">
        <v>180</v>
      </c>
      <c r="B182" s="3" t="s">
        <v>1019</v>
      </c>
      <c r="C182" s="3" t="s">
        <v>1020</v>
      </c>
      <c r="D182" s="1"/>
      <c r="E182" s="1">
        <f t="shared" si="15"/>
        <v>1.8130091709487857</v>
      </c>
      <c r="F182" s="1">
        <f t="shared" si="16"/>
        <v>2.06611570247934</v>
      </c>
      <c r="G182" s="1">
        <f t="shared" si="17"/>
        <v>1.5909090909090899</v>
      </c>
      <c r="H182" s="1"/>
      <c r="I182" s="1">
        <v>3</v>
      </c>
      <c r="J182" s="1">
        <v>3</v>
      </c>
      <c r="K182" s="1">
        <v>3</v>
      </c>
      <c r="L182" s="1">
        <v>0</v>
      </c>
      <c r="M182" s="1">
        <v>0.2</v>
      </c>
      <c r="N182" s="1"/>
      <c r="O182" s="1">
        <v>4</v>
      </c>
      <c r="P182" s="1">
        <v>3</v>
      </c>
      <c r="Q182" s="1">
        <v>1.4</v>
      </c>
      <c r="R182" s="1">
        <v>2.2000000000000002</v>
      </c>
      <c r="S182" s="1">
        <v>1.7260787992495299</v>
      </c>
      <c r="T182" s="1">
        <v>2.4</v>
      </c>
      <c r="U182" s="1">
        <v>2.9</v>
      </c>
      <c r="V182" s="1">
        <v>2.2999999999999998</v>
      </c>
      <c r="W182" s="1">
        <v>-6.1</v>
      </c>
      <c r="X182" s="1">
        <v>4</v>
      </c>
      <c r="Y182" s="1">
        <v>-8.4</v>
      </c>
      <c r="Z182" s="1" t="s">
        <v>718</v>
      </c>
      <c r="AA182" s="1" t="s">
        <v>1269</v>
      </c>
      <c r="AB182" s="1" t="s">
        <v>210</v>
      </c>
      <c r="AC182" s="1">
        <v>-8.1999999999999993</v>
      </c>
      <c r="AD182" s="1">
        <v>10</v>
      </c>
      <c r="AE182" s="1">
        <v>10</v>
      </c>
      <c r="AF182" s="1"/>
      <c r="AG182" s="1">
        <v>6.1813333333333302</v>
      </c>
      <c r="AH182" s="1"/>
      <c r="AI182" s="1"/>
      <c r="AJ182" s="1"/>
      <c r="AK182" s="1"/>
      <c r="AL182" s="1"/>
      <c r="AM182" s="1"/>
      <c r="AN182" s="1"/>
      <c r="AO182" s="1"/>
      <c r="AP182" s="1"/>
      <c r="AQ182" s="1"/>
      <c r="AR182" s="1"/>
      <c r="AS182" s="1">
        <v>25</v>
      </c>
      <c r="AT182" s="1">
        <v>27</v>
      </c>
      <c r="AU182" s="1">
        <v>26.363636363636399</v>
      </c>
      <c r="AV182" s="1">
        <v>-2</v>
      </c>
      <c r="AW182" s="1">
        <v>-1.36363636363636</v>
      </c>
      <c r="AX182" s="1">
        <v>1.8181818181818199</v>
      </c>
      <c r="AY182" s="1">
        <v>1.5909090909090899</v>
      </c>
      <c r="AZ182" s="1">
        <v>2.06611570247934</v>
      </c>
      <c r="BA182" s="1"/>
      <c r="BB182" s="1"/>
      <c r="BC182" s="1"/>
      <c r="BD182" s="1"/>
      <c r="BE182" s="1"/>
      <c r="BF182" s="1"/>
      <c r="BG182" s="1"/>
      <c r="BH182" s="1"/>
    </row>
    <row r="183" spans="1:60" x14ac:dyDescent="0.2">
      <c r="A183" s="3">
        <v>181</v>
      </c>
      <c r="B183" s="3" t="s">
        <v>1022</v>
      </c>
      <c r="C183" s="3" t="s">
        <v>1023</v>
      </c>
      <c r="D183" s="1"/>
      <c r="E183" s="1">
        <f t="shared" si="15"/>
        <v>6.3001556275722637</v>
      </c>
      <c r="F183" s="1">
        <f t="shared" si="16"/>
        <v>9.7024793388429806</v>
      </c>
      <c r="G183" s="1">
        <f t="shared" si="17"/>
        <v>4.0909090909090997</v>
      </c>
      <c r="H183" s="1"/>
      <c r="I183" s="1">
        <v>3</v>
      </c>
      <c r="J183" s="1">
        <v>3</v>
      </c>
      <c r="K183" s="1">
        <v>0</v>
      </c>
      <c r="L183" s="1">
        <v>4</v>
      </c>
      <c r="M183" s="1">
        <v>2.9</v>
      </c>
      <c r="N183" s="1">
        <v>3</v>
      </c>
      <c r="O183" s="1">
        <v>3.1</v>
      </c>
      <c r="P183" s="1">
        <v>2</v>
      </c>
      <c r="Q183" s="1">
        <v>3.25</v>
      </c>
      <c r="R183" s="1">
        <v>2.625</v>
      </c>
      <c r="S183" s="1">
        <v>3.63977485928705</v>
      </c>
      <c r="T183" s="1">
        <v>4.5</v>
      </c>
      <c r="U183" s="1">
        <v>5.4</v>
      </c>
      <c r="V183" s="1">
        <v>5.6</v>
      </c>
      <c r="W183" s="1">
        <v>1.5</v>
      </c>
      <c r="X183" s="1">
        <v>6.6</v>
      </c>
      <c r="Y183" s="1">
        <v>-4.0999999999999996</v>
      </c>
      <c r="Z183" s="1" t="s">
        <v>1204</v>
      </c>
      <c r="AA183" s="1" t="s">
        <v>1161</v>
      </c>
      <c r="AB183" s="1" t="s">
        <v>1222</v>
      </c>
      <c r="AC183" s="1">
        <v>-3.8</v>
      </c>
      <c r="AD183" s="1">
        <v>8.1999999999999993</v>
      </c>
      <c r="AE183" s="1">
        <v>7.6</v>
      </c>
      <c r="AF183" s="1">
        <v>2.93333333333333</v>
      </c>
      <c r="AG183" s="1">
        <v>2.8666666666666698</v>
      </c>
      <c r="AH183" s="1"/>
      <c r="AI183" s="1"/>
      <c r="AJ183" s="1"/>
      <c r="AK183" s="1"/>
      <c r="AL183" s="1"/>
      <c r="AM183" s="1"/>
      <c r="AN183" s="1"/>
      <c r="AO183" s="1"/>
      <c r="AP183" s="1"/>
      <c r="AQ183" s="1"/>
      <c r="AR183" s="1"/>
      <c r="AS183" s="1">
        <v>68</v>
      </c>
      <c r="AT183" s="1">
        <v>68</v>
      </c>
      <c r="AU183" s="1">
        <v>68.363636363636402</v>
      </c>
      <c r="AV183" s="1">
        <v>0</v>
      </c>
      <c r="AW183" s="1">
        <v>-0.36363636363635998</v>
      </c>
      <c r="AX183" s="1">
        <v>9.6363636363636402</v>
      </c>
      <c r="AY183" s="1">
        <v>4.0909090909090997</v>
      </c>
      <c r="AZ183" s="1">
        <v>9.7024793388429806</v>
      </c>
      <c r="BA183" s="1"/>
      <c r="BB183" s="1"/>
      <c r="BC183" s="1"/>
      <c r="BD183" s="1"/>
      <c r="BE183" s="1"/>
      <c r="BF183" s="1"/>
      <c r="BG183" s="1"/>
      <c r="BH183" s="1"/>
    </row>
    <row r="184" spans="1:60" x14ac:dyDescent="0.2">
      <c r="A184" s="3">
        <v>182</v>
      </c>
      <c r="B184" s="3" t="s">
        <v>1026</v>
      </c>
      <c r="C184" s="3" t="s">
        <v>1027</v>
      </c>
      <c r="D184" s="1"/>
      <c r="E184" s="1">
        <f t="shared" si="15"/>
        <v>0</v>
      </c>
      <c r="F184" s="1">
        <f t="shared" si="16"/>
        <v>0</v>
      </c>
      <c r="G184" s="1">
        <f t="shared" si="17"/>
        <v>0</v>
      </c>
      <c r="H184" s="1"/>
      <c r="I184" s="1">
        <v>4</v>
      </c>
      <c r="J184" s="1">
        <v>5</v>
      </c>
      <c r="K184" s="1">
        <v>5</v>
      </c>
      <c r="L184" s="1">
        <v>3</v>
      </c>
      <c r="M184" s="1">
        <v>0.7</v>
      </c>
      <c r="N184" s="1">
        <v>3</v>
      </c>
      <c r="O184" s="1">
        <v>5.6</v>
      </c>
      <c r="P184" s="1">
        <v>4.6666666666666696</v>
      </c>
      <c r="Q184" s="1">
        <v>3.0750000000000002</v>
      </c>
      <c r="R184" s="1">
        <v>3.87083333333333</v>
      </c>
      <c r="S184" s="1">
        <v>9.2495309568480302</v>
      </c>
      <c r="T184" s="1">
        <v>1</v>
      </c>
      <c r="U184" s="1">
        <v>2</v>
      </c>
      <c r="V184" s="1">
        <v>0.4</v>
      </c>
      <c r="W184" s="1">
        <v>-5.5</v>
      </c>
      <c r="X184" s="1">
        <v>4</v>
      </c>
      <c r="Y184" s="1">
        <v>-5.9</v>
      </c>
      <c r="Z184" s="1" t="s">
        <v>1251</v>
      </c>
      <c r="AA184" s="1" t="s">
        <v>1191</v>
      </c>
      <c r="AB184" s="1" t="s">
        <v>1266</v>
      </c>
      <c r="AC184" s="1">
        <v>-4.9000000000000004</v>
      </c>
      <c r="AD184" s="1">
        <v>10</v>
      </c>
      <c r="AE184" s="1">
        <v>9.8000000000000007</v>
      </c>
      <c r="AF184" s="1">
        <v>10</v>
      </c>
      <c r="AG184" s="1">
        <v>7.9926666666666701</v>
      </c>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row>
    <row r="185" spans="1:60" x14ac:dyDescent="0.2">
      <c r="A185" s="3">
        <v>183</v>
      </c>
      <c r="B185" s="3" t="s">
        <v>1029</v>
      </c>
      <c r="C185" s="3" t="s">
        <v>1030</v>
      </c>
      <c r="D185" s="1"/>
      <c r="E185" s="1">
        <f t="shared" si="15"/>
        <v>7.0710678118654755</v>
      </c>
      <c r="F185" s="1">
        <f t="shared" si="16"/>
        <v>10</v>
      </c>
      <c r="G185" s="1">
        <f t="shared" si="17"/>
        <v>5</v>
      </c>
      <c r="H185" s="1"/>
      <c r="I185" s="1"/>
      <c r="J185" s="1"/>
      <c r="K185" s="1">
        <v>3</v>
      </c>
      <c r="L185" s="1"/>
      <c r="M185" s="1">
        <v>0.5</v>
      </c>
      <c r="N185" s="1"/>
      <c r="O185" s="1"/>
      <c r="P185" s="1">
        <v>3</v>
      </c>
      <c r="Q185" s="1">
        <v>0.5</v>
      </c>
      <c r="R185" s="1">
        <v>1.75</v>
      </c>
      <c r="S185" s="1">
        <v>0</v>
      </c>
      <c r="T185" s="1"/>
      <c r="U185" s="1"/>
      <c r="V185" s="1"/>
      <c r="W185" s="1"/>
      <c r="X185" s="1"/>
      <c r="Y185" s="1"/>
      <c r="Z185" s="1" t="s">
        <v>1270</v>
      </c>
      <c r="AA185" s="1" t="s">
        <v>1271</v>
      </c>
      <c r="AB185" s="1" t="s">
        <v>1151</v>
      </c>
      <c r="AC185" s="1">
        <v>20</v>
      </c>
      <c r="AD185" s="1"/>
      <c r="AE185" s="1">
        <v>0</v>
      </c>
      <c r="AF185" s="1"/>
      <c r="AG185" s="1">
        <v>10</v>
      </c>
      <c r="AH185" s="1"/>
      <c r="AI185" s="1"/>
      <c r="AJ185" s="1"/>
      <c r="AK185" s="1"/>
      <c r="AL185" s="1"/>
      <c r="AM185" s="1"/>
      <c r="AN185" s="1"/>
      <c r="AO185" s="1"/>
      <c r="AP185" s="1"/>
      <c r="AQ185" s="1"/>
      <c r="AR185" s="1"/>
      <c r="AS185" s="1">
        <v>86</v>
      </c>
      <c r="AT185" s="1">
        <v>86</v>
      </c>
      <c r="AU185" s="1">
        <v>86</v>
      </c>
      <c r="AV185" s="1">
        <v>0</v>
      </c>
      <c r="AW185" s="1">
        <v>0</v>
      </c>
      <c r="AX185" s="1">
        <v>10</v>
      </c>
      <c r="AY185" s="1">
        <v>5</v>
      </c>
      <c r="AZ185" s="1">
        <v>10</v>
      </c>
      <c r="BA185" s="1">
        <v>0.23499999999999999</v>
      </c>
      <c r="BB185" s="1">
        <v>10</v>
      </c>
      <c r="BC185" s="1"/>
      <c r="BD185" s="1"/>
      <c r="BE185" s="1"/>
      <c r="BF185" s="1"/>
      <c r="BG185" s="1"/>
      <c r="BH185" s="1"/>
    </row>
    <row r="186" spans="1:60" x14ac:dyDescent="0.2">
      <c r="A186" s="3">
        <v>184</v>
      </c>
      <c r="B186" s="3" t="s">
        <v>1033</v>
      </c>
      <c r="C186" s="3" t="s">
        <v>1034</v>
      </c>
      <c r="D186" s="1"/>
      <c r="E186" s="1">
        <f t="shared" si="15"/>
        <v>5.5926054001272671</v>
      </c>
      <c r="F186" s="1">
        <f t="shared" si="16"/>
        <v>5.9834710743801596</v>
      </c>
      <c r="G186" s="1">
        <f t="shared" si="17"/>
        <v>5.2272727272727302</v>
      </c>
      <c r="H186" s="1"/>
      <c r="I186" s="1"/>
      <c r="J186" s="1"/>
      <c r="K186" s="1">
        <v>3</v>
      </c>
      <c r="L186" s="1">
        <v>3</v>
      </c>
      <c r="M186" s="1">
        <v>0.3</v>
      </c>
      <c r="N186" s="1"/>
      <c r="O186" s="1">
        <v>3.4</v>
      </c>
      <c r="P186" s="1">
        <v>3</v>
      </c>
      <c r="Q186" s="1">
        <v>2.2333333333333298</v>
      </c>
      <c r="R186" s="1">
        <v>2.6166666666666698</v>
      </c>
      <c r="S186" s="1">
        <v>3.6022514071294598</v>
      </c>
      <c r="T186" s="1">
        <v>6.8</v>
      </c>
      <c r="U186" s="1">
        <v>7.1</v>
      </c>
      <c r="V186" s="1">
        <v>7</v>
      </c>
      <c r="W186" s="1">
        <v>2.8</v>
      </c>
      <c r="X186" s="1">
        <v>6.8</v>
      </c>
      <c r="Y186" s="1">
        <v>-4.2</v>
      </c>
      <c r="Z186" s="1" t="s">
        <v>1222</v>
      </c>
      <c r="AA186" s="1" t="s">
        <v>1176</v>
      </c>
      <c r="AB186" s="1" t="s">
        <v>1222</v>
      </c>
      <c r="AC186" s="1">
        <v>-4.3</v>
      </c>
      <c r="AD186" s="1">
        <v>8.4</v>
      </c>
      <c r="AE186" s="1">
        <v>8.6</v>
      </c>
      <c r="AF186" s="1">
        <v>1.4666666666666699</v>
      </c>
      <c r="AG186" s="1">
        <v>2.2666666666666702</v>
      </c>
      <c r="AH186" s="1">
        <v>0</v>
      </c>
      <c r="AI186" s="1">
        <v>0</v>
      </c>
      <c r="AJ186" s="1">
        <v>0</v>
      </c>
      <c r="AK186" s="1">
        <v>0</v>
      </c>
      <c r="AL186" s="1">
        <v>1</v>
      </c>
      <c r="AM186" s="1">
        <v>0</v>
      </c>
      <c r="AN186" s="1">
        <v>0</v>
      </c>
      <c r="AO186" s="1">
        <v>0</v>
      </c>
      <c r="AP186" s="1">
        <v>0</v>
      </c>
      <c r="AQ186" s="1">
        <v>1</v>
      </c>
      <c r="AR186" s="1">
        <v>4.7619047619047601</v>
      </c>
      <c r="AS186" s="1">
        <v>48</v>
      </c>
      <c r="AT186" s="1">
        <v>48</v>
      </c>
      <c r="AU186" s="1">
        <v>47.909090909090899</v>
      </c>
      <c r="AV186" s="1">
        <v>0</v>
      </c>
      <c r="AW186" s="1">
        <v>9.0909090909093507E-2</v>
      </c>
      <c r="AX186" s="1">
        <v>6</v>
      </c>
      <c r="AY186" s="1">
        <v>5.2272727272727302</v>
      </c>
      <c r="AZ186" s="1">
        <v>5.9834710743801596</v>
      </c>
      <c r="BA186" s="1">
        <v>0.14599999999999999</v>
      </c>
      <c r="BB186" s="1">
        <v>7.3</v>
      </c>
      <c r="BC186" s="1"/>
      <c r="BD186" s="1"/>
      <c r="BE186" s="1"/>
      <c r="BF186" s="1"/>
      <c r="BG186" s="1"/>
      <c r="BH186" s="1"/>
    </row>
    <row r="187" spans="1:60" x14ac:dyDescent="0.2">
      <c r="A187" s="3">
        <v>185</v>
      </c>
      <c r="B187" s="3" t="s">
        <v>1035</v>
      </c>
      <c r="C187" s="3" t="s">
        <v>1036</v>
      </c>
      <c r="D187" s="1"/>
      <c r="E187" s="1">
        <f t="shared" si="15"/>
        <v>0</v>
      </c>
      <c r="F187" s="1">
        <f t="shared" si="16"/>
        <v>0</v>
      </c>
      <c r="G187" s="1">
        <f t="shared" si="17"/>
        <v>0</v>
      </c>
      <c r="H187" s="1"/>
      <c r="I187" s="1"/>
      <c r="J187" s="1"/>
      <c r="K187" s="1">
        <v>7</v>
      </c>
      <c r="L187" s="1">
        <v>0</v>
      </c>
      <c r="M187" s="1">
        <v>0.9</v>
      </c>
      <c r="N187" s="1">
        <v>8</v>
      </c>
      <c r="O187" s="1"/>
      <c r="P187" s="1">
        <v>7</v>
      </c>
      <c r="Q187" s="1">
        <v>2.9666666666666699</v>
      </c>
      <c r="R187" s="1">
        <v>4.9833333333333298</v>
      </c>
      <c r="S187" s="1">
        <v>10</v>
      </c>
      <c r="T187" s="1"/>
      <c r="U187" s="1"/>
      <c r="V187" s="1"/>
      <c r="W187" s="1"/>
      <c r="X187" s="1"/>
      <c r="Y187" s="1"/>
      <c r="Z187" s="1" t="s">
        <v>414</v>
      </c>
      <c r="AA187" s="1" t="s">
        <v>1201</v>
      </c>
      <c r="AB187" s="1" t="s">
        <v>362</v>
      </c>
      <c r="AC187" s="1">
        <v>-6.2</v>
      </c>
      <c r="AD187" s="1"/>
      <c r="AE187" s="1">
        <v>10</v>
      </c>
      <c r="AF187" s="1"/>
      <c r="AG187" s="1">
        <v>8.8573333333333295</v>
      </c>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row>
    <row r="188" spans="1:60" x14ac:dyDescent="0.2">
      <c r="A188" s="3">
        <v>186</v>
      </c>
      <c r="B188" s="3" t="s">
        <v>1037</v>
      </c>
      <c r="C188" s="3" t="s">
        <v>1038</v>
      </c>
      <c r="D188" s="1"/>
      <c r="E188" s="1">
        <f t="shared" si="15"/>
        <v>0</v>
      </c>
      <c r="F188" s="1">
        <f t="shared" si="16"/>
        <v>0</v>
      </c>
      <c r="G188" s="1">
        <f t="shared" si="17"/>
        <v>0</v>
      </c>
      <c r="H188" s="1"/>
      <c r="I188" s="1">
        <v>4</v>
      </c>
      <c r="J188" s="1">
        <v>5</v>
      </c>
      <c r="K188" s="1"/>
      <c r="L188" s="1">
        <v>4</v>
      </c>
      <c r="M188" s="1">
        <v>0.4</v>
      </c>
      <c r="N188" s="1">
        <v>8</v>
      </c>
      <c r="O188" s="1"/>
      <c r="P188" s="1">
        <v>4.5</v>
      </c>
      <c r="Q188" s="1">
        <v>4.1333333333333302</v>
      </c>
      <c r="R188" s="1">
        <v>4.31666666666667</v>
      </c>
      <c r="S188" s="1">
        <v>10</v>
      </c>
      <c r="T188" s="1"/>
      <c r="U188" s="1"/>
      <c r="V188" s="1"/>
      <c r="W188" s="1"/>
      <c r="X188" s="1"/>
      <c r="Y188" s="1"/>
      <c r="Z188" s="1" t="s">
        <v>1177</v>
      </c>
      <c r="AA188" s="1" t="s">
        <v>1238</v>
      </c>
      <c r="AB188" s="1" t="s">
        <v>854</v>
      </c>
      <c r="AC188" s="1">
        <v>-7.2</v>
      </c>
      <c r="AD188" s="1"/>
      <c r="AE188" s="1">
        <v>10</v>
      </c>
      <c r="AF188" s="1"/>
      <c r="AG188" s="1">
        <v>10</v>
      </c>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row>
    <row r="189" spans="1:60" x14ac:dyDescent="0.2">
      <c r="A189" s="3">
        <v>187</v>
      </c>
      <c r="B189" s="3" t="s">
        <v>1039</v>
      </c>
      <c r="C189" s="3" t="s">
        <v>1040</v>
      </c>
      <c r="D189" s="1"/>
      <c r="E189" s="1">
        <f t="shared" si="15"/>
        <v>8.3937205966451671</v>
      </c>
      <c r="F189" s="1">
        <f t="shared" si="16"/>
        <v>10</v>
      </c>
      <c r="G189" s="1">
        <f t="shared" si="17"/>
        <v>7.0454545454545299</v>
      </c>
      <c r="H189" s="1"/>
      <c r="I189" s="1"/>
      <c r="J189" s="1"/>
      <c r="K189" s="1">
        <v>3</v>
      </c>
      <c r="L189" s="1">
        <v>4</v>
      </c>
      <c r="M189" s="1"/>
      <c r="N189" s="1"/>
      <c r="O189" s="1"/>
      <c r="P189" s="1">
        <v>3</v>
      </c>
      <c r="Q189" s="1">
        <v>4</v>
      </c>
      <c r="R189" s="1">
        <v>3.5</v>
      </c>
      <c r="S189" s="1">
        <v>7.5797373358349001</v>
      </c>
      <c r="T189" s="1"/>
      <c r="U189" s="1"/>
      <c r="V189" s="1"/>
      <c r="W189" s="1"/>
      <c r="X189" s="1"/>
      <c r="Y189" s="1"/>
      <c r="Z189" s="1" t="s">
        <v>967</v>
      </c>
      <c r="AA189" s="1" t="s">
        <v>1147</v>
      </c>
      <c r="AB189" s="1" t="s">
        <v>557</v>
      </c>
      <c r="AC189" s="1">
        <v>-5.0999999999999996</v>
      </c>
      <c r="AD189" s="1"/>
      <c r="AE189" s="1">
        <v>10</v>
      </c>
      <c r="AF189" s="1"/>
      <c r="AG189" s="1">
        <v>9</v>
      </c>
      <c r="AH189" s="1"/>
      <c r="AI189" s="1"/>
      <c r="AJ189" s="1"/>
      <c r="AK189" s="1"/>
      <c r="AL189" s="1"/>
      <c r="AM189" s="1"/>
      <c r="AN189" s="1"/>
      <c r="AO189" s="1"/>
      <c r="AP189" s="1"/>
      <c r="AQ189" s="1"/>
      <c r="AR189" s="1"/>
      <c r="AS189" s="1">
        <v>85</v>
      </c>
      <c r="AT189" s="1">
        <v>85</v>
      </c>
      <c r="AU189" s="1">
        <v>84.181818181818201</v>
      </c>
      <c r="AV189" s="1">
        <v>0</v>
      </c>
      <c r="AW189" s="1">
        <v>0.81818181818181301</v>
      </c>
      <c r="AX189" s="1">
        <v>10</v>
      </c>
      <c r="AY189" s="1">
        <v>7.0454545454545299</v>
      </c>
      <c r="AZ189" s="1">
        <v>10</v>
      </c>
      <c r="BA189" s="1"/>
      <c r="BB189" s="1"/>
      <c r="BC189" s="1"/>
      <c r="BD189" s="1"/>
      <c r="BE189" s="1"/>
      <c r="BF189" s="1"/>
      <c r="BG189" s="1"/>
      <c r="BH189" s="1"/>
    </row>
    <row r="190" spans="1:60" x14ac:dyDescent="0.2">
      <c r="A190" s="3">
        <v>188</v>
      </c>
      <c r="B190" s="3" t="s">
        <v>1043</v>
      </c>
      <c r="C190" s="3" t="s">
        <v>1044</v>
      </c>
      <c r="D190" s="1"/>
      <c r="E190" s="1">
        <f t="shared" si="15"/>
        <v>5.1502591241441671</v>
      </c>
      <c r="F190" s="1">
        <f t="shared" si="16"/>
        <v>5.0743801652892602</v>
      </c>
      <c r="G190" s="1">
        <f t="shared" si="17"/>
        <v>5.2272727272727302</v>
      </c>
      <c r="H190" s="1"/>
      <c r="I190" s="1">
        <v>4</v>
      </c>
      <c r="J190" s="1">
        <v>3</v>
      </c>
      <c r="K190" s="1">
        <v>3</v>
      </c>
      <c r="L190" s="1">
        <v>0</v>
      </c>
      <c r="M190" s="1">
        <v>0.8</v>
      </c>
      <c r="N190" s="1">
        <v>0</v>
      </c>
      <c r="O190" s="1">
        <v>4.2</v>
      </c>
      <c r="P190" s="1">
        <v>3.3333333333333299</v>
      </c>
      <c r="Q190" s="1">
        <v>1.25</v>
      </c>
      <c r="R190" s="1">
        <v>2.2916666666666701</v>
      </c>
      <c r="S190" s="1">
        <v>2.1388367729831201</v>
      </c>
      <c r="T190" s="1">
        <v>1.4</v>
      </c>
      <c r="U190" s="1">
        <v>0.8</v>
      </c>
      <c r="V190" s="1">
        <v>0.2</v>
      </c>
      <c r="W190" s="1">
        <v>-7.1</v>
      </c>
      <c r="X190" s="1">
        <v>2.9</v>
      </c>
      <c r="Y190" s="1">
        <v>-7.3</v>
      </c>
      <c r="Z190" s="1" t="s">
        <v>309</v>
      </c>
      <c r="AA190" s="1" t="s">
        <v>1221</v>
      </c>
      <c r="AB190" s="1" t="s">
        <v>1189</v>
      </c>
      <c r="AC190" s="1">
        <v>-6</v>
      </c>
      <c r="AD190" s="1">
        <v>10</v>
      </c>
      <c r="AE190" s="1">
        <v>10</v>
      </c>
      <c r="AF190" s="1">
        <v>8.5333333333333297</v>
      </c>
      <c r="AG190" s="1">
        <v>8.6666666666666696</v>
      </c>
      <c r="AH190" s="1">
        <v>0</v>
      </c>
      <c r="AI190" s="1">
        <v>1</v>
      </c>
      <c r="AJ190" s="1">
        <v>0.5</v>
      </c>
      <c r="AK190" s="1">
        <v>1</v>
      </c>
      <c r="AL190" s="1">
        <v>0</v>
      </c>
      <c r="AM190" s="1">
        <v>1</v>
      </c>
      <c r="AN190" s="1">
        <v>0.5</v>
      </c>
      <c r="AO190" s="1">
        <v>0</v>
      </c>
      <c r="AP190" s="1">
        <v>1</v>
      </c>
      <c r="AQ190" s="1">
        <v>3.5</v>
      </c>
      <c r="AR190" s="1">
        <v>10</v>
      </c>
      <c r="AS190" s="1">
        <v>43</v>
      </c>
      <c r="AT190" s="1">
        <v>43</v>
      </c>
      <c r="AU190" s="1">
        <v>42.909090909090899</v>
      </c>
      <c r="AV190" s="1">
        <v>0</v>
      </c>
      <c r="AW190" s="1">
        <v>9.0909090909093507E-2</v>
      </c>
      <c r="AX190" s="1">
        <v>5.0909090909090899</v>
      </c>
      <c r="AY190" s="1">
        <v>5.2272727272727302</v>
      </c>
      <c r="AZ190" s="1">
        <v>5.0743801652892602</v>
      </c>
      <c r="BA190" s="1">
        <v>4.9000000000000002E-2</v>
      </c>
      <c r="BB190" s="1">
        <v>2.4500000000000002</v>
      </c>
      <c r="BC190" s="1"/>
      <c r="BD190" s="1"/>
      <c r="BE190" s="1"/>
      <c r="BF190" s="1"/>
      <c r="BG190" s="1"/>
      <c r="BH190" s="1"/>
    </row>
    <row r="191" spans="1:60" x14ac:dyDescent="0.2">
      <c r="A191" s="3">
        <v>189</v>
      </c>
      <c r="B191" s="3" t="s">
        <v>1049</v>
      </c>
      <c r="C191" s="3" t="s">
        <v>1050</v>
      </c>
      <c r="D191" s="1"/>
      <c r="E191" s="1">
        <f t="shared" si="15"/>
        <v>8.4641374539860799</v>
      </c>
      <c r="F191" s="1">
        <f t="shared" si="16"/>
        <v>8.0826446280991693</v>
      </c>
      <c r="G191" s="1">
        <f t="shared" si="17"/>
        <v>8.8636363636363704</v>
      </c>
      <c r="H191" s="1"/>
      <c r="I191" s="1">
        <v>4</v>
      </c>
      <c r="J191" s="1">
        <v>3</v>
      </c>
      <c r="K191" s="1">
        <v>3</v>
      </c>
      <c r="L191" s="1">
        <v>0</v>
      </c>
      <c r="M191" s="1">
        <v>0.5</v>
      </c>
      <c r="N191" s="1">
        <v>4</v>
      </c>
      <c r="O191" s="1">
        <v>2.6</v>
      </c>
      <c r="P191" s="1">
        <v>3.3333333333333299</v>
      </c>
      <c r="Q191" s="1">
        <v>1.7749999999999999</v>
      </c>
      <c r="R191" s="1">
        <v>2.5541666666666698</v>
      </c>
      <c r="S191" s="1">
        <v>3.3208255159474702</v>
      </c>
      <c r="T191" s="1">
        <v>3.4</v>
      </c>
      <c r="U191" s="1">
        <v>4</v>
      </c>
      <c r="V191" s="1">
        <v>1.7</v>
      </c>
      <c r="W191" s="1">
        <v>-0.8</v>
      </c>
      <c r="X191" s="1">
        <v>2.4</v>
      </c>
      <c r="Y191" s="1">
        <v>-2.5</v>
      </c>
      <c r="Z191" s="1" t="s">
        <v>803</v>
      </c>
      <c r="AA191" s="1" t="s">
        <v>1152</v>
      </c>
      <c r="AB191" s="1" t="s">
        <v>718</v>
      </c>
      <c r="AC191" s="1">
        <v>-5</v>
      </c>
      <c r="AD191" s="1">
        <v>5</v>
      </c>
      <c r="AE191" s="1">
        <v>10</v>
      </c>
      <c r="AF191" s="1">
        <v>6.3333333333333304</v>
      </c>
      <c r="AG191" s="1">
        <v>8.8339999999999996</v>
      </c>
      <c r="AH191" s="1"/>
      <c r="AI191" s="1"/>
      <c r="AJ191" s="1"/>
      <c r="AK191" s="1"/>
      <c r="AL191" s="1"/>
      <c r="AM191" s="1"/>
      <c r="AN191" s="1"/>
      <c r="AO191" s="1"/>
      <c r="AP191" s="1"/>
      <c r="AQ191" s="1"/>
      <c r="AR191" s="1"/>
      <c r="AS191" s="1">
        <v>61</v>
      </c>
      <c r="AT191" s="1">
        <v>61</v>
      </c>
      <c r="AU191" s="1">
        <v>59.454545454545503</v>
      </c>
      <c r="AV191" s="1">
        <v>0</v>
      </c>
      <c r="AW191" s="1">
        <v>1.5454545454545501</v>
      </c>
      <c r="AX191" s="1">
        <v>8.3636363636363598</v>
      </c>
      <c r="AY191" s="1">
        <v>8.8636363636363704</v>
      </c>
      <c r="AZ191" s="1">
        <v>8.0826446280991693</v>
      </c>
      <c r="BA191" s="1">
        <v>2.8000000000000001E-2</v>
      </c>
      <c r="BB191" s="1">
        <v>1.4</v>
      </c>
      <c r="BC191" s="1"/>
      <c r="BD191" s="1"/>
      <c r="BE191" s="1"/>
      <c r="BF191" s="1"/>
      <c r="BG191" s="1"/>
      <c r="BH191" s="1"/>
    </row>
    <row r="192" spans="1:60" x14ac:dyDescent="0.2">
      <c r="A192" s="3">
        <v>190</v>
      </c>
      <c r="B192" s="3" t="s">
        <v>1053</v>
      </c>
      <c r="C192" s="3" t="s">
        <v>1054</v>
      </c>
      <c r="D192" s="1"/>
      <c r="E192" s="1">
        <f t="shared" si="15"/>
        <v>7.0710678118654755</v>
      </c>
      <c r="F192" s="1">
        <f t="shared" si="16"/>
        <v>10</v>
      </c>
      <c r="G192" s="1">
        <f t="shared" si="17"/>
        <v>5</v>
      </c>
      <c r="H192" s="1"/>
      <c r="I192" s="1">
        <v>5</v>
      </c>
      <c r="J192" s="1">
        <v>4</v>
      </c>
      <c r="K192" s="1">
        <v>3</v>
      </c>
      <c r="L192" s="1">
        <v>3</v>
      </c>
      <c r="M192" s="1">
        <v>0.1</v>
      </c>
      <c r="N192" s="1">
        <v>4</v>
      </c>
      <c r="O192" s="1">
        <v>6.1</v>
      </c>
      <c r="P192" s="1">
        <v>4</v>
      </c>
      <c r="Q192" s="1">
        <v>3.3</v>
      </c>
      <c r="R192" s="1">
        <v>3.65</v>
      </c>
      <c r="S192" s="1">
        <v>8.2551594746716699</v>
      </c>
      <c r="T192" s="1">
        <v>4.7</v>
      </c>
      <c r="U192" s="1">
        <v>3.5</v>
      </c>
      <c r="V192" s="1">
        <v>-8.1</v>
      </c>
      <c r="W192" s="1">
        <v>-10</v>
      </c>
      <c r="X192" s="1">
        <v>2.9</v>
      </c>
      <c r="Y192" s="1">
        <v>-1.9</v>
      </c>
      <c r="Z192" s="1" t="s">
        <v>1175</v>
      </c>
      <c r="AA192" s="1" t="s">
        <v>1272</v>
      </c>
      <c r="AB192" s="1" t="s">
        <v>1224</v>
      </c>
      <c r="AC192" s="1">
        <v>0.9</v>
      </c>
      <c r="AD192" s="1">
        <v>3.8</v>
      </c>
      <c r="AE192" s="1">
        <v>0</v>
      </c>
      <c r="AF192" s="1">
        <v>10</v>
      </c>
      <c r="AG192" s="1">
        <v>10</v>
      </c>
      <c r="AH192" s="1"/>
      <c r="AI192" s="1"/>
      <c r="AJ192" s="1"/>
      <c r="AK192" s="1"/>
      <c r="AL192" s="1"/>
      <c r="AM192" s="1"/>
      <c r="AN192" s="1"/>
      <c r="AO192" s="1"/>
      <c r="AP192" s="1"/>
      <c r="AQ192" s="1"/>
      <c r="AR192" s="1"/>
      <c r="AS192" s="1">
        <v>78</v>
      </c>
      <c r="AT192" s="1">
        <v>78</v>
      </c>
      <c r="AU192" s="1">
        <v>78</v>
      </c>
      <c r="AV192" s="1">
        <v>0</v>
      </c>
      <c r="AW192" s="1">
        <v>0</v>
      </c>
      <c r="AX192" s="1">
        <v>10</v>
      </c>
      <c r="AY192" s="1">
        <v>5</v>
      </c>
      <c r="AZ192" s="1">
        <v>10</v>
      </c>
      <c r="BA192" s="1">
        <v>0.10199999999999999</v>
      </c>
      <c r="BB192" s="1">
        <v>5.0999999999999996</v>
      </c>
      <c r="BC192" s="1"/>
      <c r="BD192" s="1"/>
      <c r="BE192" s="1"/>
      <c r="BF192" s="1"/>
      <c r="BG192" s="1"/>
      <c r="BH192" s="1"/>
    </row>
    <row r="193" spans="1:60" x14ac:dyDescent="0.2">
      <c r="A193" s="3"/>
      <c r="B193" s="3"/>
      <c r="C193" s="3"/>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row>
    <row r="194" spans="1:60" x14ac:dyDescent="0.2">
      <c r="A194" s="3"/>
      <c r="B194" s="3"/>
      <c r="C194" s="3"/>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row>
    <row r="195" spans="1:60" x14ac:dyDescent="0.2">
      <c r="A195" s="3"/>
      <c r="B195" s="3"/>
      <c r="C195" s="3"/>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row>
    <row r="196" spans="1:60" x14ac:dyDescent="0.2">
      <c r="A196" s="3"/>
      <c r="B196" s="3"/>
      <c r="C196" s="3"/>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row>
    <row r="197" spans="1:60" x14ac:dyDescent="0.2">
      <c r="A197" s="3"/>
      <c r="B197" s="3"/>
      <c r="C197" s="3"/>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row>
    <row r="198" spans="1:60" x14ac:dyDescent="0.2">
      <c r="A198" s="3"/>
      <c r="B198" s="3"/>
      <c r="C198" s="3"/>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row>
    <row r="199" spans="1:60" x14ac:dyDescent="0.2">
      <c r="A199" s="3"/>
      <c r="B199" s="3"/>
      <c r="C199" s="3"/>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row>
    <row r="200" spans="1:60" x14ac:dyDescent="0.2">
      <c r="A200" s="3"/>
      <c r="B200" s="3"/>
      <c r="C200" s="3"/>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row>
  </sheetData>
  <conditionalFormatting sqref="E1:E192">
    <cfRule type="expression" dxfId="63" priority="12">
      <formula>E1=10</formula>
    </cfRule>
    <cfRule type="cellIs" dxfId="62" priority="11" operator="between">
      <formula>7</formula>
      <formula>9.99</formula>
    </cfRule>
    <cfRule type="cellIs" dxfId="61" priority="10" operator="between">
      <formula>0</formula>
      <formula>6.999</formula>
    </cfRule>
    <cfRule type="expression" dxfId="60" priority="9">
      <formula>E1=""</formula>
    </cfRule>
  </conditionalFormatting>
  <conditionalFormatting sqref="F1:F192">
    <cfRule type="expression" dxfId="59" priority="8">
      <formula>F1=10</formula>
    </cfRule>
    <cfRule type="cellIs" dxfId="58" priority="7" operator="between">
      <formula>7</formula>
      <formula>9.99</formula>
    </cfRule>
    <cfRule type="cellIs" dxfId="57" priority="6" operator="between">
      <formula>0</formula>
      <formula>6.999</formula>
    </cfRule>
    <cfRule type="expression" dxfId="56" priority="5">
      <formula>F1=""</formula>
    </cfRule>
  </conditionalFormatting>
  <conditionalFormatting sqref="G1:G192">
    <cfRule type="expression" dxfId="55" priority="4">
      <formula>G1=10</formula>
    </cfRule>
    <cfRule type="cellIs" dxfId="54" priority="3" operator="between">
      <formula>7</formula>
      <formula>9.99</formula>
    </cfRule>
    <cfRule type="cellIs" dxfId="53" priority="2" operator="between">
      <formula>0</formula>
      <formula>6.999</formula>
    </cfRule>
    <cfRule type="expression" dxfId="52" priority="1">
      <formula>G1=""</formula>
    </cfRule>
  </conditionalFormatting>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H200"/>
  <sheetViews>
    <sheetView workbookViewId="0"/>
  </sheetViews>
  <sheetFormatPr baseColWidth="10" defaultColWidth="8.7109375" defaultRowHeight="16" x14ac:dyDescent="0.2"/>
  <cols>
    <col min="1" max="1" width="3.7109375" customWidth="1"/>
    <col min="2" max="2" width="22.7109375" customWidth="1"/>
    <col min="4" max="4" width="3.7109375" customWidth="1"/>
    <col min="8" max="8" width="3.7109375" customWidth="1"/>
  </cols>
  <sheetData>
    <row r="1" spans="1:60" x14ac:dyDescent="0.2">
      <c r="A1" s="3"/>
      <c r="B1" s="3"/>
      <c r="C1" s="3"/>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row>
    <row r="2" spans="1:60" ht="43" x14ac:dyDescent="0.2">
      <c r="A2" s="4" t="s">
        <v>0</v>
      </c>
      <c r="B2" s="4" t="s">
        <v>1</v>
      </c>
      <c r="C2" s="4" t="s">
        <v>2</v>
      </c>
      <c r="D2" s="2" t="s">
        <v>3</v>
      </c>
      <c r="E2" s="2" t="s">
        <v>4</v>
      </c>
      <c r="F2" s="2" t="s">
        <v>5</v>
      </c>
      <c r="G2" s="2" t="s">
        <v>6</v>
      </c>
      <c r="H2" s="2" t="s">
        <v>7</v>
      </c>
      <c r="I2" s="2" t="s">
        <v>1273</v>
      </c>
      <c r="J2" s="2" t="s">
        <v>1274</v>
      </c>
      <c r="K2" s="2" t="s">
        <v>1275</v>
      </c>
      <c r="L2" s="2" t="s">
        <v>1276</v>
      </c>
      <c r="M2" s="2" t="s">
        <v>1277</v>
      </c>
      <c r="N2" s="2" t="s">
        <v>1278</v>
      </c>
      <c r="O2" s="2" t="s">
        <v>1279</v>
      </c>
      <c r="P2" s="2" t="s">
        <v>1280</v>
      </c>
      <c r="Q2" s="2" t="s">
        <v>1281</v>
      </c>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1"/>
      <c r="BG2" s="1"/>
      <c r="BH2" s="1"/>
    </row>
    <row r="3" spans="1:60" x14ac:dyDescent="0.2">
      <c r="A3" s="3">
        <v>1</v>
      </c>
      <c r="B3" s="3" t="s">
        <v>93</v>
      </c>
      <c r="C3" s="3" t="s">
        <v>94</v>
      </c>
      <c r="D3" s="1"/>
      <c r="E3" s="1">
        <f t="shared" ref="E3:E34" si="0">IFERROR(GEOMEAN(F3, G3), MAX(F3, G3))</f>
        <v>8.1547532151500448</v>
      </c>
      <c r="F3" s="1">
        <f t="shared" ref="F3:F34" si="1">MAX(O3)</f>
        <v>9.5</v>
      </c>
      <c r="G3" s="1">
        <f t="shared" ref="G3:G34" si="2">MAX(M3, P3, Q3)</f>
        <v>7</v>
      </c>
      <c r="H3" s="1"/>
      <c r="I3" s="1"/>
      <c r="J3" s="1"/>
      <c r="K3" s="1"/>
      <c r="L3" s="1"/>
      <c r="M3" s="1"/>
      <c r="N3" s="1">
        <v>6.7</v>
      </c>
      <c r="O3" s="1">
        <v>9.5</v>
      </c>
      <c r="P3" s="1">
        <v>7</v>
      </c>
      <c r="Q3" s="1">
        <v>0</v>
      </c>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row>
    <row r="4" spans="1:60" x14ac:dyDescent="0.2">
      <c r="A4" s="3">
        <v>2</v>
      </c>
      <c r="B4" s="3" t="s">
        <v>114</v>
      </c>
      <c r="C4" s="3" t="s">
        <v>115</v>
      </c>
      <c r="D4" s="1"/>
      <c r="E4" s="1">
        <f t="shared" si="0"/>
        <v>5.9160797830996161</v>
      </c>
      <c r="F4" s="1">
        <f t="shared" si="1"/>
        <v>3.5</v>
      </c>
      <c r="G4" s="1">
        <f t="shared" si="2"/>
        <v>10</v>
      </c>
      <c r="H4" s="1"/>
      <c r="I4" s="1" t="s">
        <v>1282</v>
      </c>
      <c r="J4" s="1" t="s">
        <v>1283</v>
      </c>
      <c r="K4" s="1" t="s">
        <v>1284</v>
      </c>
      <c r="L4" s="1" t="s">
        <v>1285</v>
      </c>
      <c r="M4" s="1">
        <v>10</v>
      </c>
      <c r="N4" s="1">
        <v>3.1</v>
      </c>
      <c r="O4" s="1">
        <v>3.5</v>
      </c>
      <c r="P4" s="1">
        <v>0</v>
      </c>
      <c r="Q4" s="1">
        <v>0</v>
      </c>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row>
    <row r="5" spans="1:60" x14ac:dyDescent="0.2">
      <c r="A5" s="3">
        <v>3</v>
      </c>
      <c r="B5" s="3" t="s">
        <v>131</v>
      </c>
      <c r="C5" s="3" t="s">
        <v>132</v>
      </c>
      <c r="D5" s="1"/>
      <c r="E5" s="1">
        <f t="shared" si="0"/>
        <v>9</v>
      </c>
      <c r="F5" s="1">
        <f t="shared" si="1"/>
        <v>9</v>
      </c>
      <c r="G5" s="1">
        <f t="shared" si="2"/>
        <v>0</v>
      </c>
      <c r="H5" s="1"/>
      <c r="I5" s="1"/>
      <c r="J5" s="1"/>
      <c r="K5" s="1"/>
      <c r="L5" s="1"/>
      <c r="M5" s="1"/>
      <c r="N5" s="1">
        <v>6.4</v>
      </c>
      <c r="O5" s="1">
        <v>9</v>
      </c>
      <c r="P5" s="1">
        <v>0</v>
      </c>
      <c r="Q5" s="1">
        <v>0</v>
      </c>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x14ac:dyDescent="0.2">
      <c r="A6" s="3">
        <v>4</v>
      </c>
      <c r="B6" s="3" t="s">
        <v>142</v>
      </c>
      <c r="C6" s="3" t="s">
        <v>143</v>
      </c>
      <c r="D6" s="1"/>
      <c r="E6" s="1">
        <f t="shared" si="0"/>
        <v>5.3333333333333304</v>
      </c>
      <c r="F6" s="1">
        <f t="shared" si="1"/>
        <v>5.3333333333333304</v>
      </c>
      <c r="G6" s="1">
        <f t="shared" si="2"/>
        <v>0</v>
      </c>
      <c r="H6" s="1"/>
      <c r="I6" s="1"/>
      <c r="J6" s="1"/>
      <c r="K6" s="1"/>
      <c r="L6" s="1"/>
      <c r="M6" s="1"/>
      <c r="N6" s="1">
        <v>4.2</v>
      </c>
      <c r="O6" s="1">
        <v>5.3333333333333304</v>
      </c>
      <c r="P6" s="1">
        <v>0</v>
      </c>
      <c r="Q6" s="1">
        <v>0</v>
      </c>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row>
    <row r="7" spans="1:60" x14ac:dyDescent="0.2">
      <c r="A7" s="3">
        <v>5</v>
      </c>
      <c r="B7" s="3" t="s">
        <v>150</v>
      </c>
      <c r="C7" s="3" t="s">
        <v>151</v>
      </c>
      <c r="D7" s="1"/>
      <c r="E7" s="1">
        <f t="shared" si="0"/>
        <v>5</v>
      </c>
      <c r="F7" s="1">
        <f t="shared" si="1"/>
        <v>5</v>
      </c>
      <c r="G7" s="1">
        <f t="shared" si="2"/>
        <v>0</v>
      </c>
      <c r="H7" s="1"/>
      <c r="I7" s="1"/>
      <c r="J7" s="1"/>
      <c r="K7" s="1"/>
      <c r="L7" s="1"/>
      <c r="M7" s="1"/>
      <c r="N7" s="1">
        <v>4</v>
      </c>
      <c r="O7" s="1">
        <v>5</v>
      </c>
      <c r="P7" s="1">
        <v>0</v>
      </c>
      <c r="Q7" s="1">
        <v>0</v>
      </c>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row>
    <row r="8" spans="1:60" x14ac:dyDescent="0.2">
      <c r="A8" s="3">
        <v>6</v>
      </c>
      <c r="B8" s="3" t="s">
        <v>158</v>
      </c>
      <c r="C8" s="3" t="s">
        <v>159</v>
      </c>
      <c r="D8" s="1"/>
      <c r="E8" s="1">
        <f t="shared" si="0"/>
        <v>5.8333333333333304</v>
      </c>
      <c r="F8" s="1">
        <f t="shared" si="1"/>
        <v>5.8333333333333304</v>
      </c>
      <c r="G8" s="1">
        <f t="shared" si="2"/>
        <v>0</v>
      </c>
      <c r="H8" s="1"/>
      <c r="I8" s="1"/>
      <c r="J8" s="1"/>
      <c r="K8" s="1"/>
      <c r="L8" s="1"/>
      <c r="M8" s="1"/>
      <c r="N8" s="1">
        <v>4.5</v>
      </c>
      <c r="O8" s="1">
        <v>5.8333333333333304</v>
      </c>
      <c r="P8" s="1">
        <v>0</v>
      </c>
      <c r="Q8" s="1">
        <v>0</v>
      </c>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row>
    <row r="9" spans="1:60" x14ac:dyDescent="0.2">
      <c r="A9" s="3">
        <v>7</v>
      </c>
      <c r="B9" s="3" t="s">
        <v>164</v>
      </c>
      <c r="C9" s="3" t="s">
        <v>165</v>
      </c>
      <c r="D9" s="1"/>
      <c r="E9" s="1">
        <f t="shared" si="0"/>
        <v>4.5</v>
      </c>
      <c r="F9" s="1">
        <f t="shared" si="1"/>
        <v>4.5</v>
      </c>
      <c r="G9" s="1">
        <f t="shared" si="2"/>
        <v>0</v>
      </c>
      <c r="H9" s="1"/>
      <c r="I9" s="1"/>
      <c r="J9" s="1"/>
      <c r="K9" s="1"/>
      <c r="L9" s="1"/>
      <c r="M9" s="1"/>
      <c r="N9" s="1">
        <v>3.7</v>
      </c>
      <c r="O9" s="1">
        <v>4.5</v>
      </c>
      <c r="P9" s="1">
        <v>0</v>
      </c>
      <c r="Q9" s="1">
        <v>0</v>
      </c>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row>
    <row r="10" spans="1:60" x14ac:dyDescent="0.2">
      <c r="A10" s="3">
        <v>8</v>
      </c>
      <c r="B10" s="3" t="s">
        <v>170</v>
      </c>
      <c r="C10" s="3" t="s">
        <v>171</v>
      </c>
      <c r="D10" s="1"/>
      <c r="E10" s="1">
        <f t="shared" si="0"/>
        <v>6.3333333333333304</v>
      </c>
      <c r="F10" s="1">
        <f t="shared" si="1"/>
        <v>6.3333333333333304</v>
      </c>
      <c r="G10" s="1">
        <f t="shared" si="2"/>
        <v>0</v>
      </c>
      <c r="H10" s="1"/>
      <c r="I10" s="1"/>
      <c r="J10" s="1"/>
      <c r="K10" s="1"/>
      <c r="L10" s="1"/>
      <c r="M10" s="1"/>
      <c r="N10" s="1">
        <v>4.8</v>
      </c>
      <c r="O10" s="1">
        <v>6.3333333333333304</v>
      </c>
      <c r="P10" s="1">
        <v>0</v>
      </c>
      <c r="Q10" s="1">
        <v>0</v>
      </c>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row>
    <row r="11" spans="1:60" x14ac:dyDescent="0.2">
      <c r="A11" s="3">
        <v>9</v>
      </c>
      <c r="B11" s="3" t="s">
        <v>179</v>
      </c>
      <c r="C11" s="3" t="s">
        <v>180</v>
      </c>
      <c r="D11" s="1"/>
      <c r="E11" s="1">
        <f t="shared" si="0"/>
        <v>2.5</v>
      </c>
      <c r="F11" s="1">
        <f t="shared" si="1"/>
        <v>2.5</v>
      </c>
      <c r="G11" s="1">
        <f t="shared" si="2"/>
        <v>0</v>
      </c>
      <c r="H11" s="1"/>
      <c r="I11" s="1"/>
      <c r="J11" s="1"/>
      <c r="K11" s="1"/>
      <c r="L11" s="1"/>
      <c r="M11" s="1"/>
      <c r="N11" s="1">
        <v>2.5</v>
      </c>
      <c r="O11" s="1">
        <v>2.5</v>
      </c>
      <c r="P11" s="1">
        <v>0</v>
      </c>
      <c r="Q11" s="1">
        <v>0</v>
      </c>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row>
    <row r="12" spans="1:60" x14ac:dyDescent="0.2">
      <c r="A12" s="3">
        <v>10</v>
      </c>
      <c r="B12" s="3" t="s">
        <v>187</v>
      </c>
      <c r="C12" s="3" t="s">
        <v>188</v>
      </c>
      <c r="D12" s="1"/>
      <c r="E12" s="1">
        <f t="shared" si="0"/>
        <v>6.7453687816160208</v>
      </c>
      <c r="F12" s="1">
        <f t="shared" si="1"/>
        <v>6.5</v>
      </c>
      <c r="G12" s="1">
        <f t="shared" si="2"/>
        <v>7</v>
      </c>
      <c r="H12" s="1"/>
      <c r="I12" s="1"/>
      <c r="J12" s="1"/>
      <c r="K12" s="1"/>
      <c r="L12" s="1"/>
      <c r="M12" s="1"/>
      <c r="N12" s="1">
        <v>4.9000000000000004</v>
      </c>
      <c r="O12" s="1">
        <v>6.5</v>
      </c>
      <c r="P12" s="1">
        <v>7</v>
      </c>
      <c r="Q12" s="1">
        <v>0</v>
      </c>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row>
    <row r="13" spans="1:60" x14ac:dyDescent="0.2">
      <c r="A13" s="3">
        <v>11</v>
      </c>
      <c r="B13" s="3" t="s">
        <v>194</v>
      </c>
      <c r="C13" s="3" t="s">
        <v>195</v>
      </c>
      <c r="D13" s="1"/>
      <c r="E13" s="1">
        <f t="shared" si="0"/>
        <v>4.3333333333333304</v>
      </c>
      <c r="F13" s="1">
        <f t="shared" si="1"/>
        <v>4.3333333333333304</v>
      </c>
      <c r="G13" s="1">
        <f t="shared" si="2"/>
        <v>0</v>
      </c>
      <c r="H13" s="1"/>
      <c r="I13" s="1"/>
      <c r="J13" s="1"/>
      <c r="K13" s="1"/>
      <c r="L13" s="1"/>
      <c r="M13" s="1"/>
      <c r="N13" s="1">
        <v>3.6</v>
      </c>
      <c r="O13" s="1">
        <v>4.3333333333333304</v>
      </c>
      <c r="P13" s="1">
        <v>0</v>
      </c>
      <c r="Q13" s="1">
        <v>0</v>
      </c>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row>
    <row r="14" spans="1:60" x14ac:dyDescent="0.2">
      <c r="A14" s="3">
        <v>12</v>
      </c>
      <c r="B14" s="3" t="s">
        <v>202</v>
      </c>
      <c r="C14" s="3" t="s">
        <v>203</v>
      </c>
      <c r="D14" s="1"/>
      <c r="E14" s="1">
        <f t="shared" si="0"/>
        <v>1.3333333333333299</v>
      </c>
      <c r="F14" s="1">
        <f t="shared" si="1"/>
        <v>1.3333333333333299</v>
      </c>
      <c r="G14" s="1">
        <f t="shared" si="2"/>
        <v>0</v>
      </c>
      <c r="H14" s="1"/>
      <c r="I14" s="1"/>
      <c r="J14" s="1"/>
      <c r="K14" s="1"/>
      <c r="L14" s="1"/>
      <c r="M14" s="1"/>
      <c r="N14" s="1">
        <v>1.8</v>
      </c>
      <c r="O14" s="1">
        <v>1.3333333333333299</v>
      </c>
      <c r="P14" s="1">
        <v>0</v>
      </c>
      <c r="Q14" s="1">
        <v>0</v>
      </c>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row>
    <row r="15" spans="1:60" x14ac:dyDescent="0.2">
      <c r="A15" s="3">
        <v>13</v>
      </c>
      <c r="B15" s="3" t="s">
        <v>208</v>
      </c>
      <c r="C15" s="3" t="s">
        <v>209</v>
      </c>
      <c r="D15" s="1"/>
      <c r="E15" s="1">
        <f t="shared" si="0"/>
        <v>3.1666666666666701</v>
      </c>
      <c r="F15" s="1">
        <f t="shared" si="1"/>
        <v>3.1666666666666701</v>
      </c>
      <c r="G15" s="1">
        <f t="shared" si="2"/>
        <v>0</v>
      </c>
      <c r="H15" s="1"/>
      <c r="I15" s="1"/>
      <c r="J15" s="1"/>
      <c r="K15" s="1"/>
      <c r="L15" s="1"/>
      <c r="M15" s="1"/>
      <c r="N15" s="1">
        <v>2.9</v>
      </c>
      <c r="O15" s="1">
        <v>3.1666666666666701</v>
      </c>
      <c r="P15" s="1">
        <v>0</v>
      </c>
      <c r="Q15" s="1">
        <v>0</v>
      </c>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row>
    <row r="16" spans="1:60" x14ac:dyDescent="0.2">
      <c r="A16" s="3">
        <v>14</v>
      </c>
      <c r="B16" s="3" t="s">
        <v>215</v>
      </c>
      <c r="C16" s="3" t="s">
        <v>216</v>
      </c>
      <c r="D16" s="1"/>
      <c r="E16" s="1">
        <f t="shared" si="0"/>
        <v>4.5</v>
      </c>
      <c r="F16" s="1">
        <f t="shared" si="1"/>
        <v>4.5</v>
      </c>
      <c r="G16" s="1">
        <f t="shared" si="2"/>
        <v>0</v>
      </c>
      <c r="H16" s="1"/>
      <c r="I16" s="1"/>
      <c r="J16" s="1"/>
      <c r="K16" s="1"/>
      <c r="L16" s="1"/>
      <c r="M16" s="1"/>
      <c r="N16" s="1">
        <v>3.7</v>
      </c>
      <c r="O16" s="1">
        <v>4.5</v>
      </c>
      <c r="P16" s="1">
        <v>0</v>
      </c>
      <c r="Q16" s="1">
        <v>0</v>
      </c>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row>
    <row r="17" spans="1:60" x14ac:dyDescent="0.2">
      <c r="A17" s="3">
        <v>15</v>
      </c>
      <c r="B17" s="3" t="s">
        <v>222</v>
      </c>
      <c r="C17" s="3" t="s">
        <v>223</v>
      </c>
      <c r="D17" s="1"/>
      <c r="E17" s="1">
        <f t="shared" si="0"/>
        <v>10</v>
      </c>
      <c r="F17" s="1">
        <f t="shared" si="1"/>
        <v>10</v>
      </c>
      <c r="G17" s="1">
        <f t="shared" si="2"/>
        <v>0</v>
      </c>
      <c r="H17" s="1"/>
      <c r="I17" s="1"/>
      <c r="J17" s="1"/>
      <c r="K17" s="1"/>
      <c r="L17" s="1"/>
      <c r="M17" s="1"/>
      <c r="N17" s="1">
        <v>8.1999999999999993</v>
      </c>
      <c r="O17" s="1">
        <v>10</v>
      </c>
      <c r="P17" s="1">
        <v>0</v>
      </c>
      <c r="Q17" s="1">
        <v>0</v>
      </c>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row>
    <row r="18" spans="1:60" x14ac:dyDescent="0.2">
      <c r="A18" s="3">
        <v>16</v>
      </c>
      <c r="B18" s="3" t="s">
        <v>229</v>
      </c>
      <c r="C18" s="3" t="s">
        <v>230</v>
      </c>
      <c r="D18" s="1"/>
      <c r="E18" s="1">
        <f t="shared" si="0"/>
        <v>4.3333333333333304</v>
      </c>
      <c r="F18" s="1">
        <f t="shared" si="1"/>
        <v>4.3333333333333304</v>
      </c>
      <c r="G18" s="1">
        <f t="shared" si="2"/>
        <v>0</v>
      </c>
      <c r="H18" s="1"/>
      <c r="I18" s="1"/>
      <c r="J18" s="1"/>
      <c r="K18" s="1"/>
      <c r="L18" s="1"/>
      <c r="M18" s="1"/>
      <c r="N18" s="1">
        <v>3.6</v>
      </c>
      <c r="O18" s="1">
        <v>4.3333333333333304</v>
      </c>
      <c r="P18" s="1">
        <v>0</v>
      </c>
      <c r="Q18" s="1">
        <v>0</v>
      </c>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row>
    <row r="19" spans="1:60" x14ac:dyDescent="0.2">
      <c r="A19" s="3">
        <v>17</v>
      </c>
      <c r="B19" s="3" t="s">
        <v>233</v>
      </c>
      <c r="C19" s="3" t="s">
        <v>234</v>
      </c>
      <c r="D19" s="1"/>
      <c r="E19" s="1">
        <f t="shared" si="0"/>
        <v>0</v>
      </c>
      <c r="F19" s="1">
        <f t="shared" si="1"/>
        <v>0</v>
      </c>
      <c r="G19" s="1">
        <f t="shared" si="2"/>
        <v>0</v>
      </c>
      <c r="H19" s="1"/>
      <c r="I19" s="1"/>
      <c r="J19" s="1"/>
      <c r="K19" s="1"/>
      <c r="L19" s="1"/>
      <c r="M19" s="1"/>
      <c r="N19" s="1">
        <v>0.9</v>
      </c>
      <c r="O19" s="1">
        <v>0</v>
      </c>
      <c r="P19" s="1">
        <v>0</v>
      </c>
      <c r="Q19" s="1">
        <v>0</v>
      </c>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row>
    <row r="20" spans="1:60" x14ac:dyDescent="0.2">
      <c r="A20" s="3">
        <v>18</v>
      </c>
      <c r="B20" s="3" t="s">
        <v>239</v>
      </c>
      <c r="C20" s="3" t="s">
        <v>240</v>
      </c>
      <c r="D20" s="1"/>
      <c r="E20" s="1">
        <f t="shared" si="0"/>
        <v>6.324555320336759</v>
      </c>
      <c r="F20" s="1">
        <f t="shared" si="1"/>
        <v>4</v>
      </c>
      <c r="G20" s="1">
        <f t="shared" si="2"/>
        <v>10</v>
      </c>
      <c r="H20" s="1"/>
      <c r="I20" s="1"/>
      <c r="J20" s="1"/>
      <c r="K20" s="1"/>
      <c r="L20" s="1"/>
      <c r="M20" s="1"/>
      <c r="N20" s="1">
        <v>3.4</v>
      </c>
      <c r="O20" s="1">
        <v>4</v>
      </c>
      <c r="P20" s="1">
        <v>10</v>
      </c>
      <c r="Q20" s="1">
        <v>0</v>
      </c>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row>
    <row r="21" spans="1:60" x14ac:dyDescent="0.2">
      <c r="A21" s="3">
        <v>19</v>
      </c>
      <c r="B21" s="3" t="s">
        <v>246</v>
      </c>
      <c r="C21" s="3" t="s">
        <v>247</v>
      </c>
      <c r="D21" s="1"/>
      <c r="E21" s="1">
        <f t="shared" si="0"/>
        <v>5.1666666666666696</v>
      </c>
      <c r="F21" s="1">
        <f t="shared" si="1"/>
        <v>5.1666666666666696</v>
      </c>
      <c r="G21" s="1">
        <f t="shared" si="2"/>
        <v>0</v>
      </c>
      <c r="H21" s="1"/>
      <c r="I21" s="1"/>
      <c r="J21" s="1"/>
      <c r="K21" s="1"/>
      <c r="L21" s="1"/>
      <c r="M21" s="1"/>
      <c r="N21" s="1">
        <v>4.0999999999999996</v>
      </c>
      <c r="O21" s="1">
        <v>5.1666666666666696</v>
      </c>
      <c r="P21" s="1">
        <v>0</v>
      </c>
      <c r="Q21" s="1">
        <v>0</v>
      </c>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row>
    <row r="22" spans="1:60" x14ac:dyDescent="0.2">
      <c r="A22" s="3">
        <v>20</v>
      </c>
      <c r="B22" s="3" t="s">
        <v>254</v>
      </c>
      <c r="C22" s="3" t="s">
        <v>255</v>
      </c>
      <c r="D22" s="1"/>
      <c r="E22" s="1">
        <f t="shared" si="0"/>
        <v>2</v>
      </c>
      <c r="F22" s="1">
        <f t="shared" si="1"/>
        <v>2</v>
      </c>
      <c r="G22" s="1">
        <f t="shared" si="2"/>
        <v>0</v>
      </c>
      <c r="H22" s="1"/>
      <c r="I22" s="1"/>
      <c r="J22" s="1"/>
      <c r="K22" s="1"/>
      <c r="L22" s="1"/>
      <c r="M22" s="1"/>
      <c r="N22" s="1">
        <v>2.2000000000000002</v>
      </c>
      <c r="O22" s="1">
        <v>2</v>
      </c>
      <c r="P22" s="1">
        <v>0</v>
      </c>
      <c r="Q22" s="1">
        <v>0</v>
      </c>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row>
    <row r="23" spans="1:60" x14ac:dyDescent="0.2">
      <c r="A23" s="3">
        <v>21</v>
      </c>
      <c r="B23" s="3" t="s">
        <v>260</v>
      </c>
      <c r="C23" s="3" t="s">
        <v>261</v>
      </c>
      <c r="D23" s="1"/>
      <c r="E23" s="1">
        <f t="shared" si="0"/>
        <v>7.5</v>
      </c>
      <c r="F23" s="1">
        <f t="shared" si="1"/>
        <v>7.5</v>
      </c>
      <c r="G23" s="1">
        <f t="shared" si="2"/>
        <v>0</v>
      </c>
      <c r="H23" s="1"/>
      <c r="I23" s="1"/>
      <c r="J23" s="1"/>
      <c r="K23" s="1"/>
      <c r="L23" s="1"/>
      <c r="M23" s="1"/>
      <c r="N23" s="1">
        <v>5.5</v>
      </c>
      <c r="O23" s="1">
        <v>7.5</v>
      </c>
      <c r="P23" s="1">
        <v>0</v>
      </c>
      <c r="Q23" s="1">
        <v>0</v>
      </c>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row>
    <row r="24" spans="1:60" x14ac:dyDescent="0.2">
      <c r="A24" s="3">
        <v>22</v>
      </c>
      <c r="B24" s="3" t="s">
        <v>267</v>
      </c>
      <c r="C24" s="3" t="s">
        <v>268</v>
      </c>
      <c r="D24" s="1"/>
      <c r="E24" s="1">
        <f t="shared" si="0"/>
        <v>6.1666666666666696</v>
      </c>
      <c r="F24" s="1">
        <f t="shared" si="1"/>
        <v>6.1666666666666696</v>
      </c>
      <c r="G24" s="1">
        <f t="shared" si="2"/>
        <v>0</v>
      </c>
      <c r="H24" s="1"/>
      <c r="I24" s="1"/>
      <c r="J24" s="1"/>
      <c r="K24" s="1"/>
      <c r="L24" s="1"/>
      <c r="M24" s="1"/>
      <c r="N24" s="1">
        <v>4.7</v>
      </c>
      <c r="O24" s="1">
        <v>6.1666666666666696</v>
      </c>
      <c r="P24" s="1">
        <v>0</v>
      </c>
      <c r="Q24" s="1">
        <v>0</v>
      </c>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row>
    <row r="25" spans="1:60" x14ac:dyDescent="0.2">
      <c r="A25" s="3">
        <v>23</v>
      </c>
      <c r="B25" s="3" t="s">
        <v>275</v>
      </c>
      <c r="C25" s="3" t="s">
        <v>276</v>
      </c>
      <c r="D25" s="1"/>
      <c r="E25" s="1">
        <f t="shared" si="0"/>
        <v>5.9160797830996161</v>
      </c>
      <c r="F25" s="1">
        <f t="shared" si="1"/>
        <v>5</v>
      </c>
      <c r="G25" s="1">
        <f t="shared" si="2"/>
        <v>7</v>
      </c>
      <c r="H25" s="1"/>
      <c r="I25" s="1"/>
      <c r="J25" s="1"/>
      <c r="K25" s="1"/>
      <c r="L25" s="1"/>
      <c r="M25" s="1"/>
      <c r="N25" s="1">
        <v>4</v>
      </c>
      <c r="O25" s="1">
        <v>5</v>
      </c>
      <c r="P25" s="1">
        <v>7</v>
      </c>
      <c r="Q25" s="1">
        <v>0</v>
      </c>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row>
    <row r="26" spans="1:60" x14ac:dyDescent="0.2">
      <c r="A26" s="3">
        <v>24</v>
      </c>
      <c r="B26" s="3" t="s">
        <v>283</v>
      </c>
      <c r="C26" s="3" t="s">
        <v>284</v>
      </c>
      <c r="D26" s="1"/>
      <c r="E26" s="1">
        <f t="shared" si="0"/>
        <v>4.6666666666666696</v>
      </c>
      <c r="F26" s="1">
        <f t="shared" si="1"/>
        <v>4.6666666666666696</v>
      </c>
      <c r="G26" s="1">
        <f t="shared" si="2"/>
        <v>0</v>
      </c>
      <c r="H26" s="1"/>
      <c r="I26" s="1"/>
      <c r="J26" s="1"/>
      <c r="K26" s="1"/>
      <c r="L26" s="1"/>
      <c r="M26" s="1"/>
      <c r="N26" s="1">
        <v>3.8</v>
      </c>
      <c r="O26" s="1">
        <v>4.6666666666666696</v>
      </c>
      <c r="P26" s="1">
        <v>0</v>
      </c>
      <c r="Q26" s="1">
        <v>0</v>
      </c>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row>
    <row r="27" spans="1:60" x14ac:dyDescent="0.2">
      <c r="A27" s="3">
        <v>25</v>
      </c>
      <c r="B27" s="3" t="s">
        <v>289</v>
      </c>
      <c r="C27" s="3" t="s">
        <v>290</v>
      </c>
      <c r="D27" s="1"/>
      <c r="E27" s="1">
        <f t="shared" si="0"/>
        <v>5.4772255750516612</v>
      </c>
      <c r="F27" s="1">
        <f t="shared" si="1"/>
        <v>3</v>
      </c>
      <c r="G27" s="1">
        <f t="shared" si="2"/>
        <v>10</v>
      </c>
      <c r="H27" s="1"/>
      <c r="I27" s="1"/>
      <c r="J27" s="1"/>
      <c r="K27" s="1"/>
      <c r="L27" s="1"/>
      <c r="M27" s="1"/>
      <c r="N27" s="1">
        <v>2.8</v>
      </c>
      <c r="O27" s="1">
        <v>3</v>
      </c>
      <c r="P27" s="1">
        <v>10</v>
      </c>
      <c r="Q27" s="1">
        <v>0</v>
      </c>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row>
    <row r="28" spans="1:60" x14ac:dyDescent="0.2">
      <c r="A28" s="3">
        <v>26</v>
      </c>
      <c r="B28" s="3" t="s">
        <v>296</v>
      </c>
      <c r="C28" s="3" t="s">
        <v>297</v>
      </c>
      <c r="D28" s="1"/>
      <c r="E28" s="1">
        <f t="shared" si="0"/>
        <v>4.1666666666666696</v>
      </c>
      <c r="F28" s="1">
        <f t="shared" si="1"/>
        <v>4.1666666666666696</v>
      </c>
      <c r="G28" s="1">
        <f t="shared" si="2"/>
        <v>0</v>
      </c>
      <c r="H28" s="1"/>
      <c r="I28" s="1"/>
      <c r="J28" s="1"/>
      <c r="K28" s="1"/>
      <c r="L28" s="1"/>
      <c r="M28" s="1"/>
      <c r="N28" s="1">
        <v>3.5</v>
      </c>
      <c r="O28" s="1">
        <v>4.1666666666666696</v>
      </c>
      <c r="P28" s="1">
        <v>0</v>
      </c>
      <c r="Q28" s="1">
        <v>0</v>
      </c>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row>
    <row r="29" spans="1:60" x14ac:dyDescent="0.2">
      <c r="A29" s="3">
        <v>27</v>
      </c>
      <c r="B29" s="3" t="s">
        <v>301</v>
      </c>
      <c r="C29" s="3" t="s">
        <v>302</v>
      </c>
      <c r="D29" s="1"/>
      <c r="E29" s="1">
        <f t="shared" si="0"/>
        <v>2.8333333333333299</v>
      </c>
      <c r="F29" s="1">
        <f t="shared" si="1"/>
        <v>2.8333333333333299</v>
      </c>
      <c r="G29" s="1">
        <f t="shared" si="2"/>
        <v>0</v>
      </c>
      <c r="H29" s="1"/>
      <c r="I29" s="1"/>
      <c r="J29" s="1"/>
      <c r="K29" s="1"/>
      <c r="L29" s="1"/>
      <c r="M29" s="1"/>
      <c r="N29" s="1">
        <v>2.7</v>
      </c>
      <c r="O29" s="1">
        <v>2.8333333333333299</v>
      </c>
      <c r="P29" s="1">
        <v>0</v>
      </c>
      <c r="Q29" s="1">
        <v>0</v>
      </c>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row>
    <row r="30" spans="1:60" x14ac:dyDescent="0.2">
      <c r="A30" s="3">
        <v>28</v>
      </c>
      <c r="B30" s="3" t="s">
        <v>307</v>
      </c>
      <c r="C30" s="3" t="s">
        <v>308</v>
      </c>
      <c r="D30" s="1"/>
      <c r="E30" s="1">
        <f t="shared" si="0"/>
        <v>3.5</v>
      </c>
      <c r="F30" s="1">
        <f t="shared" si="1"/>
        <v>3.5</v>
      </c>
      <c r="G30" s="1">
        <f t="shared" si="2"/>
        <v>0</v>
      </c>
      <c r="H30" s="1"/>
      <c r="I30" s="1"/>
      <c r="J30" s="1"/>
      <c r="K30" s="1"/>
      <c r="L30" s="1"/>
      <c r="M30" s="1"/>
      <c r="N30" s="1">
        <v>3.1</v>
      </c>
      <c r="O30" s="1">
        <v>3.5</v>
      </c>
      <c r="P30" s="1">
        <v>0</v>
      </c>
      <c r="Q30" s="1">
        <v>0</v>
      </c>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row>
    <row r="31" spans="1:60" x14ac:dyDescent="0.2">
      <c r="A31" s="3">
        <v>29</v>
      </c>
      <c r="B31" s="3" t="s">
        <v>314</v>
      </c>
      <c r="C31" s="3" t="s">
        <v>315</v>
      </c>
      <c r="D31" s="1"/>
      <c r="E31" s="1">
        <f t="shared" si="0"/>
        <v>5.6666666666666696</v>
      </c>
      <c r="F31" s="1">
        <f t="shared" si="1"/>
        <v>5.6666666666666696</v>
      </c>
      <c r="G31" s="1">
        <f t="shared" si="2"/>
        <v>0</v>
      </c>
      <c r="H31" s="1"/>
      <c r="I31" s="1"/>
      <c r="J31" s="1"/>
      <c r="K31" s="1"/>
      <c r="L31" s="1"/>
      <c r="M31" s="1"/>
      <c r="N31" s="1">
        <v>4.4000000000000004</v>
      </c>
      <c r="O31" s="1">
        <v>5.6666666666666696</v>
      </c>
      <c r="P31" s="1">
        <v>0</v>
      </c>
      <c r="Q31" s="1">
        <v>0</v>
      </c>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row>
    <row r="32" spans="1:60" x14ac:dyDescent="0.2">
      <c r="A32" s="3">
        <v>30</v>
      </c>
      <c r="B32" s="3" t="s">
        <v>320</v>
      </c>
      <c r="C32" s="3" t="s">
        <v>321</v>
      </c>
      <c r="D32" s="1"/>
      <c r="E32" s="1">
        <f t="shared" si="0"/>
        <v>2.1666666666666701</v>
      </c>
      <c r="F32" s="1">
        <f t="shared" si="1"/>
        <v>2.1666666666666701</v>
      </c>
      <c r="G32" s="1">
        <f t="shared" si="2"/>
        <v>0</v>
      </c>
      <c r="H32" s="1"/>
      <c r="I32" s="1"/>
      <c r="J32" s="1"/>
      <c r="K32" s="1"/>
      <c r="L32" s="1"/>
      <c r="M32" s="1"/>
      <c r="N32" s="1">
        <v>2.2999999999999998</v>
      </c>
      <c r="O32" s="1">
        <v>2.1666666666666701</v>
      </c>
      <c r="P32" s="1">
        <v>0</v>
      </c>
      <c r="Q32" s="1">
        <v>0</v>
      </c>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row>
    <row r="33" spans="1:60" x14ac:dyDescent="0.2">
      <c r="A33" s="3">
        <v>31</v>
      </c>
      <c r="B33" s="3" t="s">
        <v>325</v>
      </c>
      <c r="C33" s="3" t="s">
        <v>326</v>
      </c>
      <c r="D33" s="1"/>
      <c r="E33" s="1">
        <f t="shared" si="0"/>
        <v>8.6666666666666696</v>
      </c>
      <c r="F33" s="1">
        <f t="shared" si="1"/>
        <v>8.6666666666666696</v>
      </c>
      <c r="G33" s="1">
        <f t="shared" si="2"/>
        <v>0</v>
      </c>
      <c r="H33" s="1"/>
      <c r="I33" s="1"/>
      <c r="J33" s="1"/>
      <c r="K33" s="1"/>
      <c r="L33" s="1"/>
      <c r="M33" s="1"/>
      <c r="N33" s="1">
        <v>6.2</v>
      </c>
      <c r="O33" s="1">
        <v>8.6666666666666696</v>
      </c>
      <c r="P33" s="1">
        <v>0</v>
      </c>
      <c r="Q33" s="1">
        <v>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row>
    <row r="34" spans="1:60" x14ac:dyDescent="0.2">
      <c r="A34" s="3">
        <v>32</v>
      </c>
      <c r="B34" s="3" t="s">
        <v>331</v>
      </c>
      <c r="C34" s="3" t="s">
        <v>332</v>
      </c>
      <c r="D34" s="1"/>
      <c r="E34" s="1">
        <f t="shared" si="0"/>
        <v>10</v>
      </c>
      <c r="F34" s="1">
        <f t="shared" si="1"/>
        <v>10</v>
      </c>
      <c r="G34" s="1">
        <f t="shared" si="2"/>
        <v>0</v>
      </c>
      <c r="H34" s="1"/>
      <c r="I34" s="1"/>
      <c r="J34" s="1"/>
      <c r="K34" s="1"/>
      <c r="L34" s="1"/>
      <c r="M34" s="1"/>
      <c r="N34" s="1">
        <v>7.5</v>
      </c>
      <c r="O34" s="1">
        <v>10</v>
      </c>
      <c r="P34" s="1">
        <v>0</v>
      </c>
      <c r="Q34" s="1">
        <v>0</v>
      </c>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row>
    <row r="35" spans="1:60" x14ac:dyDescent="0.2">
      <c r="A35" s="3">
        <v>33</v>
      </c>
      <c r="B35" s="3" t="s">
        <v>337</v>
      </c>
      <c r="C35" s="3" t="s">
        <v>338</v>
      </c>
      <c r="D35" s="1"/>
      <c r="E35" s="1">
        <f t="shared" ref="E35:E66" si="3">IFERROR(GEOMEAN(F35, G35), MAX(F35, G35))</f>
        <v>4.6666666666666696</v>
      </c>
      <c r="F35" s="1">
        <f t="shared" ref="F35:F66" si="4">MAX(O35)</f>
        <v>4.6666666666666696</v>
      </c>
      <c r="G35" s="1">
        <f t="shared" ref="G35:G66" si="5">MAX(M35, P35, Q35)</f>
        <v>0</v>
      </c>
      <c r="H35" s="1"/>
      <c r="I35" s="1"/>
      <c r="J35" s="1"/>
      <c r="K35" s="1"/>
      <c r="L35" s="1"/>
      <c r="M35" s="1"/>
      <c r="N35" s="1">
        <v>3.8</v>
      </c>
      <c r="O35" s="1">
        <v>4.6666666666666696</v>
      </c>
      <c r="P35" s="1">
        <v>0</v>
      </c>
      <c r="Q35" s="1">
        <v>0</v>
      </c>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row>
    <row r="36" spans="1:60" x14ac:dyDescent="0.2">
      <c r="A36" s="3">
        <v>34</v>
      </c>
      <c r="B36" s="3" t="s">
        <v>343</v>
      </c>
      <c r="C36" s="3" t="s">
        <v>344</v>
      </c>
      <c r="D36" s="1"/>
      <c r="E36" s="1">
        <f t="shared" si="3"/>
        <v>4.3333333333333304</v>
      </c>
      <c r="F36" s="1">
        <f t="shared" si="4"/>
        <v>4.3333333333333304</v>
      </c>
      <c r="G36" s="1">
        <f t="shared" si="5"/>
        <v>0</v>
      </c>
      <c r="H36" s="1"/>
      <c r="I36" s="1"/>
      <c r="J36" s="1"/>
      <c r="K36" s="1"/>
      <c r="L36" s="1"/>
      <c r="M36" s="1"/>
      <c r="N36" s="1">
        <v>3.6</v>
      </c>
      <c r="O36" s="1">
        <v>4.3333333333333304</v>
      </c>
      <c r="P36" s="1">
        <v>0</v>
      </c>
      <c r="Q36" s="1">
        <v>0</v>
      </c>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row>
    <row r="37" spans="1:60" x14ac:dyDescent="0.2">
      <c r="A37" s="3">
        <v>35</v>
      </c>
      <c r="B37" s="3" t="s">
        <v>352</v>
      </c>
      <c r="C37" s="3" t="s">
        <v>353</v>
      </c>
      <c r="D37" s="1"/>
      <c r="E37" s="1">
        <f t="shared" si="3"/>
        <v>5.8333333333333304</v>
      </c>
      <c r="F37" s="1">
        <f t="shared" si="4"/>
        <v>5.8333333333333304</v>
      </c>
      <c r="G37" s="1">
        <f t="shared" si="5"/>
        <v>0</v>
      </c>
      <c r="H37" s="1"/>
      <c r="I37" s="1"/>
      <c r="J37" s="1"/>
      <c r="K37" s="1"/>
      <c r="L37" s="1"/>
      <c r="M37" s="1"/>
      <c r="N37" s="1">
        <v>4.5</v>
      </c>
      <c r="O37" s="1">
        <v>5.8333333333333304</v>
      </c>
      <c r="P37" s="1">
        <v>0</v>
      </c>
      <c r="Q37" s="1">
        <v>0</v>
      </c>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row>
    <row r="38" spans="1:60" x14ac:dyDescent="0.2">
      <c r="A38" s="3">
        <v>36</v>
      </c>
      <c r="B38" s="3" t="s">
        <v>360</v>
      </c>
      <c r="C38" s="3" t="s">
        <v>361</v>
      </c>
      <c r="D38" s="1"/>
      <c r="E38" s="1">
        <f t="shared" si="3"/>
        <v>4.8333333333333304</v>
      </c>
      <c r="F38" s="1">
        <f t="shared" si="4"/>
        <v>4.8333333333333304</v>
      </c>
      <c r="G38" s="1">
        <f t="shared" si="5"/>
        <v>0</v>
      </c>
      <c r="H38" s="1"/>
      <c r="I38" s="1"/>
      <c r="J38" s="1"/>
      <c r="K38" s="1"/>
      <c r="L38" s="1"/>
      <c r="M38" s="1"/>
      <c r="N38" s="1">
        <v>3.9</v>
      </c>
      <c r="O38" s="1">
        <v>4.8333333333333304</v>
      </c>
      <c r="P38" s="1">
        <v>0</v>
      </c>
      <c r="Q38" s="1">
        <v>0</v>
      </c>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row>
    <row r="39" spans="1:60" x14ac:dyDescent="0.2">
      <c r="A39" s="3">
        <v>37</v>
      </c>
      <c r="B39" s="3" t="s">
        <v>365</v>
      </c>
      <c r="C39" s="3" t="s">
        <v>366</v>
      </c>
      <c r="D39" s="1"/>
      <c r="E39" s="1">
        <f t="shared" si="3"/>
        <v>8.1547532151500448</v>
      </c>
      <c r="F39" s="1">
        <f t="shared" si="4"/>
        <v>9.5</v>
      </c>
      <c r="G39" s="1">
        <f t="shared" si="5"/>
        <v>7</v>
      </c>
      <c r="H39" s="1"/>
      <c r="I39" s="1"/>
      <c r="J39" s="1"/>
      <c r="K39" s="1"/>
      <c r="L39" s="1"/>
      <c r="M39" s="1"/>
      <c r="N39" s="1">
        <v>6.7</v>
      </c>
      <c r="O39" s="1">
        <v>9.5</v>
      </c>
      <c r="P39" s="1">
        <v>7</v>
      </c>
      <c r="Q39" s="1">
        <v>0</v>
      </c>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row>
    <row r="40" spans="1:60" x14ac:dyDescent="0.2">
      <c r="A40" s="3">
        <v>38</v>
      </c>
      <c r="B40" s="3" t="s">
        <v>373</v>
      </c>
      <c r="C40" s="3" t="s">
        <v>374</v>
      </c>
      <c r="D40" s="1"/>
      <c r="E40" s="1">
        <f t="shared" si="3"/>
        <v>2.8333333333333299</v>
      </c>
      <c r="F40" s="1">
        <f t="shared" si="4"/>
        <v>2.8333333333333299</v>
      </c>
      <c r="G40" s="1">
        <f t="shared" si="5"/>
        <v>0</v>
      </c>
      <c r="H40" s="1"/>
      <c r="I40" s="1"/>
      <c r="J40" s="1"/>
      <c r="K40" s="1"/>
      <c r="L40" s="1"/>
      <c r="M40" s="1"/>
      <c r="N40" s="1">
        <v>2.7</v>
      </c>
      <c r="O40" s="1">
        <v>2.8333333333333299</v>
      </c>
      <c r="P40" s="1">
        <v>0</v>
      </c>
      <c r="Q40" s="1">
        <v>0</v>
      </c>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row>
    <row r="41" spans="1:60" x14ac:dyDescent="0.2">
      <c r="A41" s="3">
        <v>39</v>
      </c>
      <c r="B41" s="3" t="s">
        <v>377</v>
      </c>
      <c r="C41" s="3" t="s">
        <v>378</v>
      </c>
      <c r="D41" s="1"/>
      <c r="E41" s="1">
        <f t="shared" si="3"/>
        <v>0.83333333333333404</v>
      </c>
      <c r="F41" s="1">
        <f t="shared" si="4"/>
        <v>0.83333333333333404</v>
      </c>
      <c r="G41" s="1">
        <f t="shared" si="5"/>
        <v>0</v>
      </c>
      <c r="H41" s="1"/>
      <c r="I41" s="1"/>
      <c r="J41" s="1"/>
      <c r="K41" s="1"/>
      <c r="L41" s="1"/>
      <c r="M41" s="1"/>
      <c r="N41" s="1">
        <v>1.5</v>
      </c>
      <c r="O41" s="1">
        <v>0.83333333333333404</v>
      </c>
      <c r="P41" s="1">
        <v>0</v>
      </c>
      <c r="Q41" s="1">
        <v>0</v>
      </c>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row>
    <row r="42" spans="1:60" x14ac:dyDescent="0.2">
      <c r="A42" s="3">
        <v>40</v>
      </c>
      <c r="B42" s="3" t="s">
        <v>383</v>
      </c>
      <c r="C42" s="3" t="s">
        <v>384</v>
      </c>
      <c r="D42" s="1"/>
      <c r="E42" s="1">
        <f t="shared" si="3"/>
        <v>8.3333333333333304</v>
      </c>
      <c r="F42" s="1">
        <f t="shared" si="4"/>
        <v>8.3333333333333304</v>
      </c>
      <c r="G42" s="1">
        <f t="shared" si="5"/>
        <v>0</v>
      </c>
      <c r="H42" s="1"/>
      <c r="I42" s="1"/>
      <c r="J42" s="1"/>
      <c r="K42" s="1"/>
      <c r="L42" s="1"/>
      <c r="M42" s="1"/>
      <c r="N42" s="1">
        <v>6</v>
      </c>
      <c r="O42" s="1">
        <v>8.3333333333333304</v>
      </c>
      <c r="P42" s="1">
        <v>0</v>
      </c>
      <c r="Q42" s="1">
        <v>0</v>
      </c>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row>
    <row r="43" spans="1:60" x14ac:dyDescent="0.2">
      <c r="A43" s="3">
        <v>41</v>
      </c>
      <c r="B43" s="3" t="s">
        <v>390</v>
      </c>
      <c r="C43" s="3" t="s">
        <v>391</v>
      </c>
      <c r="D43" s="1"/>
      <c r="E43" s="1">
        <f t="shared" si="3"/>
        <v>8.7559503577091338</v>
      </c>
      <c r="F43" s="1">
        <f t="shared" si="4"/>
        <v>7.6666666666666696</v>
      </c>
      <c r="G43" s="1">
        <f t="shared" si="5"/>
        <v>10</v>
      </c>
      <c r="H43" s="1"/>
      <c r="I43" s="1"/>
      <c r="J43" s="1"/>
      <c r="K43" s="1"/>
      <c r="L43" s="1"/>
      <c r="M43" s="1"/>
      <c r="N43" s="1">
        <v>5.6</v>
      </c>
      <c r="O43" s="1">
        <v>7.6666666666666696</v>
      </c>
      <c r="P43" s="1">
        <v>10</v>
      </c>
      <c r="Q43" s="1">
        <v>0</v>
      </c>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row>
    <row r="44" spans="1:60" x14ac:dyDescent="0.2">
      <c r="A44" s="3">
        <v>42</v>
      </c>
      <c r="B44" s="3" t="s">
        <v>394</v>
      </c>
      <c r="C44" s="3" t="s">
        <v>395</v>
      </c>
      <c r="D44" s="1"/>
      <c r="E44" s="1">
        <f t="shared" si="3"/>
        <v>5.5</v>
      </c>
      <c r="F44" s="1">
        <f t="shared" si="4"/>
        <v>5.5</v>
      </c>
      <c r="G44" s="1">
        <f t="shared" si="5"/>
        <v>0</v>
      </c>
      <c r="H44" s="1"/>
      <c r="I44" s="1"/>
      <c r="J44" s="1"/>
      <c r="K44" s="1"/>
      <c r="L44" s="1"/>
      <c r="M44" s="1"/>
      <c r="N44" s="1">
        <v>4.3</v>
      </c>
      <c r="O44" s="1">
        <v>5.5</v>
      </c>
      <c r="P44" s="1">
        <v>0</v>
      </c>
      <c r="Q44" s="1">
        <v>0</v>
      </c>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row>
    <row r="45" spans="1:60" x14ac:dyDescent="0.2">
      <c r="A45" s="3">
        <v>43</v>
      </c>
      <c r="B45" s="3" t="s">
        <v>401</v>
      </c>
      <c r="C45" s="3" t="s">
        <v>402</v>
      </c>
      <c r="D45" s="1"/>
      <c r="E45" s="1">
        <f t="shared" si="3"/>
        <v>1.1666666666666701</v>
      </c>
      <c r="F45" s="1">
        <f t="shared" si="4"/>
        <v>1.1666666666666701</v>
      </c>
      <c r="G45" s="1">
        <f t="shared" si="5"/>
        <v>0</v>
      </c>
      <c r="H45" s="1"/>
      <c r="I45" s="1"/>
      <c r="J45" s="1"/>
      <c r="K45" s="1"/>
      <c r="L45" s="1"/>
      <c r="M45" s="1"/>
      <c r="N45" s="1">
        <v>1.7</v>
      </c>
      <c r="O45" s="1">
        <v>1.1666666666666701</v>
      </c>
      <c r="P45" s="1">
        <v>0</v>
      </c>
      <c r="Q45" s="1">
        <v>0</v>
      </c>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row>
    <row r="46" spans="1:60" x14ac:dyDescent="0.2">
      <c r="A46" s="3">
        <v>44</v>
      </c>
      <c r="B46" s="3" t="s">
        <v>406</v>
      </c>
      <c r="C46" s="3" t="s">
        <v>407</v>
      </c>
      <c r="D46" s="1"/>
      <c r="E46" s="1">
        <f t="shared" si="3"/>
        <v>2.5</v>
      </c>
      <c r="F46" s="1">
        <f t="shared" si="4"/>
        <v>2.5</v>
      </c>
      <c r="G46" s="1">
        <f t="shared" si="5"/>
        <v>0</v>
      </c>
      <c r="H46" s="1"/>
      <c r="I46" s="1"/>
      <c r="J46" s="1"/>
      <c r="K46" s="1"/>
      <c r="L46" s="1"/>
      <c r="M46" s="1"/>
      <c r="N46" s="1">
        <v>2.5</v>
      </c>
      <c r="O46" s="1">
        <v>2.5</v>
      </c>
      <c r="P46" s="1">
        <v>0</v>
      </c>
      <c r="Q46" s="1">
        <v>0</v>
      </c>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row>
    <row r="47" spans="1:60" x14ac:dyDescent="0.2">
      <c r="A47" s="3">
        <v>45</v>
      </c>
      <c r="B47" s="3" t="s">
        <v>412</v>
      </c>
      <c r="C47" s="3" t="s">
        <v>413</v>
      </c>
      <c r="D47" s="1"/>
      <c r="E47" s="1">
        <f t="shared" si="3"/>
        <v>7.1647284200682249</v>
      </c>
      <c r="F47" s="1">
        <f t="shared" si="4"/>
        <v>7.3333333333333304</v>
      </c>
      <c r="G47" s="1">
        <f t="shared" si="5"/>
        <v>7</v>
      </c>
      <c r="H47" s="1"/>
      <c r="I47" s="1"/>
      <c r="J47" s="1"/>
      <c r="K47" s="1"/>
      <c r="L47" s="1"/>
      <c r="M47" s="1"/>
      <c r="N47" s="1">
        <v>5.4</v>
      </c>
      <c r="O47" s="1">
        <v>7.3333333333333304</v>
      </c>
      <c r="P47" s="1">
        <v>0</v>
      </c>
      <c r="Q47" s="1">
        <v>7</v>
      </c>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row>
    <row r="48" spans="1:60" x14ac:dyDescent="0.2">
      <c r="A48" s="3">
        <v>46</v>
      </c>
      <c r="B48" s="3" t="s">
        <v>416</v>
      </c>
      <c r="C48" s="3" t="s">
        <v>417</v>
      </c>
      <c r="D48" s="1"/>
      <c r="E48" s="1">
        <f t="shared" si="3"/>
        <v>6.5</v>
      </c>
      <c r="F48" s="1">
        <f t="shared" si="4"/>
        <v>6.5</v>
      </c>
      <c r="G48" s="1">
        <f t="shared" si="5"/>
        <v>0</v>
      </c>
      <c r="H48" s="1"/>
      <c r="I48" s="1"/>
      <c r="J48" s="1"/>
      <c r="K48" s="1"/>
      <c r="L48" s="1"/>
      <c r="M48" s="1"/>
      <c r="N48" s="1">
        <v>4.9000000000000004</v>
      </c>
      <c r="O48" s="1">
        <v>6.5</v>
      </c>
      <c r="P48" s="1">
        <v>0</v>
      </c>
      <c r="Q48" s="1">
        <v>0</v>
      </c>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row>
    <row r="49" spans="1:60" x14ac:dyDescent="0.2">
      <c r="A49" s="3">
        <v>47</v>
      </c>
      <c r="B49" s="3" t="s">
        <v>421</v>
      </c>
      <c r="C49" s="3" t="s">
        <v>422</v>
      </c>
      <c r="D49" s="1"/>
      <c r="E49" s="1">
        <f t="shared" si="3"/>
        <v>0.66666666666666796</v>
      </c>
      <c r="F49" s="1">
        <f t="shared" si="4"/>
        <v>0.66666666666666796</v>
      </c>
      <c r="G49" s="1">
        <f t="shared" si="5"/>
        <v>0</v>
      </c>
      <c r="H49" s="1"/>
      <c r="I49" s="1"/>
      <c r="J49" s="1"/>
      <c r="K49" s="1"/>
      <c r="L49" s="1"/>
      <c r="M49" s="1"/>
      <c r="N49" s="1">
        <v>1.4</v>
      </c>
      <c r="O49" s="1">
        <v>0.66666666666666796</v>
      </c>
      <c r="P49" s="1">
        <v>0</v>
      </c>
      <c r="Q49" s="1">
        <v>0</v>
      </c>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row>
    <row r="50" spans="1:60" x14ac:dyDescent="0.2">
      <c r="A50" s="3">
        <v>48</v>
      </c>
      <c r="B50" s="3" t="s">
        <v>427</v>
      </c>
      <c r="C50" s="3" t="s">
        <v>428</v>
      </c>
      <c r="D50" s="1"/>
      <c r="E50" s="1">
        <f t="shared" si="3"/>
        <v>9.5</v>
      </c>
      <c r="F50" s="1">
        <f t="shared" si="4"/>
        <v>9.5</v>
      </c>
      <c r="G50" s="1">
        <f t="shared" si="5"/>
        <v>0</v>
      </c>
      <c r="H50" s="1"/>
      <c r="I50" s="1"/>
      <c r="J50" s="1"/>
      <c r="K50" s="1"/>
      <c r="L50" s="1"/>
      <c r="M50" s="1"/>
      <c r="N50" s="1">
        <v>6.7</v>
      </c>
      <c r="O50" s="1">
        <v>9.5</v>
      </c>
      <c r="P50" s="1">
        <v>0</v>
      </c>
      <c r="Q50" s="1">
        <v>0</v>
      </c>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row>
    <row r="51" spans="1:60" x14ac:dyDescent="0.2">
      <c r="A51" s="3">
        <v>49</v>
      </c>
      <c r="B51" s="3" t="s">
        <v>432</v>
      </c>
      <c r="C51" s="3" t="s">
        <v>433</v>
      </c>
      <c r="D51" s="1"/>
      <c r="E51" s="1">
        <f t="shared" si="3"/>
        <v>6.1666666666666696</v>
      </c>
      <c r="F51" s="1">
        <f t="shared" si="4"/>
        <v>6.1666666666666696</v>
      </c>
      <c r="G51" s="1">
        <f t="shared" si="5"/>
        <v>0</v>
      </c>
      <c r="H51" s="1"/>
      <c r="I51" s="1"/>
      <c r="J51" s="1"/>
      <c r="K51" s="1"/>
      <c r="L51" s="1"/>
      <c r="M51" s="1"/>
      <c r="N51" s="1">
        <v>4.7</v>
      </c>
      <c r="O51" s="1">
        <v>6.1666666666666696</v>
      </c>
      <c r="P51" s="1">
        <v>0</v>
      </c>
      <c r="Q51" s="1">
        <v>0</v>
      </c>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row>
    <row r="52" spans="1:60" x14ac:dyDescent="0.2">
      <c r="A52" s="3">
        <v>50</v>
      </c>
      <c r="B52" s="3" t="s">
        <v>438</v>
      </c>
      <c r="C52" s="3" t="s">
        <v>439</v>
      </c>
      <c r="D52" s="1"/>
      <c r="E52" s="1">
        <f t="shared" si="3"/>
        <v>9.8333333333333304</v>
      </c>
      <c r="F52" s="1">
        <f t="shared" si="4"/>
        <v>9.8333333333333304</v>
      </c>
      <c r="G52" s="1">
        <f t="shared" si="5"/>
        <v>0</v>
      </c>
      <c r="H52" s="1"/>
      <c r="I52" s="1"/>
      <c r="J52" s="1"/>
      <c r="K52" s="1"/>
      <c r="L52" s="1"/>
      <c r="M52" s="1"/>
      <c r="N52" s="1">
        <v>6.9</v>
      </c>
      <c r="O52" s="1">
        <v>9.8333333333333304</v>
      </c>
      <c r="P52" s="1">
        <v>0</v>
      </c>
      <c r="Q52" s="1">
        <v>0</v>
      </c>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row>
    <row r="53" spans="1:60" x14ac:dyDescent="0.2">
      <c r="A53" s="3">
        <v>51</v>
      </c>
      <c r="B53" s="3" t="s">
        <v>443</v>
      </c>
      <c r="C53" s="3" t="s">
        <v>444</v>
      </c>
      <c r="D53" s="1"/>
      <c r="E53" s="1">
        <f t="shared" si="3"/>
        <v>6.5</v>
      </c>
      <c r="F53" s="1">
        <f t="shared" si="4"/>
        <v>6.5</v>
      </c>
      <c r="G53" s="1">
        <f t="shared" si="5"/>
        <v>0</v>
      </c>
      <c r="H53" s="1"/>
      <c r="I53" s="1"/>
      <c r="J53" s="1"/>
      <c r="K53" s="1"/>
      <c r="L53" s="1"/>
      <c r="M53" s="1"/>
      <c r="N53" s="1">
        <v>4.9000000000000004</v>
      </c>
      <c r="O53" s="1">
        <v>6.5</v>
      </c>
      <c r="P53" s="1">
        <v>0</v>
      </c>
      <c r="Q53" s="1">
        <v>0</v>
      </c>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row>
    <row r="54" spans="1:60" x14ac:dyDescent="0.2">
      <c r="A54" s="3">
        <v>52</v>
      </c>
      <c r="B54" s="3" t="s">
        <v>449</v>
      </c>
      <c r="C54" s="3" t="s">
        <v>450</v>
      </c>
      <c r="D54" s="1"/>
      <c r="E54" s="1">
        <f t="shared" si="3"/>
        <v>6.7082039324993685</v>
      </c>
      <c r="F54" s="1">
        <f t="shared" si="4"/>
        <v>4.5</v>
      </c>
      <c r="G54" s="1">
        <f t="shared" si="5"/>
        <v>10</v>
      </c>
      <c r="H54" s="1"/>
      <c r="I54" s="1"/>
      <c r="J54" s="1"/>
      <c r="K54" s="1"/>
      <c r="L54" s="1"/>
      <c r="M54" s="1"/>
      <c r="N54" s="1">
        <v>3.7</v>
      </c>
      <c r="O54" s="1">
        <v>4.5</v>
      </c>
      <c r="P54" s="1">
        <v>0</v>
      </c>
      <c r="Q54" s="1">
        <v>10</v>
      </c>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row>
    <row r="55" spans="1:60" x14ac:dyDescent="0.2">
      <c r="A55" s="3">
        <v>53</v>
      </c>
      <c r="B55" s="3" t="s">
        <v>453</v>
      </c>
      <c r="C55" s="3" t="s">
        <v>454</v>
      </c>
      <c r="D55" s="1"/>
      <c r="E55" s="1">
        <f t="shared" si="3"/>
        <v>5.1666666666666696</v>
      </c>
      <c r="F55" s="1">
        <f t="shared" si="4"/>
        <v>5.1666666666666696</v>
      </c>
      <c r="G55" s="1">
        <f t="shared" si="5"/>
        <v>0</v>
      </c>
      <c r="H55" s="1"/>
      <c r="I55" s="1"/>
      <c r="J55" s="1"/>
      <c r="K55" s="1"/>
      <c r="L55" s="1"/>
      <c r="M55" s="1"/>
      <c r="N55" s="1">
        <v>4.0999999999999996</v>
      </c>
      <c r="O55" s="1">
        <v>5.1666666666666696</v>
      </c>
      <c r="P55" s="1">
        <v>0</v>
      </c>
      <c r="Q55" s="1">
        <v>0</v>
      </c>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row>
    <row r="56" spans="1:60" x14ac:dyDescent="0.2">
      <c r="A56" s="3">
        <v>54</v>
      </c>
      <c r="B56" s="3" t="s">
        <v>459</v>
      </c>
      <c r="C56" s="3" t="s">
        <v>460</v>
      </c>
      <c r="D56" s="1"/>
      <c r="E56" s="1">
        <f t="shared" si="3"/>
        <v>0</v>
      </c>
      <c r="F56" s="1">
        <f t="shared" si="4"/>
        <v>0</v>
      </c>
      <c r="G56" s="1">
        <f t="shared" si="5"/>
        <v>0</v>
      </c>
      <c r="H56" s="1"/>
      <c r="I56" s="1"/>
      <c r="J56" s="1"/>
      <c r="K56" s="1"/>
      <c r="L56" s="1"/>
      <c r="M56" s="1"/>
      <c r="N56" s="1">
        <v>0.9</v>
      </c>
      <c r="O56" s="1">
        <v>0</v>
      </c>
      <c r="P56" s="1">
        <v>0</v>
      </c>
      <c r="Q56" s="1">
        <v>0</v>
      </c>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row>
    <row r="57" spans="1:60" x14ac:dyDescent="0.2">
      <c r="A57" s="3">
        <v>55</v>
      </c>
      <c r="B57" s="3" t="s">
        <v>465</v>
      </c>
      <c r="C57" s="3" t="s">
        <v>466</v>
      </c>
      <c r="D57" s="1"/>
      <c r="E57" s="1">
        <f t="shared" si="3"/>
        <v>7.5277265270908122</v>
      </c>
      <c r="F57" s="1">
        <f t="shared" si="4"/>
        <v>5.6666666666666696</v>
      </c>
      <c r="G57" s="1">
        <f t="shared" si="5"/>
        <v>10</v>
      </c>
      <c r="H57" s="1"/>
      <c r="I57" s="1"/>
      <c r="J57" s="1"/>
      <c r="K57" s="1"/>
      <c r="L57" s="1"/>
      <c r="M57" s="1"/>
      <c r="N57" s="1">
        <v>4.4000000000000004</v>
      </c>
      <c r="O57" s="1">
        <v>5.6666666666666696</v>
      </c>
      <c r="P57" s="1">
        <v>0</v>
      </c>
      <c r="Q57" s="1">
        <v>10</v>
      </c>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row>
    <row r="58" spans="1:60" x14ac:dyDescent="0.2">
      <c r="A58" s="3">
        <v>56</v>
      </c>
      <c r="B58" s="3" t="s">
        <v>471</v>
      </c>
      <c r="C58" s="3" t="s">
        <v>472</v>
      </c>
      <c r="D58" s="1"/>
      <c r="E58" s="1">
        <f t="shared" si="3"/>
        <v>0</v>
      </c>
      <c r="F58" s="1">
        <f t="shared" si="4"/>
        <v>0</v>
      </c>
      <c r="G58" s="1">
        <f t="shared" si="5"/>
        <v>0</v>
      </c>
      <c r="H58" s="1"/>
      <c r="I58" s="1"/>
      <c r="J58" s="1"/>
      <c r="K58" s="1"/>
      <c r="L58" s="1"/>
      <c r="M58" s="1"/>
      <c r="N58" s="1">
        <v>0.6</v>
      </c>
      <c r="O58" s="1">
        <v>0</v>
      </c>
      <c r="P58" s="1">
        <v>0</v>
      </c>
      <c r="Q58" s="1">
        <v>0</v>
      </c>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row>
    <row r="59" spans="1:60" x14ac:dyDescent="0.2">
      <c r="A59" s="3">
        <v>57</v>
      </c>
      <c r="B59" s="3" t="s">
        <v>476</v>
      </c>
      <c r="C59" s="3" t="s">
        <v>477</v>
      </c>
      <c r="D59" s="1"/>
      <c r="E59" s="1">
        <f t="shared" si="3"/>
        <v>6.9522178715380676</v>
      </c>
      <c r="F59" s="1">
        <f t="shared" si="4"/>
        <v>4.8333333333333304</v>
      </c>
      <c r="G59" s="1">
        <f t="shared" si="5"/>
        <v>10</v>
      </c>
      <c r="H59" s="1"/>
      <c r="I59" s="1"/>
      <c r="J59" s="1"/>
      <c r="K59" s="1"/>
      <c r="L59" s="1"/>
      <c r="M59" s="1"/>
      <c r="N59" s="1">
        <v>3.9</v>
      </c>
      <c r="O59" s="1">
        <v>4.8333333333333304</v>
      </c>
      <c r="P59" s="1">
        <v>10</v>
      </c>
      <c r="Q59" s="1">
        <v>0</v>
      </c>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row>
    <row r="60" spans="1:60" x14ac:dyDescent="0.2">
      <c r="A60" s="3">
        <v>58</v>
      </c>
      <c r="B60" s="3" t="s">
        <v>481</v>
      </c>
      <c r="C60" s="3" t="s">
        <v>482</v>
      </c>
      <c r="D60" s="1"/>
      <c r="E60" s="1">
        <f t="shared" si="3"/>
        <v>4</v>
      </c>
      <c r="F60" s="1">
        <f t="shared" si="4"/>
        <v>4</v>
      </c>
      <c r="G60" s="1">
        <f t="shared" si="5"/>
        <v>0</v>
      </c>
      <c r="H60" s="1"/>
      <c r="I60" s="1"/>
      <c r="J60" s="1"/>
      <c r="K60" s="1"/>
      <c r="L60" s="1"/>
      <c r="M60" s="1"/>
      <c r="N60" s="1">
        <v>3.4</v>
      </c>
      <c r="O60" s="1">
        <v>4</v>
      </c>
      <c r="P60" s="1">
        <v>0</v>
      </c>
      <c r="Q60" s="1">
        <v>0</v>
      </c>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row>
    <row r="61" spans="1:60" x14ac:dyDescent="0.2">
      <c r="A61" s="3">
        <v>59</v>
      </c>
      <c r="B61" s="3" t="s">
        <v>486</v>
      </c>
      <c r="C61" s="3" t="s">
        <v>487</v>
      </c>
      <c r="D61" s="1"/>
      <c r="E61" s="1">
        <f t="shared" si="3"/>
        <v>7.3029674334022125</v>
      </c>
      <c r="F61" s="1">
        <f t="shared" si="4"/>
        <v>5.3333333333333304</v>
      </c>
      <c r="G61" s="1">
        <f t="shared" si="5"/>
        <v>10</v>
      </c>
      <c r="H61" s="1"/>
      <c r="I61" s="1"/>
      <c r="J61" s="1"/>
      <c r="K61" s="1"/>
      <c r="L61" s="1"/>
      <c r="M61" s="1"/>
      <c r="N61" s="1">
        <v>4.2</v>
      </c>
      <c r="O61" s="1">
        <v>5.3333333333333304</v>
      </c>
      <c r="P61" s="1">
        <v>10</v>
      </c>
      <c r="Q61" s="1">
        <v>0</v>
      </c>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row>
    <row r="62" spans="1:60" x14ac:dyDescent="0.2">
      <c r="A62" s="3">
        <v>60</v>
      </c>
      <c r="B62" s="3" t="s">
        <v>488</v>
      </c>
      <c r="C62" s="3" t="s">
        <v>489</v>
      </c>
      <c r="D62" s="1"/>
      <c r="E62" s="1">
        <f t="shared" si="3"/>
        <v>2.5</v>
      </c>
      <c r="F62" s="1">
        <f t="shared" si="4"/>
        <v>2.5</v>
      </c>
      <c r="G62" s="1">
        <f t="shared" si="5"/>
        <v>0</v>
      </c>
      <c r="H62" s="1"/>
      <c r="I62" s="1"/>
      <c r="J62" s="1"/>
      <c r="K62" s="1"/>
      <c r="L62" s="1"/>
      <c r="M62" s="1"/>
      <c r="N62" s="1">
        <v>2.5</v>
      </c>
      <c r="O62" s="1">
        <v>2.5</v>
      </c>
      <c r="P62" s="1">
        <v>0</v>
      </c>
      <c r="Q62" s="1">
        <v>0</v>
      </c>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row>
    <row r="63" spans="1:60" x14ac:dyDescent="0.2">
      <c r="A63" s="3">
        <v>61</v>
      </c>
      <c r="B63" s="3" t="s">
        <v>492</v>
      </c>
      <c r="C63" s="3" t="s">
        <v>493</v>
      </c>
      <c r="D63" s="1"/>
      <c r="E63" s="1">
        <f t="shared" si="3"/>
        <v>2.3333333333333299</v>
      </c>
      <c r="F63" s="1">
        <f t="shared" si="4"/>
        <v>2.3333333333333299</v>
      </c>
      <c r="G63" s="1">
        <f t="shared" si="5"/>
        <v>0</v>
      </c>
      <c r="H63" s="1"/>
      <c r="I63" s="1"/>
      <c r="J63" s="1"/>
      <c r="K63" s="1"/>
      <c r="L63" s="1"/>
      <c r="M63" s="1"/>
      <c r="N63" s="1">
        <v>2.4</v>
      </c>
      <c r="O63" s="1">
        <v>2.3333333333333299</v>
      </c>
      <c r="P63" s="1">
        <v>0</v>
      </c>
      <c r="Q63" s="1">
        <v>0</v>
      </c>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row>
    <row r="64" spans="1:60" x14ac:dyDescent="0.2">
      <c r="A64" s="3">
        <v>62</v>
      </c>
      <c r="B64" s="3" t="s">
        <v>495</v>
      </c>
      <c r="C64" s="3" t="s">
        <v>496</v>
      </c>
      <c r="D64" s="1"/>
      <c r="E64" s="1">
        <f t="shared" si="3"/>
        <v>5.8333333333333304</v>
      </c>
      <c r="F64" s="1">
        <f t="shared" si="4"/>
        <v>5.8333333333333304</v>
      </c>
      <c r="G64" s="1">
        <f t="shared" si="5"/>
        <v>0</v>
      </c>
      <c r="H64" s="1"/>
      <c r="I64" s="1"/>
      <c r="J64" s="1"/>
      <c r="K64" s="1"/>
      <c r="L64" s="1"/>
      <c r="M64" s="1"/>
      <c r="N64" s="1">
        <v>4.5</v>
      </c>
      <c r="O64" s="1">
        <v>5.8333333333333304</v>
      </c>
      <c r="P64" s="1">
        <v>0</v>
      </c>
      <c r="Q64" s="1">
        <v>0</v>
      </c>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row>
    <row r="65" spans="1:60" x14ac:dyDescent="0.2">
      <c r="A65" s="3">
        <v>63</v>
      </c>
      <c r="B65" s="3" t="s">
        <v>501</v>
      </c>
      <c r="C65" s="3" t="s">
        <v>502</v>
      </c>
      <c r="D65" s="1"/>
      <c r="E65" s="1">
        <f t="shared" si="3"/>
        <v>4.5</v>
      </c>
      <c r="F65" s="1">
        <f t="shared" si="4"/>
        <v>4.5</v>
      </c>
      <c r="G65" s="1">
        <f t="shared" si="5"/>
        <v>0</v>
      </c>
      <c r="H65" s="1"/>
      <c r="I65" s="1"/>
      <c r="J65" s="1"/>
      <c r="K65" s="1"/>
      <c r="L65" s="1"/>
      <c r="M65" s="1"/>
      <c r="N65" s="1">
        <v>3.7</v>
      </c>
      <c r="O65" s="1">
        <v>4.5</v>
      </c>
      <c r="P65" s="1">
        <v>0</v>
      </c>
      <c r="Q65" s="1">
        <v>0</v>
      </c>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row>
    <row r="66" spans="1:60" x14ac:dyDescent="0.2">
      <c r="A66" s="3">
        <v>64</v>
      </c>
      <c r="B66" s="3" t="s">
        <v>507</v>
      </c>
      <c r="C66" s="3" t="s">
        <v>508</v>
      </c>
      <c r="D66" s="1"/>
      <c r="E66" s="1">
        <f t="shared" si="3"/>
        <v>4.8333333333333304</v>
      </c>
      <c r="F66" s="1">
        <f t="shared" si="4"/>
        <v>4.8333333333333304</v>
      </c>
      <c r="G66" s="1">
        <f t="shared" si="5"/>
        <v>0</v>
      </c>
      <c r="H66" s="1"/>
      <c r="I66" s="1"/>
      <c r="J66" s="1"/>
      <c r="K66" s="1"/>
      <c r="L66" s="1"/>
      <c r="M66" s="1"/>
      <c r="N66" s="1">
        <v>3.9</v>
      </c>
      <c r="O66" s="1">
        <v>4.8333333333333304</v>
      </c>
      <c r="P66" s="1">
        <v>0</v>
      </c>
      <c r="Q66" s="1">
        <v>0</v>
      </c>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row>
    <row r="67" spans="1:60" x14ac:dyDescent="0.2">
      <c r="A67" s="3">
        <v>65</v>
      </c>
      <c r="B67" s="3" t="s">
        <v>512</v>
      </c>
      <c r="C67" s="3" t="s">
        <v>513</v>
      </c>
      <c r="D67" s="1"/>
      <c r="E67" s="1">
        <f t="shared" ref="E67:E98" si="6">IFERROR(GEOMEAN(F67, G67), MAX(F67, G67))</f>
        <v>3.5</v>
      </c>
      <c r="F67" s="1">
        <f t="shared" ref="F67:F98" si="7">MAX(O67)</f>
        <v>3.5</v>
      </c>
      <c r="G67" s="1">
        <f t="shared" ref="G67:G98" si="8">MAX(M67, P67, Q67)</f>
        <v>0</v>
      </c>
      <c r="H67" s="1"/>
      <c r="I67" s="1"/>
      <c r="J67" s="1"/>
      <c r="K67" s="1"/>
      <c r="L67" s="1"/>
      <c r="M67" s="1"/>
      <c r="N67" s="1">
        <v>3.1</v>
      </c>
      <c r="O67" s="1">
        <v>3.5</v>
      </c>
      <c r="P67" s="1">
        <v>0</v>
      </c>
      <c r="Q67" s="1">
        <v>0</v>
      </c>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row>
    <row r="68" spans="1:60" x14ac:dyDescent="0.2">
      <c r="A68" s="3">
        <v>66</v>
      </c>
      <c r="B68" s="3" t="s">
        <v>517</v>
      </c>
      <c r="C68" s="3" t="s">
        <v>518</v>
      </c>
      <c r="D68" s="1"/>
      <c r="E68" s="1">
        <f t="shared" si="6"/>
        <v>2.8333333333333299</v>
      </c>
      <c r="F68" s="1">
        <f t="shared" si="7"/>
        <v>2.8333333333333299</v>
      </c>
      <c r="G68" s="1">
        <f t="shared" si="8"/>
        <v>0</v>
      </c>
      <c r="H68" s="1"/>
      <c r="I68" s="1"/>
      <c r="J68" s="1"/>
      <c r="K68" s="1"/>
      <c r="L68" s="1"/>
      <c r="M68" s="1"/>
      <c r="N68" s="1">
        <v>2.7</v>
      </c>
      <c r="O68" s="1">
        <v>2.8333333333333299</v>
      </c>
      <c r="P68" s="1">
        <v>0</v>
      </c>
      <c r="Q68" s="1">
        <v>0</v>
      </c>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row>
    <row r="69" spans="1:60" x14ac:dyDescent="0.2">
      <c r="A69" s="3">
        <v>67</v>
      </c>
      <c r="B69" s="3" t="s">
        <v>522</v>
      </c>
      <c r="C69" s="3" t="s">
        <v>523</v>
      </c>
      <c r="D69" s="1"/>
      <c r="E69" s="1">
        <f t="shared" si="6"/>
        <v>3.1666666666666701</v>
      </c>
      <c r="F69" s="1">
        <f t="shared" si="7"/>
        <v>3.1666666666666701</v>
      </c>
      <c r="G69" s="1">
        <f t="shared" si="8"/>
        <v>0</v>
      </c>
      <c r="H69" s="1"/>
      <c r="I69" s="1"/>
      <c r="J69" s="1"/>
      <c r="K69" s="1"/>
      <c r="L69" s="1"/>
      <c r="M69" s="1"/>
      <c r="N69" s="1">
        <v>2.9</v>
      </c>
      <c r="O69" s="1">
        <v>3.1666666666666701</v>
      </c>
      <c r="P69" s="1">
        <v>0</v>
      </c>
      <c r="Q69" s="1">
        <v>0</v>
      </c>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row>
    <row r="70" spans="1:60" x14ac:dyDescent="0.2">
      <c r="A70" s="3">
        <v>68</v>
      </c>
      <c r="B70" s="3" t="s">
        <v>525</v>
      </c>
      <c r="C70" s="3" t="s">
        <v>526</v>
      </c>
      <c r="D70" s="1"/>
      <c r="E70" s="1">
        <f t="shared" si="6"/>
        <v>8.1666666666666696</v>
      </c>
      <c r="F70" s="1">
        <f t="shared" si="7"/>
        <v>8.1666666666666696</v>
      </c>
      <c r="G70" s="1">
        <f t="shared" si="8"/>
        <v>0</v>
      </c>
      <c r="H70" s="1"/>
      <c r="I70" s="1"/>
      <c r="J70" s="1"/>
      <c r="K70" s="1"/>
      <c r="L70" s="1"/>
      <c r="M70" s="1"/>
      <c r="N70" s="1">
        <v>5.9</v>
      </c>
      <c r="O70" s="1">
        <v>8.1666666666666696</v>
      </c>
      <c r="P70" s="1">
        <v>0</v>
      </c>
      <c r="Q70" s="1">
        <v>0</v>
      </c>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row>
    <row r="71" spans="1:60" x14ac:dyDescent="0.2">
      <c r="A71" s="3">
        <v>69</v>
      </c>
      <c r="B71" s="3" t="s">
        <v>531</v>
      </c>
      <c r="C71" s="3" t="s">
        <v>532</v>
      </c>
      <c r="D71" s="1"/>
      <c r="E71" s="1">
        <f t="shared" si="6"/>
        <v>3.4156502553198709</v>
      </c>
      <c r="F71" s="1">
        <f t="shared" si="7"/>
        <v>1.1666666666666701</v>
      </c>
      <c r="G71" s="1">
        <f t="shared" si="8"/>
        <v>10</v>
      </c>
      <c r="H71" s="1"/>
      <c r="I71" s="1"/>
      <c r="J71" s="1"/>
      <c r="K71" s="1"/>
      <c r="L71" s="1"/>
      <c r="M71" s="1"/>
      <c r="N71" s="1">
        <v>1.7</v>
      </c>
      <c r="O71" s="1">
        <v>1.1666666666666701</v>
      </c>
      <c r="P71" s="1">
        <v>10</v>
      </c>
      <c r="Q71" s="1">
        <v>0</v>
      </c>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row>
    <row r="72" spans="1:60" x14ac:dyDescent="0.2">
      <c r="A72" s="3">
        <v>70</v>
      </c>
      <c r="B72" s="3" t="s">
        <v>534</v>
      </c>
      <c r="C72" s="3" t="s">
        <v>535</v>
      </c>
      <c r="D72" s="1"/>
      <c r="E72" s="1">
        <f t="shared" si="6"/>
        <v>9.5</v>
      </c>
      <c r="F72" s="1">
        <f t="shared" si="7"/>
        <v>9.5</v>
      </c>
      <c r="G72" s="1">
        <f t="shared" si="8"/>
        <v>0</v>
      </c>
      <c r="H72" s="1"/>
      <c r="I72" s="1" t="s">
        <v>1286</v>
      </c>
      <c r="J72" s="1" t="s">
        <v>1287</v>
      </c>
      <c r="K72" s="1" t="s">
        <v>1288</v>
      </c>
      <c r="L72" s="1" t="s">
        <v>1289</v>
      </c>
      <c r="M72" s="1">
        <v>0</v>
      </c>
      <c r="N72" s="1">
        <v>6.7</v>
      </c>
      <c r="O72" s="1">
        <v>9.5</v>
      </c>
      <c r="P72" s="1">
        <v>0</v>
      </c>
      <c r="Q72" s="1">
        <v>0</v>
      </c>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row>
    <row r="73" spans="1:60" x14ac:dyDescent="0.2">
      <c r="A73" s="3">
        <v>71</v>
      </c>
      <c r="B73" s="3" t="s">
        <v>539</v>
      </c>
      <c r="C73" s="3" t="s">
        <v>540</v>
      </c>
      <c r="D73" s="1"/>
      <c r="E73" s="1">
        <f t="shared" si="6"/>
        <v>6.8313005106397346</v>
      </c>
      <c r="F73" s="1">
        <f t="shared" si="7"/>
        <v>4.6666666666666696</v>
      </c>
      <c r="G73" s="1">
        <f t="shared" si="8"/>
        <v>10</v>
      </c>
      <c r="H73" s="1"/>
      <c r="I73" s="1"/>
      <c r="J73" s="1"/>
      <c r="K73" s="1"/>
      <c r="L73" s="1"/>
      <c r="M73" s="1"/>
      <c r="N73" s="1">
        <v>3.8</v>
      </c>
      <c r="O73" s="1">
        <v>4.6666666666666696</v>
      </c>
      <c r="P73" s="1">
        <v>10</v>
      </c>
      <c r="Q73" s="1">
        <v>0</v>
      </c>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row>
    <row r="74" spans="1:60" x14ac:dyDescent="0.2">
      <c r="A74" s="3">
        <v>72</v>
      </c>
      <c r="B74" s="3" t="s">
        <v>543</v>
      </c>
      <c r="C74" s="3" t="s">
        <v>544</v>
      </c>
      <c r="D74" s="1"/>
      <c r="E74" s="1">
        <f t="shared" si="6"/>
        <v>9.1666666666666696</v>
      </c>
      <c r="F74" s="1">
        <f t="shared" si="7"/>
        <v>9.1666666666666696</v>
      </c>
      <c r="G74" s="1">
        <f t="shared" si="8"/>
        <v>0</v>
      </c>
      <c r="H74" s="1"/>
      <c r="I74" s="1"/>
      <c r="J74" s="1"/>
      <c r="K74" s="1"/>
      <c r="L74" s="1"/>
      <c r="M74" s="1"/>
      <c r="N74" s="1">
        <v>6.5</v>
      </c>
      <c r="O74" s="1">
        <v>9.1666666666666696</v>
      </c>
      <c r="P74" s="1">
        <v>0</v>
      </c>
      <c r="Q74" s="1">
        <v>0</v>
      </c>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row>
    <row r="75" spans="1:60" x14ac:dyDescent="0.2">
      <c r="A75" s="3">
        <v>73</v>
      </c>
      <c r="B75" s="3" t="s">
        <v>549</v>
      </c>
      <c r="C75" s="3" t="s">
        <v>550</v>
      </c>
      <c r="D75" s="1"/>
      <c r="E75" s="1">
        <f t="shared" si="6"/>
        <v>6.3333333333333304</v>
      </c>
      <c r="F75" s="1">
        <f t="shared" si="7"/>
        <v>6.3333333333333304</v>
      </c>
      <c r="G75" s="1">
        <f t="shared" si="8"/>
        <v>0</v>
      </c>
      <c r="H75" s="1"/>
      <c r="I75" s="1"/>
      <c r="J75" s="1"/>
      <c r="K75" s="1"/>
      <c r="L75" s="1"/>
      <c r="M75" s="1"/>
      <c r="N75" s="1">
        <v>4.8</v>
      </c>
      <c r="O75" s="1">
        <v>6.3333333333333304</v>
      </c>
      <c r="P75" s="1">
        <v>0</v>
      </c>
      <c r="Q75" s="1">
        <v>0</v>
      </c>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row>
    <row r="76" spans="1:60" x14ac:dyDescent="0.2">
      <c r="A76" s="3">
        <v>74</v>
      </c>
      <c r="B76" s="3" t="s">
        <v>555</v>
      </c>
      <c r="C76" s="3" t="s">
        <v>556</v>
      </c>
      <c r="D76" s="1"/>
      <c r="E76" s="1">
        <f t="shared" si="6"/>
        <v>10</v>
      </c>
      <c r="F76" s="1">
        <f t="shared" si="7"/>
        <v>10</v>
      </c>
      <c r="G76" s="1">
        <f t="shared" si="8"/>
        <v>0</v>
      </c>
      <c r="H76" s="1"/>
      <c r="I76" s="1"/>
      <c r="J76" s="1"/>
      <c r="K76" s="1"/>
      <c r="L76" s="1"/>
      <c r="M76" s="1"/>
      <c r="N76" s="1">
        <v>7</v>
      </c>
      <c r="O76" s="1">
        <v>10</v>
      </c>
      <c r="P76" s="1">
        <v>0</v>
      </c>
      <c r="Q76" s="1">
        <v>0</v>
      </c>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row>
    <row r="77" spans="1:60" x14ac:dyDescent="0.2">
      <c r="A77" s="3">
        <v>75</v>
      </c>
      <c r="B77" s="3" t="s">
        <v>562</v>
      </c>
      <c r="C77" s="3" t="s">
        <v>563</v>
      </c>
      <c r="D77" s="1"/>
      <c r="E77" s="1">
        <f t="shared" si="6"/>
        <v>4.3333333333333304</v>
      </c>
      <c r="F77" s="1">
        <f t="shared" si="7"/>
        <v>4.3333333333333304</v>
      </c>
      <c r="G77" s="1">
        <f t="shared" si="8"/>
        <v>0</v>
      </c>
      <c r="H77" s="1"/>
      <c r="I77" s="1"/>
      <c r="J77" s="1"/>
      <c r="K77" s="1"/>
      <c r="L77" s="1"/>
      <c r="M77" s="1"/>
      <c r="N77" s="1">
        <v>3.6</v>
      </c>
      <c r="O77" s="1">
        <v>4.3333333333333304</v>
      </c>
      <c r="P77" s="1">
        <v>0</v>
      </c>
      <c r="Q77" s="1">
        <v>0</v>
      </c>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row>
    <row r="78" spans="1:60" x14ac:dyDescent="0.2">
      <c r="A78" s="3">
        <v>76</v>
      </c>
      <c r="B78" s="3" t="s">
        <v>567</v>
      </c>
      <c r="C78" s="3" t="s">
        <v>568</v>
      </c>
      <c r="D78" s="1"/>
      <c r="E78" s="1">
        <f t="shared" si="6"/>
        <v>10</v>
      </c>
      <c r="F78" s="1">
        <f t="shared" si="7"/>
        <v>10</v>
      </c>
      <c r="G78" s="1">
        <f t="shared" si="8"/>
        <v>0</v>
      </c>
      <c r="H78" s="1"/>
      <c r="I78" s="1" t="s">
        <v>1290</v>
      </c>
      <c r="J78" s="1" t="s">
        <v>1283</v>
      </c>
      <c r="K78" s="1" t="s">
        <v>1288</v>
      </c>
      <c r="L78" s="1" t="s">
        <v>1291</v>
      </c>
      <c r="M78" s="1">
        <v>0</v>
      </c>
      <c r="N78" s="1">
        <v>7.7</v>
      </c>
      <c r="O78" s="1">
        <v>10</v>
      </c>
      <c r="P78" s="1">
        <v>0</v>
      </c>
      <c r="Q78" s="1">
        <v>0</v>
      </c>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row>
    <row r="79" spans="1:60" x14ac:dyDescent="0.2">
      <c r="A79" s="3">
        <v>77</v>
      </c>
      <c r="B79" s="3" t="s">
        <v>571</v>
      </c>
      <c r="C79" s="3" t="s">
        <v>572</v>
      </c>
      <c r="D79" s="1"/>
      <c r="E79" s="1">
        <f t="shared" si="6"/>
        <v>10</v>
      </c>
      <c r="F79" s="1">
        <f t="shared" si="7"/>
        <v>10</v>
      </c>
      <c r="G79" s="1">
        <f t="shared" si="8"/>
        <v>0</v>
      </c>
      <c r="H79" s="1"/>
      <c r="I79" s="1" t="s">
        <v>1292</v>
      </c>
      <c r="J79" s="1" t="s">
        <v>1287</v>
      </c>
      <c r="K79" s="1" t="s">
        <v>1288</v>
      </c>
      <c r="L79" s="1" t="s">
        <v>1293</v>
      </c>
      <c r="M79" s="1">
        <v>0</v>
      </c>
      <c r="N79" s="1">
        <v>7.8</v>
      </c>
      <c r="O79" s="1">
        <v>10</v>
      </c>
      <c r="P79" s="1">
        <v>0</v>
      </c>
      <c r="Q79" s="1">
        <v>0</v>
      </c>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row>
    <row r="80" spans="1:60" x14ac:dyDescent="0.2">
      <c r="A80" s="3">
        <v>78</v>
      </c>
      <c r="B80" s="3" t="s">
        <v>577</v>
      </c>
      <c r="C80" s="3" t="s">
        <v>578</v>
      </c>
      <c r="D80" s="1"/>
      <c r="E80" s="1">
        <f t="shared" si="6"/>
        <v>2</v>
      </c>
      <c r="F80" s="1">
        <f t="shared" si="7"/>
        <v>2</v>
      </c>
      <c r="G80" s="1">
        <f t="shared" si="8"/>
        <v>0</v>
      </c>
      <c r="H80" s="1"/>
      <c r="I80" s="1"/>
      <c r="J80" s="1"/>
      <c r="K80" s="1"/>
      <c r="L80" s="1"/>
      <c r="M80" s="1"/>
      <c r="N80" s="1">
        <v>2.2000000000000002</v>
      </c>
      <c r="O80" s="1">
        <v>2</v>
      </c>
      <c r="P80" s="1">
        <v>0</v>
      </c>
      <c r="Q80" s="1">
        <v>0</v>
      </c>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row>
    <row r="81" spans="1:60" x14ac:dyDescent="0.2">
      <c r="A81" s="3">
        <v>79</v>
      </c>
      <c r="B81" s="3" t="s">
        <v>581</v>
      </c>
      <c r="C81" s="3" t="s">
        <v>582</v>
      </c>
      <c r="D81" s="1"/>
      <c r="E81" s="1">
        <f t="shared" si="6"/>
        <v>9.6666666666666696</v>
      </c>
      <c r="F81" s="1">
        <f t="shared" si="7"/>
        <v>9.6666666666666696</v>
      </c>
      <c r="G81" s="1">
        <f t="shared" si="8"/>
        <v>0</v>
      </c>
      <c r="H81" s="1"/>
      <c r="I81" s="1"/>
      <c r="J81" s="1"/>
      <c r="K81" s="1"/>
      <c r="L81" s="1"/>
      <c r="M81" s="1"/>
      <c r="N81" s="1">
        <v>6.8</v>
      </c>
      <c r="O81" s="1">
        <v>9.6666666666666696</v>
      </c>
      <c r="P81" s="1">
        <v>0</v>
      </c>
      <c r="Q81" s="1">
        <v>0</v>
      </c>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row>
    <row r="82" spans="1:60" x14ac:dyDescent="0.2">
      <c r="A82" s="3">
        <v>80</v>
      </c>
      <c r="B82" s="3" t="s">
        <v>588</v>
      </c>
      <c r="C82" s="3" t="s">
        <v>589</v>
      </c>
      <c r="D82" s="1"/>
      <c r="E82" s="1">
        <f t="shared" si="6"/>
        <v>7.6666666666666696</v>
      </c>
      <c r="F82" s="1">
        <f t="shared" si="7"/>
        <v>7.6666666666666696</v>
      </c>
      <c r="G82" s="1">
        <f t="shared" si="8"/>
        <v>0</v>
      </c>
      <c r="H82" s="1"/>
      <c r="I82" s="1"/>
      <c r="J82" s="1"/>
      <c r="K82" s="1"/>
      <c r="L82" s="1"/>
      <c r="M82" s="1"/>
      <c r="N82" s="1">
        <v>5.6</v>
      </c>
      <c r="O82" s="1">
        <v>7.6666666666666696</v>
      </c>
      <c r="P82" s="1">
        <v>0</v>
      </c>
      <c r="Q82" s="1">
        <v>0</v>
      </c>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row>
    <row r="83" spans="1:60" x14ac:dyDescent="0.2">
      <c r="A83" s="3">
        <v>81</v>
      </c>
      <c r="B83" s="3" t="s">
        <v>593</v>
      </c>
      <c r="C83" s="3" t="s">
        <v>594</v>
      </c>
      <c r="D83" s="1"/>
      <c r="E83" s="1">
        <f t="shared" si="6"/>
        <v>2</v>
      </c>
      <c r="F83" s="1">
        <f t="shared" si="7"/>
        <v>2</v>
      </c>
      <c r="G83" s="1">
        <f t="shared" si="8"/>
        <v>0</v>
      </c>
      <c r="H83" s="1"/>
      <c r="I83" s="1"/>
      <c r="J83" s="1"/>
      <c r="K83" s="1"/>
      <c r="L83" s="1"/>
      <c r="M83" s="1"/>
      <c r="N83" s="1">
        <v>2.2000000000000002</v>
      </c>
      <c r="O83" s="1">
        <v>2</v>
      </c>
      <c r="P83" s="1">
        <v>0</v>
      </c>
      <c r="Q83" s="1">
        <v>0</v>
      </c>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row>
    <row r="84" spans="1:60" x14ac:dyDescent="0.2">
      <c r="A84" s="3">
        <v>82</v>
      </c>
      <c r="B84" s="3" t="s">
        <v>598</v>
      </c>
      <c r="C84" s="3" t="s">
        <v>599</v>
      </c>
      <c r="D84" s="1"/>
      <c r="E84" s="1">
        <f t="shared" si="6"/>
        <v>6</v>
      </c>
      <c r="F84" s="1">
        <f t="shared" si="7"/>
        <v>6</v>
      </c>
      <c r="G84" s="1">
        <f t="shared" si="8"/>
        <v>0</v>
      </c>
      <c r="H84" s="1"/>
      <c r="I84" s="1"/>
      <c r="J84" s="1"/>
      <c r="K84" s="1"/>
      <c r="L84" s="1"/>
      <c r="M84" s="1"/>
      <c r="N84" s="1">
        <v>4.5999999999999996</v>
      </c>
      <c r="O84" s="1">
        <v>6</v>
      </c>
      <c r="P84" s="1">
        <v>0</v>
      </c>
      <c r="Q84" s="1">
        <v>0</v>
      </c>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row>
    <row r="85" spans="1:60" x14ac:dyDescent="0.2">
      <c r="A85" s="3">
        <v>83</v>
      </c>
      <c r="B85" s="3" t="s">
        <v>605</v>
      </c>
      <c r="C85" s="3" t="s">
        <v>606</v>
      </c>
      <c r="D85" s="1"/>
      <c r="E85" s="1">
        <f t="shared" si="6"/>
        <v>6.8333333333333304</v>
      </c>
      <c r="F85" s="1">
        <f t="shared" si="7"/>
        <v>6.8333333333333304</v>
      </c>
      <c r="G85" s="1">
        <f t="shared" si="8"/>
        <v>0</v>
      </c>
      <c r="H85" s="1"/>
      <c r="I85" s="1" t="s">
        <v>1294</v>
      </c>
      <c r="J85" s="1" t="s">
        <v>1283</v>
      </c>
      <c r="K85" s="1" t="s">
        <v>1288</v>
      </c>
      <c r="L85" s="1" t="s">
        <v>1289</v>
      </c>
      <c r="M85" s="1">
        <v>0</v>
      </c>
      <c r="N85" s="1">
        <v>5.0999999999999996</v>
      </c>
      <c r="O85" s="1">
        <v>6.8333333333333304</v>
      </c>
      <c r="P85" s="1">
        <v>0</v>
      </c>
      <c r="Q85" s="1">
        <v>0</v>
      </c>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row>
    <row r="86" spans="1:60" x14ac:dyDescent="0.2">
      <c r="A86" s="3">
        <v>84</v>
      </c>
      <c r="B86" s="3" t="s">
        <v>609</v>
      </c>
      <c r="C86" s="3" t="s">
        <v>610</v>
      </c>
      <c r="D86" s="1"/>
      <c r="E86" s="1">
        <f t="shared" si="6"/>
        <v>7.3333333333333304</v>
      </c>
      <c r="F86" s="1">
        <f t="shared" si="7"/>
        <v>7.3333333333333304</v>
      </c>
      <c r="G86" s="1">
        <f t="shared" si="8"/>
        <v>0</v>
      </c>
      <c r="H86" s="1"/>
      <c r="I86" s="1"/>
      <c r="J86" s="1"/>
      <c r="K86" s="1"/>
      <c r="L86" s="1"/>
      <c r="M86" s="1"/>
      <c r="N86" s="1">
        <v>5.4</v>
      </c>
      <c r="O86" s="1">
        <v>7.3333333333333304</v>
      </c>
      <c r="P86" s="1">
        <v>0</v>
      </c>
      <c r="Q86" s="1">
        <v>0</v>
      </c>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row>
    <row r="87" spans="1:60" x14ac:dyDescent="0.2">
      <c r="A87" s="3">
        <v>85</v>
      </c>
      <c r="B87" s="3" t="s">
        <v>614</v>
      </c>
      <c r="C87" s="3" t="s">
        <v>615</v>
      </c>
      <c r="D87" s="1"/>
      <c r="E87" s="1">
        <f t="shared" si="6"/>
        <v>5.3333333333333304</v>
      </c>
      <c r="F87" s="1">
        <f t="shared" si="7"/>
        <v>5.3333333333333304</v>
      </c>
      <c r="G87" s="1">
        <f t="shared" si="8"/>
        <v>0</v>
      </c>
      <c r="H87" s="1"/>
      <c r="I87" s="1"/>
      <c r="J87" s="1"/>
      <c r="K87" s="1"/>
      <c r="L87" s="1"/>
      <c r="M87" s="1"/>
      <c r="N87" s="1">
        <v>4.2</v>
      </c>
      <c r="O87" s="1">
        <v>5.3333333333333304</v>
      </c>
      <c r="P87" s="1">
        <v>0</v>
      </c>
      <c r="Q87" s="1">
        <v>0</v>
      </c>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row>
    <row r="88" spans="1:60" x14ac:dyDescent="0.2">
      <c r="A88" s="3">
        <v>86</v>
      </c>
      <c r="B88" s="3" t="s">
        <v>619</v>
      </c>
      <c r="C88" s="3" t="s">
        <v>620</v>
      </c>
      <c r="D88" s="1"/>
      <c r="E88" s="1">
        <f t="shared" si="6"/>
        <v>8.3666002653407556</v>
      </c>
      <c r="F88" s="1">
        <f t="shared" si="7"/>
        <v>10</v>
      </c>
      <c r="G88" s="1">
        <f t="shared" si="8"/>
        <v>7</v>
      </c>
      <c r="H88" s="1"/>
      <c r="I88" s="1"/>
      <c r="J88" s="1"/>
      <c r="K88" s="1"/>
      <c r="L88" s="1"/>
      <c r="M88" s="1"/>
      <c r="N88" s="1">
        <v>8.1</v>
      </c>
      <c r="O88" s="1">
        <v>10</v>
      </c>
      <c r="P88" s="1">
        <v>7</v>
      </c>
      <c r="Q88" s="1">
        <v>0</v>
      </c>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row>
    <row r="89" spans="1:60" x14ac:dyDescent="0.2">
      <c r="A89" s="3">
        <v>87</v>
      </c>
      <c r="B89" s="3" t="s">
        <v>623</v>
      </c>
      <c r="C89" s="3" t="s">
        <v>624</v>
      </c>
      <c r="D89" s="1"/>
      <c r="E89" s="1">
        <f t="shared" si="6"/>
        <v>5</v>
      </c>
      <c r="F89" s="1">
        <f t="shared" si="7"/>
        <v>5</v>
      </c>
      <c r="G89" s="1">
        <f t="shared" si="8"/>
        <v>0</v>
      </c>
      <c r="H89" s="1"/>
      <c r="I89" s="1"/>
      <c r="J89" s="1"/>
      <c r="K89" s="1"/>
      <c r="L89" s="1"/>
      <c r="M89" s="1"/>
      <c r="N89" s="1">
        <v>4</v>
      </c>
      <c r="O89" s="1">
        <v>5</v>
      </c>
      <c r="P89" s="1">
        <v>0</v>
      </c>
      <c r="Q89" s="1">
        <v>0</v>
      </c>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row>
    <row r="90" spans="1:60" x14ac:dyDescent="0.2">
      <c r="A90" s="3">
        <v>88</v>
      </c>
      <c r="B90" s="3" t="s">
        <v>626</v>
      </c>
      <c r="C90" s="3" t="s">
        <v>627</v>
      </c>
      <c r="D90" s="1"/>
      <c r="E90" s="1">
        <f t="shared" si="6"/>
        <v>8.266397845091495</v>
      </c>
      <c r="F90" s="1">
        <f t="shared" si="7"/>
        <v>6.8333333333333304</v>
      </c>
      <c r="G90" s="1">
        <f t="shared" si="8"/>
        <v>10</v>
      </c>
      <c r="H90" s="1"/>
      <c r="I90" s="1"/>
      <c r="J90" s="1"/>
      <c r="K90" s="1"/>
      <c r="L90" s="1"/>
      <c r="M90" s="1"/>
      <c r="N90" s="1">
        <v>5.0999999999999996</v>
      </c>
      <c r="O90" s="1">
        <v>6.8333333333333304</v>
      </c>
      <c r="P90" s="1">
        <v>0</v>
      </c>
      <c r="Q90" s="1">
        <v>10</v>
      </c>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row>
    <row r="91" spans="1:60" x14ac:dyDescent="0.2">
      <c r="A91" s="3">
        <v>89</v>
      </c>
      <c r="B91" s="3" t="s">
        <v>631</v>
      </c>
      <c r="C91" s="3" t="s">
        <v>632</v>
      </c>
      <c r="D91" s="1"/>
      <c r="E91" s="1">
        <f t="shared" si="6"/>
        <v>6.9161646404154746</v>
      </c>
      <c r="F91" s="1">
        <f t="shared" si="7"/>
        <v>6.8333333333333304</v>
      </c>
      <c r="G91" s="1">
        <f t="shared" si="8"/>
        <v>7</v>
      </c>
      <c r="H91" s="1"/>
      <c r="I91" s="1"/>
      <c r="J91" s="1"/>
      <c r="K91" s="1"/>
      <c r="L91" s="1"/>
      <c r="M91" s="1"/>
      <c r="N91" s="1">
        <v>5.0999999999999996</v>
      </c>
      <c r="O91" s="1">
        <v>6.8333333333333304</v>
      </c>
      <c r="P91" s="1">
        <v>7</v>
      </c>
      <c r="Q91" s="1">
        <v>0</v>
      </c>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row>
    <row r="92" spans="1:60" x14ac:dyDescent="0.2">
      <c r="A92" s="3">
        <v>90</v>
      </c>
      <c r="B92" s="3" t="s">
        <v>637</v>
      </c>
      <c r="C92" s="3" t="s">
        <v>638</v>
      </c>
      <c r="D92" s="1"/>
      <c r="E92" s="1">
        <f t="shared" si="6"/>
        <v>8.9442719099991592</v>
      </c>
      <c r="F92" s="1">
        <f t="shared" si="7"/>
        <v>8</v>
      </c>
      <c r="G92" s="1">
        <f t="shared" si="8"/>
        <v>10</v>
      </c>
      <c r="H92" s="1"/>
      <c r="I92" s="1"/>
      <c r="J92" s="1"/>
      <c r="K92" s="1"/>
      <c r="L92" s="1"/>
      <c r="M92" s="1"/>
      <c r="N92" s="1">
        <v>5.8</v>
      </c>
      <c r="O92" s="1">
        <v>8</v>
      </c>
      <c r="P92" s="1">
        <v>10</v>
      </c>
      <c r="Q92" s="1">
        <v>0</v>
      </c>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row>
    <row r="93" spans="1:60" x14ac:dyDescent="0.2">
      <c r="A93" s="3">
        <v>91</v>
      </c>
      <c r="B93" s="3" t="s">
        <v>640</v>
      </c>
      <c r="C93" s="3" t="s">
        <v>641</v>
      </c>
      <c r="D93" s="1"/>
      <c r="E93" s="1">
        <f t="shared" si="6"/>
        <v>6.8313005106397346</v>
      </c>
      <c r="F93" s="1">
        <f t="shared" si="7"/>
        <v>4.6666666666666696</v>
      </c>
      <c r="G93" s="1">
        <f t="shared" si="8"/>
        <v>10</v>
      </c>
      <c r="H93" s="1"/>
      <c r="I93" s="1"/>
      <c r="J93" s="1"/>
      <c r="K93" s="1"/>
      <c r="L93" s="1"/>
      <c r="M93" s="1"/>
      <c r="N93" s="1">
        <v>3.8</v>
      </c>
      <c r="O93" s="1">
        <v>4.6666666666666696</v>
      </c>
      <c r="P93" s="1">
        <v>10</v>
      </c>
      <c r="Q93" s="1">
        <v>0</v>
      </c>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row>
    <row r="94" spans="1:60" x14ac:dyDescent="0.2">
      <c r="A94" s="3">
        <v>92</v>
      </c>
      <c r="B94" s="3" t="s">
        <v>644</v>
      </c>
      <c r="C94" s="3" t="s">
        <v>645</v>
      </c>
      <c r="D94" s="1"/>
      <c r="E94" s="1">
        <f t="shared" si="6"/>
        <v>3</v>
      </c>
      <c r="F94" s="1">
        <f t="shared" si="7"/>
        <v>3</v>
      </c>
      <c r="G94" s="1">
        <f t="shared" si="8"/>
        <v>0</v>
      </c>
      <c r="H94" s="1"/>
      <c r="I94" s="1"/>
      <c r="J94" s="1"/>
      <c r="K94" s="1"/>
      <c r="L94" s="1"/>
      <c r="M94" s="1"/>
      <c r="N94" s="1">
        <v>2.8</v>
      </c>
      <c r="O94" s="1">
        <v>3</v>
      </c>
      <c r="P94" s="1">
        <v>0</v>
      </c>
      <c r="Q94" s="1">
        <v>0</v>
      </c>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row>
    <row r="95" spans="1:60" x14ac:dyDescent="0.2">
      <c r="A95" s="3">
        <v>93</v>
      </c>
      <c r="B95" s="3" t="s">
        <v>648</v>
      </c>
      <c r="C95" s="3" t="s">
        <v>649</v>
      </c>
      <c r="D95" s="1"/>
      <c r="E95" s="1">
        <f t="shared" si="6"/>
        <v>8.1666666666666696</v>
      </c>
      <c r="F95" s="1">
        <f t="shared" si="7"/>
        <v>8.1666666666666696</v>
      </c>
      <c r="G95" s="1">
        <f t="shared" si="8"/>
        <v>0</v>
      </c>
      <c r="H95" s="1"/>
      <c r="I95" s="1"/>
      <c r="J95" s="1"/>
      <c r="K95" s="1"/>
      <c r="L95" s="1"/>
      <c r="M95" s="1"/>
      <c r="N95" s="1">
        <v>5.9</v>
      </c>
      <c r="O95" s="1">
        <v>8.1666666666666696</v>
      </c>
      <c r="P95" s="1">
        <v>0</v>
      </c>
      <c r="Q95" s="1">
        <v>0</v>
      </c>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row>
    <row r="96" spans="1:60" x14ac:dyDescent="0.2">
      <c r="A96" s="3">
        <v>94</v>
      </c>
      <c r="B96" s="3" t="s">
        <v>653</v>
      </c>
      <c r="C96" s="3" t="s">
        <v>654</v>
      </c>
      <c r="D96" s="1"/>
      <c r="E96" s="1">
        <f t="shared" si="6"/>
        <v>1</v>
      </c>
      <c r="F96" s="1">
        <f t="shared" si="7"/>
        <v>1</v>
      </c>
      <c r="G96" s="1">
        <f t="shared" si="8"/>
        <v>0</v>
      </c>
      <c r="H96" s="1"/>
      <c r="I96" s="1"/>
      <c r="J96" s="1"/>
      <c r="K96" s="1"/>
      <c r="L96" s="1"/>
      <c r="M96" s="1"/>
      <c r="N96" s="1">
        <v>1.6</v>
      </c>
      <c r="O96" s="1">
        <v>1</v>
      </c>
      <c r="P96" s="1">
        <v>0</v>
      </c>
      <c r="Q96" s="1">
        <v>0</v>
      </c>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row>
    <row r="97" spans="1:60" x14ac:dyDescent="0.2">
      <c r="A97" s="3">
        <v>95</v>
      </c>
      <c r="B97" s="3" t="s">
        <v>658</v>
      </c>
      <c r="C97" s="3" t="s">
        <v>659</v>
      </c>
      <c r="D97" s="1"/>
      <c r="E97" s="1">
        <f t="shared" si="6"/>
        <v>6.7453687816160208</v>
      </c>
      <c r="F97" s="1">
        <f t="shared" si="7"/>
        <v>6.5</v>
      </c>
      <c r="G97" s="1">
        <f t="shared" si="8"/>
        <v>7</v>
      </c>
      <c r="H97" s="1"/>
      <c r="I97" s="1"/>
      <c r="J97" s="1"/>
      <c r="K97" s="1"/>
      <c r="L97" s="1"/>
      <c r="M97" s="1"/>
      <c r="N97" s="1">
        <v>4.9000000000000004</v>
      </c>
      <c r="O97" s="1">
        <v>6.5</v>
      </c>
      <c r="P97" s="1">
        <v>7</v>
      </c>
      <c r="Q97" s="1">
        <v>0</v>
      </c>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row>
    <row r="98" spans="1:60" x14ac:dyDescent="0.2">
      <c r="A98" s="3">
        <v>96</v>
      </c>
      <c r="B98" s="3" t="s">
        <v>661</v>
      </c>
      <c r="C98" s="3" t="s">
        <v>662</v>
      </c>
      <c r="D98" s="1"/>
      <c r="E98" s="1">
        <f t="shared" si="6"/>
        <v>7</v>
      </c>
      <c r="F98" s="1">
        <f t="shared" si="7"/>
        <v>7</v>
      </c>
      <c r="G98" s="1">
        <f t="shared" si="8"/>
        <v>0</v>
      </c>
      <c r="H98" s="1"/>
      <c r="I98" s="1"/>
      <c r="J98" s="1"/>
      <c r="K98" s="1"/>
      <c r="L98" s="1"/>
      <c r="M98" s="1"/>
      <c r="N98" s="1">
        <v>5.2</v>
      </c>
      <c r="O98" s="1">
        <v>7</v>
      </c>
      <c r="P98" s="1">
        <v>0</v>
      </c>
      <c r="Q98" s="1">
        <v>0</v>
      </c>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row>
    <row r="99" spans="1:60" x14ac:dyDescent="0.2">
      <c r="A99" s="3">
        <v>97</v>
      </c>
      <c r="B99" s="3" t="s">
        <v>667</v>
      </c>
      <c r="C99" s="3" t="s">
        <v>668</v>
      </c>
      <c r="D99" s="1"/>
      <c r="E99" s="1">
        <f t="shared" ref="E99:E130" si="9">IFERROR(GEOMEAN(F99, G99), MAX(F99, G99))</f>
        <v>5</v>
      </c>
      <c r="F99" s="1">
        <f t="shared" ref="F99:F130" si="10">MAX(O99)</f>
        <v>5</v>
      </c>
      <c r="G99" s="1">
        <f t="shared" ref="G99:G130" si="11">MAX(M99, P99, Q99)</f>
        <v>0</v>
      </c>
      <c r="H99" s="1"/>
      <c r="I99" s="1"/>
      <c r="J99" s="1"/>
      <c r="K99" s="1"/>
      <c r="L99" s="1"/>
      <c r="M99" s="1"/>
      <c r="N99" s="1">
        <v>4</v>
      </c>
      <c r="O99" s="1">
        <v>5</v>
      </c>
      <c r="P99" s="1">
        <v>0</v>
      </c>
      <c r="Q99" s="1">
        <v>0</v>
      </c>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row>
    <row r="100" spans="1:60" x14ac:dyDescent="0.2">
      <c r="A100" s="3">
        <v>98</v>
      </c>
      <c r="B100" s="3" t="s">
        <v>672</v>
      </c>
      <c r="C100" s="3" t="s">
        <v>673</v>
      </c>
      <c r="D100" s="1"/>
      <c r="E100" s="1">
        <f t="shared" si="9"/>
        <v>4.5</v>
      </c>
      <c r="F100" s="1">
        <f t="shared" si="10"/>
        <v>4.5</v>
      </c>
      <c r="G100" s="1">
        <f t="shared" si="11"/>
        <v>0</v>
      </c>
      <c r="H100" s="1"/>
      <c r="I100" s="1"/>
      <c r="J100" s="1"/>
      <c r="K100" s="1"/>
      <c r="L100" s="1"/>
      <c r="M100" s="1"/>
      <c r="N100" s="1">
        <v>3.7</v>
      </c>
      <c r="O100" s="1">
        <v>4.5</v>
      </c>
      <c r="P100" s="1">
        <v>0</v>
      </c>
      <c r="Q100" s="1">
        <v>0</v>
      </c>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row>
    <row r="101" spans="1:60" x14ac:dyDescent="0.2">
      <c r="A101" s="3">
        <v>99</v>
      </c>
      <c r="B101" s="3" t="s">
        <v>676</v>
      </c>
      <c r="C101" s="3" t="s">
        <v>677</v>
      </c>
      <c r="D101" s="1"/>
      <c r="E101" s="1">
        <f t="shared" si="9"/>
        <v>2.6666666666666701</v>
      </c>
      <c r="F101" s="1">
        <f t="shared" si="10"/>
        <v>2.6666666666666701</v>
      </c>
      <c r="G101" s="1">
        <f t="shared" si="11"/>
        <v>0</v>
      </c>
      <c r="H101" s="1"/>
      <c r="I101" s="1"/>
      <c r="J101" s="1"/>
      <c r="K101" s="1"/>
      <c r="L101" s="1"/>
      <c r="M101" s="1"/>
      <c r="N101" s="1">
        <v>2.6</v>
      </c>
      <c r="O101" s="1">
        <v>2.6666666666666701</v>
      </c>
      <c r="P101" s="1">
        <v>0</v>
      </c>
      <c r="Q101" s="1">
        <v>0</v>
      </c>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row>
    <row r="102" spans="1:60" x14ac:dyDescent="0.2">
      <c r="A102" s="3">
        <v>100</v>
      </c>
      <c r="B102" s="3" t="s">
        <v>680</v>
      </c>
      <c r="C102" s="3" t="s">
        <v>681</v>
      </c>
      <c r="D102" s="1"/>
      <c r="E102" s="1">
        <f t="shared" si="9"/>
        <v>0.5</v>
      </c>
      <c r="F102" s="1">
        <f t="shared" si="10"/>
        <v>0.5</v>
      </c>
      <c r="G102" s="1">
        <f t="shared" si="11"/>
        <v>0</v>
      </c>
      <c r="H102" s="1"/>
      <c r="I102" s="1"/>
      <c r="J102" s="1"/>
      <c r="K102" s="1"/>
      <c r="L102" s="1"/>
      <c r="M102" s="1"/>
      <c r="N102" s="1">
        <v>1.3</v>
      </c>
      <c r="O102" s="1">
        <v>0.5</v>
      </c>
      <c r="P102" s="1">
        <v>0</v>
      </c>
      <c r="Q102" s="1">
        <v>0</v>
      </c>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row>
    <row r="103" spans="1:60" x14ac:dyDescent="0.2">
      <c r="A103" s="3">
        <v>101</v>
      </c>
      <c r="B103" s="3" t="s">
        <v>683</v>
      </c>
      <c r="C103" s="3" t="s">
        <v>684</v>
      </c>
      <c r="D103" s="1"/>
      <c r="E103" s="1">
        <f t="shared" si="9"/>
        <v>8.3666002653407556</v>
      </c>
      <c r="F103" s="1">
        <f t="shared" si="10"/>
        <v>7</v>
      </c>
      <c r="G103" s="1">
        <f t="shared" si="11"/>
        <v>10</v>
      </c>
      <c r="H103" s="1"/>
      <c r="I103" s="1"/>
      <c r="J103" s="1"/>
      <c r="K103" s="1"/>
      <c r="L103" s="1"/>
      <c r="M103" s="1"/>
      <c r="N103" s="1">
        <v>5.2</v>
      </c>
      <c r="O103" s="1">
        <v>7</v>
      </c>
      <c r="P103" s="1">
        <v>10</v>
      </c>
      <c r="Q103" s="1">
        <v>0</v>
      </c>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row>
    <row r="104" spans="1:60" x14ac:dyDescent="0.2">
      <c r="A104" s="3">
        <v>102</v>
      </c>
      <c r="B104" s="3" t="s">
        <v>688</v>
      </c>
      <c r="C104" s="3" t="s">
        <v>689</v>
      </c>
      <c r="D104" s="1"/>
      <c r="E104" s="1">
        <f t="shared" si="9"/>
        <v>2.5</v>
      </c>
      <c r="F104" s="1">
        <f t="shared" si="10"/>
        <v>2.5</v>
      </c>
      <c r="G104" s="1">
        <f t="shared" si="11"/>
        <v>0</v>
      </c>
      <c r="H104" s="1"/>
      <c r="I104" s="1"/>
      <c r="J104" s="1"/>
      <c r="K104" s="1"/>
      <c r="L104" s="1"/>
      <c r="M104" s="1"/>
      <c r="N104" s="1">
        <v>2.5</v>
      </c>
      <c r="O104" s="1">
        <v>2.5</v>
      </c>
      <c r="P104" s="1">
        <v>0</v>
      </c>
      <c r="Q104" s="1">
        <v>0</v>
      </c>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row>
    <row r="105" spans="1:60" x14ac:dyDescent="0.2">
      <c r="A105" s="3">
        <v>103</v>
      </c>
      <c r="B105" s="3" t="s">
        <v>693</v>
      </c>
      <c r="C105" s="3" t="s">
        <v>694</v>
      </c>
      <c r="D105" s="1"/>
      <c r="E105" s="1">
        <f t="shared" si="9"/>
        <v>1.1666666666666701</v>
      </c>
      <c r="F105" s="1">
        <f t="shared" si="10"/>
        <v>1.1666666666666701</v>
      </c>
      <c r="G105" s="1">
        <f t="shared" si="11"/>
        <v>0</v>
      </c>
      <c r="H105" s="1"/>
      <c r="I105" s="1"/>
      <c r="J105" s="1"/>
      <c r="K105" s="1"/>
      <c r="L105" s="1"/>
      <c r="M105" s="1"/>
      <c r="N105" s="1">
        <v>1.7</v>
      </c>
      <c r="O105" s="1">
        <v>1.1666666666666701</v>
      </c>
      <c r="P105" s="1">
        <v>0</v>
      </c>
      <c r="Q105" s="1">
        <v>0</v>
      </c>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row>
    <row r="106" spans="1:60" x14ac:dyDescent="0.2">
      <c r="A106" s="3">
        <v>104</v>
      </c>
      <c r="B106" s="3" t="s">
        <v>698</v>
      </c>
      <c r="C106" s="3" t="s">
        <v>699</v>
      </c>
      <c r="D106" s="1"/>
      <c r="E106" s="1">
        <f t="shared" si="9"/>
        <v>0</v>
      </c>
      <c r="F106" s="1">
        <f t="shared" si="10"/>
        <v>0</v>
      </c>
      <c r="G106" s="1">
        <f t="shared" si="11"/>
        <v>0</v>
      </c>
      <c r="H106" s="1"/>
      <c r="I106" s="1"/>
      <c r="J106" s="1"/>
      <c r="K106" s="1"/>
      <c r="L106" s="1"/>
      <c r="M106" s="1"/>
      <c r="N106" s="1">
        <v>0.8</v>
      </c>
      <c r="O106" s="1">
        <v>0</v>
      </c>
      <c r="P106" s="1">
        <v>0</v>
      </c>
      <c r="Q106" s="1">
        <v>0</v>
      </c>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row>
    <row r="107" spans="1:60" x14ac:dyDescent="0.2">
      <c r="A107" s="3">
        <v>105</v>
      </c>
      <c r="B107" s="3" t="s">
        <v>702</v>
      </c>
      <c r="C107" s="3" t="s">
        <v>703</v>
      </c>
      <c r="D107" s="1"/>
      <c r="E107" s="1">
        <f t="shared" si="9"/>
        <v>1.8333333333333299</v>
      </c>
      <c r="F107" s="1">
        <f t="shared" si="10"/>
        <v>1.8333333333333299</v>
      </c>
      <c r="G107" s="1">
        <f t="shared" si="11"/>
        <v>0</v>
      </c>
      <c r="H107" s="1"/>
      <c r="I107" s="1"/>
      <c r="J107" s="1"/>
      <c r="K107" s="1"/>
      <c r="L107" s="1"/>
      <c r="M107" s="1"/>
      <c r="N107" s="1">
        <v>2.1</v>
      </c>
      <c r="O107" s="1">
        <v>1.8333333333333299</v>
      </c>
      <c r="P107" s="1">
        <v>0</v>
      </c>
      <c r="Q107" s="1">
        <v>0</v>
      </c>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row>
    <row r="108" spans="1:60" x14ac:dyDescent="0.2">
      <c r="A108" s="3">
        <v>106</v>
      </c>
      <c r="B108" s="3" t="s">
        <v>706</v>
      </c>
      <c r="C108" s="3" t="s">
        <v>707</v>
      </c>
      <c r="D108" s="1"/>
      <c r="E108" s="1">
        <f t="shared" si="9"/>
        <v>6.1666666666666696</v>
      </c>
      <c r="F108" s="1">
        <f t="shared" si="10"/>
        <v>6.1666666666666696</v>
      </c>
      <c r="G108" s="1">
        <f t="shared" si="11"/>
        <v>0</v>
      </c>
      <c r="H108" s="1"/>
      <c r="I108" s="1" t="s">
        <v>1292</v>
      </c>
      <c r="J108" s="1" t="s">
        <v>1287</v>
      </c>
      <c r="K108" s="1" t="s">
        <v>1288</v>
      </c>
      <c r="L108" s="1" t="s">
        <v>1293</v>
      </c>
      <c r="M108" s="1">
        <v>0</v>
      </c>
      <c r="N108" s="1">
        <v>4.7</v>
      </c>
      <c r="O108" s="1">
        <v>6.1666666666666696</v>
      </c>
      <c r="P108" s="1">
        <v>0</v>
      </c>
      <c r="Q108" s="1">
        <v>0</v>
      </c>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row>
    <row r="109" spans="1:60" x14ac:dyDescent="0.2">
      <c r="A109" s="3">
        <v>107</v>
      </c>
      <c r="B109" s="3" t="s">
        <v>712</v>
      </c>
      <c r="C109" s="3" t="s">
        <v>713</v>
      </c>
      <c r="D109" s="1"/>
      <c r="E109" s="1">
        <f t="shared" si="9"/>
        <v>5.1666666666666696</v>
      </c>
      <c r="F109" s="1">
        <f t="shared" si="10"/>
        <v>5.1666666666666696</v>
      </c>
      <c r="G109" s="1">
        <f t="shared" si="11"/>
        <v>0</v>
      </c>
      <c r="H109" s="1"/>
      <c r="I109" s="1"/>
      <c r="J109" s="1"/>
      <c r="K109" s="1"/>
      <c r="L109" s="1"/>
      <c r="M109" s="1"/>
      <c r="N109" s="1">
        <v>4.0999999999999996</v>
      </c>
      <c r="O109" s="1">
        <v>5.1666666666666696</v>
      </c>
      <c r="P109" s="1">
        <v>0</v>
      </c>
      <c r="Q109" s="1">
        <v>0</v>
      </c>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row>
    <row r="110" spans="1:60" x14ac:dyDescent="0.2">
      <c r="A110" s="3">
        <v>108</v>
      </c>
      <c r="B110" s="3" t="s">
        <v>716</v>
      </c>
      <c r="C110" s="3" t="s">
        <v>717</v>
      </c>
      <c r="D110" s="1"/>
      <c r="E110" s="1">
        <f t="shared" si="9"/>
        <v>8.5</v>
      </c>
      <c r="F110" s="1">
        <f t="shared" si="10"/>
        <v>8.5</v>
      </c>
      <c r="G110" s="1">
        <f t="shared" si="11"/>
        <v>0</v>
      </c>
      <c r="H110" s="1"/>
      <c r="I110" s="1"/>
      <c r="J110" s="1"/>
      <c r="K110" s="1"/>
      <c r="L110" s="1"/>
      <c r="M110" s="1"/>
      <c r="N110" s="1">
        <v>6.1</v>
      </c>
      <c r="O110" s="1">
        <v>8.5</v>
      </c>
      <c r="P110" s="1">
        <v>0</v>
      </c>
      <c r="Q110" s="1">
        <v>0</v>
      </c>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row>
    <row r="111" spans="1:60" x14ac:dyDescent="0.2">
      <c r="A111" s="3">
        <v>109</v>
      </c>
      <c r="B111" s="3" t="s">
        <v>721</v>
      </c>
      <c r="C111" s="3" t="s">
        <v>722</v>
      </c>
      <c r="D111" s="1"/>
      <c r="E111" s="1">
        <f t="shared" si="9"/>
        <v>5.0662280511902233</v>
      </c>
      <c r="F111" s="1">
        <f t="shared" si="10"/>
        <v>3.6666666666666701</v>
      </c>
      <c r="G111" s="1">
        <f t="shared" si="11"/>
        <v>7</v>
      </c>
      <c r="H111" s="1"/>
      <c r="I111" s="1"/>
      <c r="J111" s="1"/>
      <c r="K111" s="1"/>
      <c r="L111" s="1"/>
      <c r="M111" s="1"/>
      <c r="N111" s="1">
        <v>3.2</v>
      </c>
      <c r="O111" s="1">
        <v>3.6666666666666701</v>
      </c>
      <c r="P111" s="1">
        <v>7</v>
      </c>
      <c r="Q111" s="1">
        <v>0</v>
      </c>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row>
    <row r="112" spans="1:60" x14ac:dyDescent="0.2">
      <c r="A112" s="3">
        <v>110</v>
      </c>
      <c r="B112" s="3" t="s">
        <v>725</v>
      </c>
      <c r="C112" s="3" t="s">
        <v>726</v>
      </c>
      <c r="D112" s="1"/>
      <c r="E112" s="1">
        <f t="shared" si="9"/>
        <v>8.1547532151500448</v>
      </c>
      <c r="F112" s="1">
        <f t="shared" si="10"/>
        <v>9.5</v>
      </c>
      <c r="G112" s="1">
        <f t="shared" si="11"/>
        <v>7</v>
      </c>
      <c r="H112" s="1"/>
      <c r="I112" s="1"/>
      <c r="J112" s="1"/>
      <c r="K112" s="1"/>
      <c r="L112" s="1"/>
      <c r="M112" s="1"/>
      <c r="N112" s="1">
        <v>6.7</v>
      </c>
      <c r="O112" s="1">
        <v>9.5</v>
      </c>
      <c r="P112" s="1">
        <v>7</v>
      </c>
      <c r="Q112" s="1">
        <v>0</v>
      </c>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row>
    <row r="113" spans="1:60" x14ac:dyDescent="0.2">
      <c r="A113" s="3">
        <v>111</v>
      </c>
      <c r="B113" s="3" t="s">
        <v>731</v>
      </c>
      <c r="C113" s="3" t="s">
        <v>732</v>
      </c>
      <c r="D113" s="1"/>
      <c r="E113" s="1">
        <f t="shared" si="9"/>
        <v>4.3333333333333304</v>
      </c>
      <c r="F113" s="1">
        <f t="shared" si="10"/>
        <v>4.3333333333333304</v>
      </c>
      <c r="G113" s="1">
        <f t="shared" si="11"/>
        <v>0</v>
      </c>
      <c r="H113" s="1"/>
      <c r="I113" s="1"/>
      <c r="J113" s="1"/>
      <c r="K113" s="1"/>
      <c r="L113" s="1"/>
      <c r="M113" s="1"/>
      <c r="N113" s="1">
        <v>3.6</v>
      </c>
      <c r="O113" s="1">
        <v>4.3333333333333304</v>
      </c>
      <c r="P113" s="1">
        <v>0</v>
      </c>
      <c r="Q113" s="1">
        <v>0</v>
      </c>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row>
    <row r="114" spans="1:60" x14ac:dyDescent="0.2">
      <c r="A114" s="3">
        <v>112</v>
      </c>
      <c r="B114" s="3" t="s">
        <v>733</v>
      </c>
      <c r="C114" s="3" t="s">
        <v>734</v>
      </c>
      <c r="D114" s="1"/>
      <c r="E114" s="1">
        <f t="shared" si="9"/>
        <v>4.6666666666666696</v>
      </c>
      <c r="F114" s="1">
        <f t="shared" si="10"/>
        <v>4.6666666666666696</v>
      </c>
      <c r="G114" s="1">
        <f t="shared" si="11"/>
        <v>0</v>
      </c>
      <c r="H114" s="1"/>
      <c r="I114" s="1"/>
      <c r="J114" s="1"/>
      <c r="K114" s="1"/>
      <c r="L114" s="1"/>
      <c r="M114" s="1"/>
      <c r="N114" s="1">
        <v>3.8</v>
      </c>
      <c r="O114" s="1">
        <v>4.6666666666666696</v>
      </c>
      <c r="P114" s="1">
        <v>0</v>
      </c>
      <c r="Q114" s="1">
        <v>0</v>
      </c>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row>
    <row r="115" spans="1:60" x14ac:dyDescent="0.2">
      <c r="A115" s="3">
        <v>113</v>
      </c>
      <c r="B115" s="3" t="s">
        <v>737</v>
      </c>
      <c r="C115" s="3" t="s">
        <v>738</v>
      </c>
      <c r="D115" s="1"/>
      <c r="E115" s="1">
        <f t="shared" si="9"/>
        <v>5.6666666666666696</v>
      </c>
      <c r="F115" s="1">
        <f t="shared" si="10"/>
        <v>5.6666666666666696</v>
      </c>
      <c r="G115" s="1">
        <f t="shared" si="11"/>
        <v>0</v>
      </c>
      <c r="H115" s="1"/>
      <c r="I115" s="1"/>
      <c r="J115" s="1"/>
      <c r="K115" s="1"/>
      <c r="L115" s="1"/>
      <c r="M115" s="1"/>
      <c r="N115" s="1">
        <v>4.4000000000000004</v>
      </c>
      <c r="O115" s="1">
        <v>5.6666666666666696</v>
      </c>
      <c r="P115" s="1">
        <v>0</v>
      </c>
      <c r="Q115" s="1">
        <v>0</v>
      </c>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row>
    <row r="116" spans="1:60" x14ac:dyDescent="0.2">
      <c r="A116" s="3">
        <v>114</v>
      </c>
      <c r="B116" s="3" t="s">
        <v>742</v>
      </c>
      <c r="C116" s="3" t="s">
        <v>743</v>
      </c>
      <c r="D116" s="1"/>
      <c r="E116" s="1">
        <f t="shared" si="9"/>
        <v>2.5</v>
      </c>
      <c r="F116" s="1">
        <f t="shared" si="10"/>
        <v>2.5</v>
      </c>
      <c r="G116" s="1">
        <f t="shared" si="11"/>
        <v>0</v>
      </c>
      <c r="H116" s="1"/>
      <c r="I116" s="1"/>
      <c r="J116" s="1"/>
      <c r="K116" s="1"/>
      <c r="L116" s="1"/>
      <c r="M116" s="1"/>
      <c r="N116" s="1">
        <v>2.5</v>
      </c>
      <c r="O116" s="1">
        <v>2.5</v>
      </c>
      <c r="P116" s="1">
        <v>0</v>
      </c>
      <c r="Q116" s="1">
        <v>0</v>
      </c>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row>
    <row r="117" spans="1:60" x14ac:dyDescent="0.2">
      <c r="A117" s="3">
        <v>115</v>
      </c>
      <c r="B117" s="3" t="s">
        <v>746</v>
      </c>
      <c r="C117" s="3" t="s">
        <v>747</v>
      </c>
      <c r="D117" s="1"/>
      <c r="E117" s="1">
        <f t="shared" si="9"/>
        <v>8.3666002653407556</v>
      </c>
      <c r="F117" s="1">
        <f t="shared" si="10"/>
        <v>10</v>
      </c>
      <c r="G117" s="1">
        <f t="shared" si="11"/>
        <v>7</v>
      </c>
      <c r="H117" s="1"/>
      <c r="I117" s="1"/>
      <c r="J117" s="1"/>
      <c r="K117" s="1"/>
      <c r="L117" s="1"/>
      <c r="M117" s="1"/>
      <c r="N117" s="1">
        <v>7.8</v>
      </c>
      <c r="O117" s="1">
        <v>10</v>
      </c>
      <c r="P117" s="1">
        <v>7</v>
      </c>
      <c r="Q117" s="1">
        <v>0</v>
      </c>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row>
    <row r="118" spans="1:60" x14ac:dyDescent="0.2">
      <c r="A118" s="3">
        <v>116</v>
      </c>
      <c r="B118" s="3" t="s">
        <v>751</v>
      </c>
      <c r="C118" s="3" t="s">
        <v>752</v>
      </c>
      <c r="D118" s="1"/>
      <c r="E118" s="1">
        <f t="shared" si="9"/>
        <v>5.5</v>
      </c>
      <c r="F118" s="1">
        <f t="shared" si="10"/>
        <v>5.5</v>
      </c>
      <c r="G118" s="1">
        <f t="shared" si="11"/>
        <v>0</v>
      </c>
      <c r="H118" s="1"/>
      <c r="I118" s="1"/>
      <c r="J118" s="1"/>
      <c r="K118" s="1"/>
      <c r="L118" s="1"/>
      <c r="M118" s="1"/>
      <c r="N118" s="1">
        <v>4.3</v>
      </c>
      <c r="O118" s="1">
        <v>5.5</v>
      </c>
      <c r="P118" s="1">
        <v>0</v>
      </c>
      <c r="Q118" s="1">
        <v>0</v>
      </c>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row>
    <row r="119" spans="1:60" x14ac:dyDescent="0.2">
      <c r="A119" s="3">
        <v>117</v>
      </c>
      <c r="B119" s="3" t="s">
        <v>754</v>
      </c>
      <c r="C119" s="3" t="s">
        <v>755</v>
      </c>
      <c r="D119" s="1"/>
      <c r="E119" s="1">
        <f t="shared" si="9"/>
        <v>3.1666666666666701</v>
      </c>
      <c r="F119" s="1">
        <f t="shared" si="10"/>
        <v>3.1666666666666701</v>
      </c>
      <c r="G119" s="1">
        <f t="shared" si="11"/>
        <v>0</v>
      </c>
      <c r="H119" s="1"/>
      <c r="I119" s="1"/>
      <c r="J119" s="1"/>
      <c r="K119" s="1"/>
      <c r="L119" s="1"/>
      <c r="M119" s="1"/>
      <c r="N119" s="1">
        <v>2.9</v>
      </c>
      <c r="O119" s="1">
        <v>3.1666666666666701</v>
      </c>
      <c r="P119" s="1">
        <v>0</v>
      </c>
      <c r="Q119" s="1">
        <v>0</v>
      </c>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row>
    <row r="120" spans="1:60" x14ac:dyDescent="0.2">
      <c r="A120" s="3">
        <v>118</v>
      </c>
      <c r="B120" s="3" t="s">
        <v>759</v>
      </c>
      <c r="C120" s="3" t="s">
        <v>760</v>
      </c>
      <c r="D120" s="1"/>
      <c r="E120" s="1">
        <f t="shared" si="9"/>
        <v>8</v>
      </c>
      <c r="F120" s="1">
        <f t="shared" si="10"/>
        <v>8</v>
      </c>
      <c r="G120" s="1">
        <f t="shared" si="11"/>
        <v>0</v>
      </c>
      <c r="H120" s="1"/>
      <c r="I120" s="1"/>
      <c r="J120" s="1"/>
      <c r="K120" s="1"/>
      <c r="L120" s="1"/>
      <c r="M120" s="1"/>
      <c r="N120" s="1">
        <v>5.8</v>
      </c>
      <c r="O120" s="1">
        <v>8</v>
      </c>
      <c r="P120" s="1">
        <v>0</v>
      </c>
      <c r="Q120" s="1">
        <v>0</v>
      </c>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row>
    <row r="121" spans="1:60" x14ac:dyDescent="0.2">
      <c r="A121" s="3">
        <v>119</v>
      </c>
      <c r="B121" s="3" t="s">
        <v>764</v>
      </c>
      <c r="C121" s="3" t="s">
        <v>765</v>
      </c>
      <c r="D121" s="1"/>
      <c r="E121" s="1">
        <f t="shared" si="9"/>
        <v>7.6666666666666696</v>
      </c>
      <c r="F121" s="1">
        <f t="shared" si="10"/>
        <v>7.6666666666666696</v>
      </c>
      <c r="G121" s="1">
        <f t="shared" si="11"/>
        <v>0</v>
      </c>
      <c r="H121" s="1"/>
      <c r="I121" s="1"/>
      <c r="J121" s="1"/>
      <c r="K121" s="1"/>
      <c r="L121" s="1"/>
      <c r="M121" s="1"/>
      <c r="N121" s="1">
        <v>5.6</v>
      </c>
      <c r="O121" s="1">
        <v>7.6666666666666696</v>
      </c>
      <c r="P121" s="1">
        <v>0</v>
      </c>
      <c r="Q121" s="1">
        <v>0</v>
      </c>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row>
    <row r="122" spans="1:60" x14ac:dyDescent="0.2">
      <c r="A122" s="3">
        <v>120</v>
      </c>
      <c r="B122" s="3" t="s">
        <v>768</v>
      </c>
      <c r="C122" s="3" t="s">
        <v>769</v>
      </c>
      <c r="D122" s="1"/>
      <c r="E122" s="1">
        <f t="shared" si="9"/>
        <v>5.6124860801609122</v>
      </c>
      <c r="F122" s="1">
        <f t="shared" si="10"/>
        <v>4.5</v>
      </c>
      <c r="G122" s="1">
        <f t="shared" si="11"/>
        <v>7</v>
      </c>
      <c r="H122" s="1"/>
      <c r="I122" s="1"/>
      <c r="J122" s="1"/>
      <c r="K122" s="1"/>
      <c r="L122" s="1"/>
      <c r="M122" s="1"/>
      <c r="N122" s="1">
        <v>3.7</v>
      </c>
      <c r="O122" s="1">
        <v>4.5</v>
      </c>
      <c r="P122" s="1">
        <v>7</v>
      </c>
      <c r="Q122" s="1">
        <v>0</v>
      </c>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row>
    <row r="123" spans="1:60" x14ac:dyDescent="0.2">
      <c r="A123" s="3">
        <v>121</v>
      </c>
      <c r="B123" s="3" t="s">
        <v>774</v>
      </c>
      <c r="C123" s="3" t="s">
        <v>775</v>
      </c>
      <c r="D123" s="1"/>
      <c r="E123" s="1">
        <f t="shared" si="9"/>
        <v>5.8333333333333304</v>
      </c>
      <c r="F123" s="1">
        <f t="shared" si="10"/>
        <v>5.8333333333333304</v>
      </c>
      <c r="G123" s="1">
        <f t="shared" si="11"/>
        <v>0</v>
      </c>
      <c r="H123" s="1"/>
      <c r="I123" s="1"/>
      <c r="J123" s="1"/>
      <c r="K123" s="1"/>
      <c r="L123" s="1"/>
      <c r="M123" s="1"/>
      <c r="N123" s="1">
        <v>4.5</v>
      </c>
      <c r="O123" s="1">
        <v>5.8333333333333304</v>
      </c>
      <c r="P123" s="1">
        <v>0</v>
      </c>
      <c r="Q123" s="1">
        <v>0</v>
      </c>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row>
    <row r="124" spans="1:60" x14ac:dyDescent="0.2">
      <c r="A124" s="3">
        <v>122</v>
      </c>
      <c r="B124" s="3" t="s">
        <v>778</v>
      </c>
      <c r="C124" s="3" t="s">
        <v>779</v>
      </c>
      <c r="D124" s="1"/>
      <c r="E124" s="1">
        <f t="shared" si="9"/>
        <v>8.0622577482985491</v>
      </c>
      <c r="F124" s="1">
        <f t="shared" si="10"/>
        <v>6.5</v>
      </c>
      <c r="G124" s="1">
        <f t="shared" si="11"/>
        <v>10</v>
      </c>
      <c r="H124" s="1"/>
      <c r="I124" s="1"/>
      <c r="J124" s="1"/>
      <c r="K124" s="1"/>
      <c r="L124" s="1"/>
      <c r="M124" s="1"/>
      <c r="N124" s="1">
        <v>4.9000000000000004</v>
      </c>
      <c r="O124" s="1">
        <v>6.5</v>
      </c>
      <c r="P124" s="1">
        <v>10</v>
      </c>
      <c r="Q124" s="1">
        <v>0</v>
      </c>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row>
    <row r="125" spans="1:60" x14ac:dyDescent="0.2">
      <c r="A125" s="3">
        <v>123</v>
      </c>
      <c r="B125" s="3" t="s">
        <v>781</v>
      </c>
      <c r="C125" s="3" t="s">
        <v>782</v>
      </c>
      <c r="D125" s="1"/>
      <c r="E125" s="1">
        <f t="shared" si="9"/>
        <v>7.416198487095663</v>
      </c>
      <c r="F125" s="1">
        <f t="shared" si="10"/>
        <v>5.5</v>
      </c>
      <c r="G125" s="1">
        <f t="shared" si="11"/>
        <v>10</v>
      </c>
      <c r="H125" s="1"/>
      <c r="I125" s="1" t="s">
        <v>1282</v>
      </c>
      <c r="J125" s="1" t="s">
        <v>1283</v>
      </c>
      <c r="K125" s="1" t="s">
        <v>1284</v>
      </c>
      <c r="L125" s="1" t="s">
        <v>1285</v>
      </c>
      <c r="M125" s="1">
        <v>10</v>
      </c>
      <c r="N125" s="1">
        <v>4.3</v>
      </c>
      <c r="O125" s="1">
        <v>5.5</v>
      </c>
      <c r="P125" s="1">
        <v>0</v>
      </c>
      <c r="Q125" s="1">
        <v>0</v>
      </c>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row>
    <row r="126" spans="1:60" x14ac:dyDescent="0.2">
      <c r="A126" s="3">
        <v>124</v>
      </c>
      <c r="B126" s="3" t="s">
        <v>786</v>
      </c>
      <c r="C126" s="3" t="s">
        <v>787</v>
      </c>
      <c r="D126" s="1"/>
      <c r="E126" s="1">
        <f t="shared" si="9"/>
        <v>5.8333333333333304</v>
      </c>
      <c r="F126" s="1">
        <f t="shared" si="10"/>
        <v>5.8333333333333304</v>
      </c>
      <c r="G126" s="1">
        <f t="shared" si="11"/>
        <v>0</v>
      </c>
      <c r="H126" s="1"/>
      <c r="I126" s="1"/>
      <c r="J126" s="1"/>
      <c r="K126" s="1"/>
      <c r="L126" s="1"/>
      <c r="M126" s="1"/>
      <c r="N126" s="1">
        <v>4.5</v>
      </c>
      <c r="O126" s="1">
        <v>5.8333333333333304</v>
      </c>
      <c r="P126" s="1">
        <v>0</v>
      </c>
      <c r="Q126" s="1">
        <v>0</v>
      </c>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row>
    <row r="127" spans="1:60" x14ac:dyDescent="0.2">
      <c r="A127" s="3">
        <v>125</v>
      </c>
      <c r="B127" s="3" t="s">
        <v>793</v>
      </c>
      <c r="C127" s="3" t="s">
        <v>794</v>
      </c>
      <c r="D127" s="1"/>
      <c r="E127" s="1">
        <f t="shared" si="9"/>
        <v>5</v>
      </c>
      <c r="F127" s="1">
        <f t="shared" si="10"/>
        <v>5</v>
      </c>
      <c r="G127" s="1">
        <f t="shared" si="11"/>
        <v>0</v>
      </c>
      <c r="H127" s="1"/>
      <c r="I127" s="1"/>
      <c r="J127" s="1"/>
      <c r="K127" s="1"/>
      <c r="L127" s="1"/>
      <c r="M127" s="1"/>
      <c r="N127" s="1">
        <v>4</v>
      </c>
      <c r="O127" s="1">
        <v>5</v>
      </c>
      <c r="P127" s="1">
        <v>0</v>
      </c>
      <c r="Q127" s="1">
        <v>0</v>
      </c>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row>
    <row r="128" spans="1:60" x14ac:dyDescent="0.2">
      <c r="A128" s="3">
        <v>126</v>
      </c>
      <c r="B128" s="3" t="s">
        <v>801</v>
      </c>
      <c r="C128" s="3" t="s">
        <v>802</v>
      </c>
      <c r="D128" s="1"/>
      <c r="E128" s="1">
        <f t="shared" si="9"/>
        <v>9.3333333333333304</v>
      </c>
      <c r="F128" s="1">
        <f t="shared" si="10"/>
        <v>9.3333333333333304</v>
      </c>
      <c r="G128" s="1">
        <f t="shared" si="11"/>
        <v>0</v>
      </c>
      <c r="H128" s="1"/>
      <c r="I128" s="1"/>
      <c r="J128" s="1"/>
      <c r="K128" s="1"/>
      <c r="L128" s="1"/>
      <c r="M128" s="1"/>
      <c r="N128" s="1">
        <v>6.6</v>
      </c>
      <c r="O128" s="1">
        <v>9.3333333333333304</v>
      </c>
      <c r="P128" s="1">
        <v>0</v>
      </c>
      <c r="Q128" s="1">
        <v>0</v>
      </c>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row>
    <row r="129" spans="1:60" x14ac:dyDescent="0.2">
      <c r="A129" s="3">
        <v>127</v>
      </c>
      <c r="B129" s="3" t="s">
        <v>805</v>
      </c>
      <c r="C129" s="3" t="s">
        <v>806</v>
      </c>
      <c r="D129" s="1"/>
      <c r="E129" s="1">
        <f t="shared" si="9"/>
        <v>1.6666666666666701</v>
      </c>
      <c r="F129" s="1">
        <f t="shared" si="10"/>
        <v>1.6666666666666701</v>
      </c>
      <c r="G129" s="1">
        <f t="shared" si="11"/>
        <v>0</v>
      </c>
      <c r="H129" s="1"/>
      <c r="I129" s="1"/>
      <c r="J129" s="1"/>
      <c r="K129" s="1"/>
      <c r="L129" s="1"/>
      <c r="M129" s="1"/>
      <c r="N129" s="1">
        <v>2</v>
      </c>
      <c r="O129" s="1">
        <v>1.6666666666666701</v>
      </c>
      <c r="P129" s="1">
        <v>0</v>
      </c>
      <c r="Q129" s="1">
        <v>0</v>
      </c>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row>
    <row r="130" spans="1:60" x14ac:dyDescent="0.2">
      <c r="A130" s="3">
        <v>128</v>
      </c>
      <c r="B130" s="3" t="s">
        <v>810</v>
      </c>
      <c r="C130" s="3" t="s">
        <v>811</v>
      </c>
      <c r="D130" s="1"/>
      <c r="E130" s="1">
        <f t="shared" si="9"/>
        <v>0</v>
      </c>
      <c r="F130" s="1">
        <f t="shared" si="10"/>
        <v>0</v>
      </c>
      <c r="G130" s="1">
        <f t="shared" si="11"/>
        <v>0</v>
      </c>
      <c r="H130" s="1"/>
      <c r="I130" s="1"/>
      <c r="J130" s="1"/>
      <c r="K130" s="1"/>
      <c r="L130" s="1"/>
      <c r="M130" s="1"/>
      <c r="N130" s="1">
        <v>0.7</v>
      </c>
      <c r="O130" s="1">
        <v>0</v>
      </c>
      <c r="P130" s="1">
        <v>0</v>
      </c>
      <c r="Q130" s="1">
        <v>0</v>
      </c>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row>
    <row r="131" spans="1:60" x14ac:dyDescent="0.2">
      <c r="A131" s="3">
        <v>129</v>
      </c>
      <c r="B131" s="3" t="s">
        <v>814</v>
      </c>
      <c r="C131" s="3" t="s">
        <v>815</v>
      </c>
      <c r="D131" s="1"/>
      <c r="E131" s="1">
        <f t="shared" ref="E131:E162" si="12">IFERROR(GEOMEAN(F131, G131), MAX(F131, G131))</f>
        <v>8</v>
      </c>
      <c r="F131" s="1">
        <f t="shared" ref="F131:F162" si="13">MAX(O131)</f>
        <v>8</v>
      </c>
      <c r="G131" s="1">
        <f t="shared" ref="G131:G162" si="14">MAX(M131, P131, Q131)</f>
        <v>0</v>
      </c>
      <c r="H131" s="1"/>
      <c r="I131" s="1"/>
      <c r="J131" s="1"/>
      <c r="K131" s="1"/>
      <c r="L131" s="1"/>
      <c r="M131" s="1"/>
      <c r="N131" s="1">
        <v>5.8</v>
      </c>
      <c r="O131" s="1">
        <v>8</v>
      </c>
      <c r="P131" s="1">
        <v>0</v>
      </c>
      <c r="Q131" s="1">
        <v>0</v>
      </c>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row>
    <row r="132" spans="1:60" x14ac:dyDescent="0.2">
      <c r="A132" s="3">
        <v>130</v>
      </c>
      <c r="B132" s="3" t="s">
        <v>819</v>
      </c>
      <c r="C132" s="3" t="s">
        <v>820</v>
      </c>
      <c r="D132" s="1"/>
      <c r="E132" s="1">
        <f t="shared" si="12"/>
        <v>5.4772255750516612</v>
      </c>
      <c r="F132" s="1">
        <f t="shared" si="13"/>
        <v>3</v>
      </c>
      <c r="G132" s="1">
        <f t="shared" si="14"/>
        <v>10</v>
      </c>
      <c r="H132" s="1"/>
      <c r="I132" s="1"/>
      <c r="J132" s="1"/>
      <c r="K132" s="1"/>
      <c r="L132" s="1"/>
      <c r="M132" s="1"/>
      <c r="N132" s="1">
        <v>2.8</v>
      </c>
      <c r="O132" s="1">
        <v>3</v>
      </c>
      <c r="P132" s="1">
        <v>10</v>
      </c>
      <c r="Q132" s="1">
        <v>0</v>
      </c>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row>
    <row r="133" spans="1:60" x14ac:dyDescent="0.2">
      <c r="A133" s="3">
        <v>131</v>
      </c>
      <c r="B133" s="3" t="s">
        <v>821</v>
      </c>
      <c r="C133" s="3" t="s">
        <v>822</v>
      </c>
      <c r="D133" s="1"/>
      <c r="E133" s="1">
        <f t="shared" si="12"/>
        <v>5.8333333333333304</v>
      </c>
      <c r="F133" s="1">
        <f t="shared" si="13"/>
        <v>5.8333333333333304</v>
      </c>
      <c r="G133" s="1">
        <f t="shared" si="14"/>
        <v>0</v>
      </c>
      <c r="H133" s="1"/>
      <c r="I133" s="1"/>
      <c r="J133" s="1"/>
      <c r="K133" s="1"/>
      <c r="L133" s="1"/>
      <c r="M133" s="1"/>
      <c r="N133" s="1">
        <v>4.5</v>
      </c>
      <c r="O133" s="1">
        <v>5.8333333333333304</v>
      </c>
      <c r="P133" s="1">
        <v>0</v>
      </c>
      <c r="Q133" s="1">
        <v>0</v>
      </c>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row>
    <row r="134" spans="1:60" x14ac:dyDescent="0.2">
      <c r="A134" s="3">
        <v>132</v>
      </c>
      <c r="B134" s="3" t="s">
        <v>825</v>
      </c>
      <c r="C134" s="3" t="s">
        <v>826</v>
      </c>
      <c r="D134" s="1"/>
      <c r="E134" s="1">
        <f t="shared" si="12"/>
        <v>6.6666666666666696</v>
      </c>
      <c r="F134" s="1">
        <f t="shared" si="13"/>
        <v>6.6666666666666696</v>
      </c>
      <c r="G134" s="1">
        <f t="shared" si="14"/>
        <v>0</v>
      </c>
      <c r="H134" s="1"/>
      <c r="I134" s="1"/>
      <c r="J134" s="1"/>
      <c r="K134" s="1"/>
      <c r="L134" s="1"/>
      <c r="M134" s="1"/>
      <c r="N134" s="1">
        <v>5</v>
      </c>
      <c r="O134" s="1">
        <v>6.6666666666666696</v>
      </c>
      <c r="P134" s="1">
        <v>0</v>
      </c>
      <c r="Q134" s="1">
        <v>0</v>
      </c>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row>
    <row r="135" spans="1:60" x14ac:dyDescent="0.2">
      <c r="A135" s="3">
        <v>133</v>
      </c>
      <c r="B135" s="3" t="s">
        <v>829</v>
      </c>
      <c r="C135" s="3" t="s">
        <v>830</v>
      </c>
      <c r="D135" s="1"/>
      <c r="E135" s="1">
        <f t="shared" si="12"/>
        <v>10</v>
      </c>
      <c r="F135" s="1">
        <f t="shared" si="13"/>
        <v>10</v>
      </c>
      <c r="G135" s="1">
        <f t="shared" si="14"/>
        <v>0</v>
      </c>
      <c r="H135" s="1"/>
      <c r="I135" s="1"/>
      <c r="J135" s="1"/>
      <c r="K135" s="1"/>
      <c r="L135" s="1"/>
      <c r="M135" s="1"/>
      <c r="N135" s="1">
        <v>7.4</v>
      </c>
      <c r="O135" s="1">
        <v>10</v>
      </c>
      <c r="P135" s="1">
        <v>0</v>
      </c>
      <c r="Q135" s="1">
        <v>0</v>
      </c>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row>
    <row r="136" spans="1:60" x14ac:dyDescent="0.2">
      <c r="A136" s="3">
        <v>134</v>
      </c>
      <c r="B136" s="3" t="s">
        <v>836</v>
      </c>
      <c r="C136" s="3" t="s">
        <v>837</v>
      </c>
      <c r="D136" s="1"/>
      <c r="E136" s="1">
        <f t="shared" si="12"/>
        <v>9.3094933625126295</v>
      </c>
      <c r="F136" s="1">
        <f t="shared" si="13"/>
        <v>8.6666666666666696</v>
      </c>
      <c r="G136" s="1">
        <f t="shared" si="14"/>
        <v>10</v>
      </c>
      <c r="H136" s="1"/>
      <c r="I136" s="1"/>
      <c r="J136" s="1"/>
      <c r="K136" s="1"/>
      <c r="L136" s="1"/>
      <c r="M136" s="1"/>
      <c r="N136" s="1">
        <v>6.2</v>
      </c>
      <c r="O136" s="1">
        <v>8.6666666666666696</v>
      </c>
      <c r="P136" s="1">
        <v>10</v>
      </c>
      <c r="Q136" s="1">
        <v>0</v>
      </c>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row>
    <row r="137" spans="1:60" x14ac:dyDescent="0.2">
      <c r="A137" s="3">
        <v>135</v>
      </c>
      <c r="B137" s="3" t="s">
        <v>840</v>
      </c>
      <c r="C137" s="3" t="s">
        <v>841</v>
      </c>
      <c r="D137" s="1"/>
      <c r="E137" s="1">
        <f t="shared" si="12"/>
        <v>10</v>
      </c>
      <c r="F137" s="1">
        <f t="shared" si="13"/>
        <v>10</v>
      </c>
      <c r="G137" s="1">
        <f t="shared" si="14"/>
        <v>0</v>
      </c>
      <c r="H137" s="1"/>
      <c r="I137" s="1"/>
      <c r="J137" s="1"/>
      <c r="K137" s="1"/>
      <c r="L137" s="1"/>
      <c r="M137" s="1"/>
      <c r="N137" s="1">
        <v>7.1</v>
      </c>
      <c r="O137" s="1">
        <v>10</v>
      </c>
      <c r="P137" s="1">
        <v>0</v>
      </c>
      <c r="Q137" s="1">
        <v>0</v>
      </c>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row>
    <row r="138" spans="1:60" x14ac:dyDescent="0.2">
      <c r="A138" s="3">
        <v>136</v>
      </c>
      <c r="B138" s="3" t="s">
        <v>844</v>
      </c>
      <c r="C138" s="3" t="s">
        <v>845</v>
      </c>
      <c r="D138" s="1"/>
      <c r="E138" s="1">
        <f t="shared" si="12"/>
        <v>10</v>
      </c>
      <c r="F138" s="1">
        <f t="shared" si="13"/>
        <v>10</v>
      </c>
      <c r="G138" s="1">
        <f t="shared" si="14"/>
        <v>10</v>
      </c>
      <c r="H138" s="1"/>
      <c r="I138" s="1" t="s">
        <v>1295</v>
      </c>
      <c r="J138" s="1" t="s">
        <v>1287</v>
      </c>
      <c r="K138" s="1" t="s">
        <v>1288</v>
      </c>
      <c r="L138" s="1" t="s">
        <v>1293</v>
      </c>
      <c r="M138" s="1">
        <v>0</v>
      </c>
      <c r="N138" s="1">
        <v>8.4</v>
      </c>
      <c r="O138" s="1">
        <v>10</v>
      </c>
      <c r="P138" s="1">
        <v>10</v>
      </c>
      <c r="Q138" s="1">
        <v>0</v>
      </c>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row>
    <row r="139" spans="1:60" x14ac:dyDescent="0.2">
      <c r="A139" s="3">
        <v>137</v>
      </c>
      <c r="B139" s="3" t="s">
        <v>849</v>
      </c>
      <c r="C139" s="3" t="s">
        <v>850</v>
      </c>
      <c r="D139" s="1"/>
      <c r="E139" s="1">
        <f t="shared" si="12"/>
        <v>6.0553007081949861</v>
      </c>
      <c r="F139" s="1">
        <f t="shared" si="13"/>
        <v>3.6666666666666701</v>
      </c>
      <c r="G139" s="1">
        <f t="shared" si="14"/>
        <v>10</v>
      </c>
      <c r="H139" s="1"/>
      <c r="I139" s="1"/>
      <c r="J139" s="1"/>
      <c r="K139" s="1"/>
      <c r="L139" s="1"/>
      <c r="M139" s="1"/>
      <c r="N139" s="1">
        <v>3.2</v>
      </c>
      <c r="O139" s="1">
        <v>3.6666666666666701</v>
      </c>
      <c r="P139" s="1">
        <v>10</v>
      </c>
      <c r="Q139" s="1">
        <v>0</v>
      </c>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row>
    <row r="140" spans="1:60" x14ac:dyDescent="0.2">
      <c r="A140" s="3">
        <v>138</v>
      </c>
      <c r="B140" s="3" t="s">
        <v>852</v>
      </c>
      <c r="C140" s="3" t="s">
        <v>853</v>
      </c>
      <c r="D140" s="1"/>
      <c r="E140" s="1">
        <f t="shared" si="12"/>
        <v>9.5</v>
      </c>
      <c r="F140" s="1">
        <f t="shared" si="13"/>
        <v>9.5</v>
      </c>
      <c r="G140" s="1">
        <f t="shared" si="14"/>
        <v>0</v>
      </c>
      <c r="H140" s="1"/>
      <c r="I140" s="1"/>
      <c r="J140" s="1"/>
      <c r="K140" s="1"/>
      <c r="L140" s="1"/>
      <c r="M140" s="1"/>
      <c r="N140" s="1">
        <v>6.7</v>
      </c>
      <c r="O140" s="1">
        <v>9.5</v>
      </c>
      <c r="P140" s="1">
        <v>0</v>
      </c>
      <c r="Q140" s="1">
        <v>0</v>
      </c>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row>
    <row r="141" spans="1:60" x14ac:dyDescent="0.2">
      <c r="A141" s="3">
        <v>139</v>
      </c>
      <c r="B141" s="3" t="s">
        <v>856</v>
      </c>
      <c r="C141" s="3" t="s">
        <v>857</v>
      </c>
      <c r="D141" s="1"/>
      <c r="E141" s="1">
        <f t="shared" si="12"/>
        <v>2.1666666666666701</v>
      </c>
      <c r="F141" s="1">
        <f t="shared" si="13"/>
        <v>2.1666666666666701</v>
      </c>
      <c r="G141" s="1">
        <f t="shared" si="14"/>
        <v>0</v>
      </c>
      <c r="H141" s="1"/>
      <c r="I141" s="1"/>
      <c r="J141" s="1"/>
      <c r="K141" s="1"/>
      <c r="L141" s="1"/>
      <c r="M141" s="1"/>
      <c r="N141" s="1">
        <v>2.2999999999999998</v>
      </c>
      <c r="O141" s="1">
        <v>2.1666666666666701</v>
      </c>
      <c r="P141" s="1">
        <v>0</v>
      </c>
      <c r="Q141" s="1">
        <v>0</v>
      </c>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row>
    <row r="142" spans="1:60" x14ac:dyDescent="0.2">
      <c r="A142" s="3">
        <v>140</v>
      </c>
      <c r="B142" s="3" t="s">
        <v>860</v>
      </c>
      <c r="C142" s="3" t="s">
        <v>861</v>
      </c>
      <c r="D142" s="1"/>
      <c r="E142" s="1">
        <f t="shared" si="12"/>
        <v>7</v>
      </c>
      <c r="F142" s="1">
        <f t="shared" si="13"/>
        <v>7</v>
      </c>
      <c r="G142" s="1">
        <f t="shared" si="14"/>
        <v>0</v>
      </c>
      <c r="H142" s="1"/>
      <c r="I142" s="1"/>
      <c r="J142" s="1"/>
      <c r="K142" s="1"/>
      <c r="L142" s="1"/>
      <c r="M142" s="1"/>
      <c r="N142" s="1">
        <v>5.2</v>
      </c>
      <c r="O142" s="1">
        <v>7</v>
      </c>
      <c r="P142" s="1">
        <v>0</v>
      </c>
      <c r="Q142" s="1">
        <v>0</v>
      </c>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row>
    <row r="143" spans="1:60" x14ac:dyDescent="0.2">
      <c r="A143" s="3">
        <v>141</v>
      </c>
      <c r="B143" s="3" t="s">
        <v>862</v>
      </c>
      <c r="C143" s="3" t="s">
        <v>863</v>
      </c>
      <c r="D143" s="1"/>
      <c r="E143" s="1">
        <f t="shared" si="12"/>
        <v>4</v>
      </c>
      <c r="F143" s="1">
        <f t="shared" si="13"/>
        <v>4</v>
      </c>
      <c r="G143" s="1">
        <f t="shared" si="14"/>
        <v>0</v>
      </c>
      <c r="H143" s="1"/>
      <c r="I143" s="1"/>
      <c r="J143" s="1"/>
      <c r="K143" s="1"/>
      <c r="L143" s="1"/>
      <c r="M143" s="1"/>
      <c r="N143" s="1">
        <v>3.4</v>
      </c>
      <c r="O143" s="1">
        <v>4</v>
      </c>
      <c r="P143" s="1">
        <v>0</v>
      </c>
      <c r="Q143" s="1">
        <v>0</v>
      </c>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row>
    <row r="144" spans="1:60" x14ac:dyDescent="0.2">
      <c r="A144" s="3">
        <v>142</v>
      </c>
      <c r="B144" s="3" t="s">
        <v>865</v>
      </c>
      <c r="C144" s="3" t="s">
        <v>866</v>
      </c>
      <c r="D144" s="1"/>
      <c r="E144" s="1">
        <f t="shared" si="12"/>
        <v>2.6666666666666701</v>
      </c>
      <c r="F144" s="1">
        <f t="shared" si="13"/>
        <v>2.6666666666666701</v>
      </c>
      <c r="G144" s="1">
        <f t="shared" si="14"/>
        <v>0</v>
      </c>
      <c r="H144" s="1"/>
      <c r="I144" s="1"/>
      <c r="J144" s="1"/>
      <c r="K144" s="1"/>
      <c r="L144" s="1"/>
      <c r="M144" s="1"/>
      <c r="N144" s="1">
        <v>2.6</v>
      </c>
      <c r="O144" s="1">
        <v>2.6666666666666701</v>
      </c>
      <c r="P144" s="1">
        <v>0</v>
      </c>
      <c r="Q144" s="1">
        <v>0</v>
      </c>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row>
    <row r="145" spans="1:60" x14ac:dyDescent="0.2">
      <c r="A145" s="3">
        <v>143</v>
      </c>
      <c r="B145" s="3" t="s">
        <v>870</v>
      </c>
      <c r="C145" s="3" t="s">
        <v>871</v>
      </c>
      <c r="D145" s="1"/>
      <c r="E145" s="1">
        <f t="shared" si="12"/>
        <v>0.83333333333333404</v>
      </c>
      <c r="F145" s="1">
        <f t="shared" si="13"/>
        <v>0.83333333333333404</v>
      </c>
      <c r="G145" s="1">
        <f t="shared" si="14"/>
        <v>0</v>
      </c>
      <c r="H145" s="1"/>
      <c r="I145" s="1"/>
      <c r="J145" s="1"/>
      <c r="K145" s="1"/>
      <c r="L145" s="1"/>
      <c r="M145" s="1"/>
      <c r="N145" s="1">
        <v>1.5</v>
      </c>
      <c r="O145" s="1">
        <v>0.83333333333333404</v>
      </c>
      <c r="P145" s="1">
        <v>0</v>
      </c>
      <c r="Q145" s="1">
        <v>0</v>
      </c>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row>
    <row r="146" spans="1:60" x14ac:dyDescent="0.2">
      <c r="A146" s="3">
        <v>144</v>
      </c>
      <c r="B146" s="3" t="s">
        <v>873</v>
      </c>
      <c r="C146" s="3" t="s">
        <v>874</v>
      </c>
      <c r="D146" s="1"/>
      <c r="E146" s="1">
        <f t="shared" si="12"/>
        <v>5.1666666666666696</v>
      </c>
      <c r="F146" s="1">
        <f t="shared" si="13"/>
        <v>5.1666666666666696</v>
      </c>
      <c r="G146" s="1">
        <f t="shared" si="14"/>
        <v>0</v>
      </c>
      <c r="H146" s="1"/>
      <c r="I146" s="1"/>
      <c r="J146" s="1"/>
      <c r="K146" s="1"/>
      <c r="L146" s="1"/>
      <c r="M146" s="1"/>
      <c r="N146" s="1">
        <v>4.0999999999999996</v>
      </c>
      <c r="O146" s="1">
        <v>5.1666666666666696</v>
      </c>
      <c r="P146" s="1">
        <v>0</v>
      </c>
      <c r="Q146" s="1">
        <v>0</v>
      </c>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row>
    <row r="147" spans="1:60" x14ac:dyDescent="0.2">
      <c r="A147" s="3">
        <v>145</v>
      </c>
      <c r="B147" s="3" t="s">
        <v>877</v>
      </c>
      <c r="C147" s="3" t="s">
        <v>878</v>
      </c>
      <c r="D147" s="1"/>
      <c r="E147" s="1">
        <f t="shared" si="12"/>
        <v>7.8333333333333304</v>
      </c>
      <c r="F147" s="1">
        <f t="shared" si="13"/>
        <v>7.8333333333333304</v>
      </c>
      <c r="G147" s="1">
        <f t="shared" si="14"/>
        <v>0</v>
      </c>
      <c r="H147" s="1"/>
      <c r="I147" s="1"/>
      <c r="J147" s="1"/>
      <c r="K147" s="1"/>
      <c r="L147" s="1"/>
      <c r="M147" s="1"/>
      <c r="N147" s="1">
        <v>5.7</v>
      </c>
      <c r="O147" s="1">
        <v>7.8333333333333304</v>
      </c>
      <c r="P147" s="1">
        <v>0</v>
      </c>
      <c r="Q147" s="1">
        <v>0</v>
      </c>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row>
    <row r="148" spans="1:60" x14ac:dyDescent="0.2">
      <c r="A148" s="3">
        <v>146</v>
      </c>
      <c r="B148" s="3" t="s">
        <v>881</v>
      </c>
      <c r="C148" s="3" t="s">
        <v>882</v>
      </c>
      <c r="D148" s="1"/>
      <c r="E148" s="1">
        <f t="shared" si="12"/>
        <v>4.1666666666666696</v>
      </c>
      <c r="F148" s="1">
        <f t="shared" si="13"/>
        <v>4.1666666666666696</v>
      </c>
      <c r="G148" s="1">
        <f t="shared" si="14"/>
        <v>0</v>
      </c>
      <c r="H148" s="1"/>
      <c r="I148" s="1"/>
      <c r="J148" s="1"/>
      <c r="K148" s="1"/>
      <c r="L148" s="1"/>
      <c r="M148" s="1"/>
      <c r="N148" s="1">
        <v>3.5</v>
      </c>
      <c r="O148" s="1">
        <v>4.1666666666666696</v>
      </c>
      <c r="P148" s="1">
        <v>0</v>
      </c>
      <c r="Q148" s="1">
        <v>0</v>
      </c>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row>
    <row r="149" spans="1:60" x14ac:dyDescent="0.2">
      <c r="A149" s="3">
        <v>147</v>
      </c>
      <c r="B149" s="3" t="s">
        <v>884</v>
      </c>
      <c r="C149" s="3" t="s">
        <v>885</v>
      </c>
      <c r="D149" s="1"/>
      <c r="E149" s="1">
        <f t="shared" si="12"/>
        <v>5.9160797830996161</v>
      </c>
      <c r="F149" s="1">
        <f t="shared" si="13"/>
        <v>3.5</v>
      </c>
      <c r="G149" s="1">
        <f t="shared" si="14"/>
        <v>10</v>
      </c>
      <c r="H149" s="1"/>
      <c r="I149" s="1"/>
      <c r="J149" s="1"/>
      <c r="K149" s="1"/>
      <c r="L149" s="1"/>
      <c r="M149" s="1"/>
      <c r="N149" s="1">
        <v>3.1</v>
      </c>
      <c r="O149" s="1">
        <v>3.5</v>
      </c>
      <c r="P149" s="1">
        <v>0</v>
      </c>
      <c r="Q149" s="1">
        <v>10</v>
      </c>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row>
    <row r="150" spans="1:60" x14ac:dyDescent="0.2">
      <c r="A150" s="3">
        <v>148</v>
      </c>
      <c r="B150" s="3" t="s">
        <v>887</v>
      </c>
      <c r="C150" s="3" t="s">
        <v>888</v>
      </c>
      <c r="D150" s="1"/>
      <c r="E150" s="1">
        <f t="shared" si="12"/>
        <v>5.3333333333333304</v>
      </c>
      <c r="F150" s="1">
        <f t="shared" si="13"/>
        <v>5.3333333333333304</v>
      </c>
      <c r="G150" s="1">
        <f t="shared" si="14"/>
        <v>0</v>
      </c>
      <c r="H150" s="1"/>
      <c r="I150" s="1"/>
      <c r="J150" s="1"/>
      <c r="K150" s="1"/>
      <c r="L150" s="1"/>
      <c r="M150" s="1"/>
      <c r="N150" s="1">
        <v>4.2</v>
      </c>
      <c r="O150" s="1">
        <v>5.3333333333333304</v>
      </c>
      <c r="P150" s="1">
        <v>0</v>
      </c>
      <c r="Q150" s="1">
        <v>0</v>
      </c>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row>
    <row r="151" spans="1:60" x14ac:dyDescent="0.2">
      <c r="A151" s="3">
        <v>149</v>
      </c>
      <c r="B151" s="3" t="s">
        <v>894</v>
      </c>
      <c r="C151" s="3" t="s">
        <v>895</v>
      </c>
      <c r="D151" s="1"/>
      <c r="E151" s="1">
        <f t="shared" si="12"/>
        <v>5.8333333333333304</v>
      </c>
      <c r="F151" s="1">
        <f t="shared" si="13"/>
        <v>5.8333333333333304</v>
      </c>
      <c r="G151" s="1">
        <f t="shared" si="14"/>
        <v>0</v>
      </c>
      <c r="H151" s="1"/>
      <c r="I151" s="1"/>
      <c r="J151" s="1"/>
      <c r="K151" s="1"/>
      <c r="L151" s="1"/>
      <c r="M151" s="1"/>
      <c r="N151" s="1">
        <v>4.5</v>
      </c>
      <c r="O151" s="1">
        <v>5.8333333333333304</v>
      </c>
      <c r="P151" s="1">
        <v>0</v>
      </c>
      <c r="Q151" s="1">
        <v>0</v>
      </c>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row>
    <row r="152" spans="1:60" x14ac:dyDescent="0.2">
      <c r="A152" s="3">
        <v>150</v>
      </c>
      <c r="B152" s="3" t="s">
        <v>899</v>
      </c>
      <c r="C152" s="3" t="s">
        <v>900</v>
      </c>
      <c r="D152" s="1"/>
      <c r="E152" s="1">
        <f t="shared" si="12"/>
        <v>0</v>
      </c>
      <c r="F152" s="1">
        <f t="shared" si="13"/>
        <v>0</v>
      </c>
      <c r="G152" s="1">
        <f t="shared" si="14"/>
        <v>0</v>
      </c>
      <c r="H152" s="1"/>
      <c r="I152" s="1"/>
      <c r="J152" s="1"/>
      <c r="K152" s="1"/>
      <c r="L152" s="1"/>
      <c r="M152" s="1"/>
      <c r="N152" s="1">
        <v>0.9</v>
      </c>
      <c r="O152" s="1">
        <v>0</v>
      </c>
      <c r="P152" s="1">
        <v>0</v>
      </c>
      <c r="Q152" s="1">
        <v>0</v>
      </c>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row>
    <row r="153" spans="1:60" x14ac:dyDescent="0.2">
      <c r="A153" s="3">
        <v>151</v>
      </c>
      <c r="B153" s="3" t="s">
        <v>902</v>
      </c>
      <c r="C153" s="3" t="s">
        <v>903</v>
      </c>
      <c r="D153" s="1"/>
      <c r="E153" s="1">
        <f t="shared" si="12"/>
        <v>8.9442719099991592</v>
      </c>
      <c r="F153" s="1">
        <f t="shared" si="13"/>
        <v>8</v>
      </c>
      <c r="G153" s="1">
        <f t="shared" si="14"/>
        <v>10</v>
      </c>
      <c r="H153" s="1"/>
      <c r="I153" s="1"/>
      <c r="J153" s="1"/>
      <c r="K153" s="1"/>
      <c r="L153" s="1"/>
      <c r="M153" s="1"/>
      <c r="N153" s="1">
        <v>5.8</v>
      </c>
      <c r="O153" s="1">
        <v>8</v>
      </c>
      <c r="P153" s="1">
        <v>10</v>
      </c>
      <c r="Q153" s="1">
        <v>0</v>
      </c>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row>
    <row r="154" spans="1:60" x14ac:dyDescent="0.2">
      <c r="A154" s="3">
        <v>152</v>
      </c>
      <c r="B154" s="3" t="s">
        <v>905</v>
      </c>
      <c r="C154" s="3" t="s">
        <v>906</v>
      </c>
      <c r="D154" s="1"/>
      <c r="E154" s="1">
        <f t="shared" si="12"/>
        <v>4.8333333333333304</v>
      </c>
      <c r="F154" s="1">
        <f t="shared" si="13"/>
        <v>4.8333333333333304</v>
      </c>
      <c r="G154" s="1">
        <f t="shared" si="14"/>
        <v>0</v>
      </c>
      <c r="H154" s="1"/>
      <c r="I154" s="1"/>
      <c r="J154" s="1"/>
      <c r="K154" s="1"/>
      <c r="L154" s="1"/>
      <c r="M154" s="1"/>
      <c r="N154" s="1">
        <v>3.9</v>
      </c>
      <c r="O154" s="1">
        <v>4.8333333333333304</v>
      </c>
      <c r="P154" s="1">
        <v>0</v>
      </c>
      <c r="Q154" s="1">
        <v>0</v>
      </c>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row>
    <row r="155" spans="1:60" x14ac:dyDescent="0.2">
      <c r="A155" s="3">
        <v>153</v>
      </c>
      <c r="B155" s="3" t="s">
        <v>910</v>
      </c>
      <c r="C155" s="3" t="s">
        <v>911</v>
      </c>
      <c r="D155" s="1"/>
      <c r="E155" s="1">
        <f t="shared" si="12"/>
        <v>9.1666666666666696</v>
      </c>
      <c r="F155" s="1">
        <f t="shared" si="13"/>
        <v>9.1666666666666696</v>
      </c>
      <c r="G155" s="1">
        <f t="shared" si="14"/>
        <v>0</v>
      </c>
      <c r="H155" s="1"/>
      <c r="I155" s="1"/>
      <c r="J155" s="1"/>
      <c r="K155" s="1"/>
      <c r="L155" s="1"/>
      <c r="M155" s="1"/>
      <c r="N155" s="1">
        <v>6.5</v>
      </c>
      <c r="O155" s="1">
        <v>9.1666666666666696</v>
      </c>
      <c r="P155" s="1">
        <v>0</v>
      </c>
      <c r="Q155" s="1">
        <v>0</v>
      </c>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row>
    <row r="156" spans="1:60" x14ac:dyDescent="0.2">
      <c r="A156" s="3">
        <v>154</v>
      </c>
      <c r="B156" s="3" t="s">
        <v>915</v>
      </c>
      <c r="C156" s="3" t="s">
        <v>916</v>
      </c>
      <c r="D156" s="1"/>
      <c r="E156" s="1">
        <f t="shared" si="12"/>
        <v>9.9163165204290102</v>
      </c>
      <c r="F156" s="1">
        <f t="shared" si="13"/>
        <v>9.8333333333333304</v>
      </c>
      <c r="G156" s="1">
        <f t="shared" si="14"/>
        <v>10</v>
      </c>
      <c r="H156" s="1"/>
      <c r="I156" s="1"/>
      <c r="J156" s="1"/>
      <c r="K156" s="1"/>
      <c r="L156" s="1"/>
      <c r="M156" s="1"/>
      <c r="N156" s="1">
        <v>6.9</v>
      </c>
      <c r="O156" s="1">
        <v>9.8333333333333304</v>
      </c>
      <c r="P156" s="1">
        <v>0</v>
      </c>
      <c r="Q156" s="1">
        <v>10</v>
      </c>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row>
    <row r="157" spans="1:60" x14ac:dyDescent="0.2">
      <c r="A157" s="3">
        <v>155</v>
      </c>
      <c r="B157" s="3" t="s">
        <v>919</v>
      </c>
      <c r="C157" s="3" t="s">
        <v>920</v>
      </c>
      <c r="D157" s="1"/>
      <c r="E157" s="1">
        <f t="shared" si="12"/>
        <v>5.8333333333333304</v>
      </c>
      <c r="F157" s="1">
        <f t="shared" si="13"/>
        <v>5.8333333333333304</v>
      </c>
      <c r="G157" s="1">
        <f t="shared" si="14"/>
        <v>0</v>
      </c>
      <c r="H157" s="1"/>
      <c r="I157" s="1"/>
      <c r="J157" s="1"/>
      <c r="K157" s="1"/>
      <c r="L157" s="1"/>
      <c r="M157" s="1"/>
      <c r="N157" s="1">
        <v>4.5</v>
      </c>
      <c r="O157" s="1">
        <v>5.8333333333333304</v>
      </c>
      <c r="P157" s="1">
        <v>0</v>
      </c>
      <c r="Q157" s="1">
        <v>0</v>
      </c>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row>
    <row r="158" spans="1:60" x14ac:dyDescent="0.2">
      <c r="A158" s="3">
        <v>156</v>
      </c>
      <c r="B158" s="3" t="s">
        <v>923</v>
      </c>
      <c r="C158" s="3" t="s">
        <v>924</v>
      </c>
      <c r="D158" s="1"/>
      <c r="E158" s="1">
        <f t="shared" si="12"/>
        <v>5.9160797830996161</v>
      </c>
      <c r="F158" s="1">
        <f t="shared" si="13"/>
        <v>5</v>
      </c>
      <c r="G158" s="1">
        <f t="shared" si="14"/>
        <v>7</v>
      </c>
      <c r="H158" s="1"/>
      <c r="I158" s="1"/>
      <c r="J158" s="1"/>
      <c r="K158" s="1"/>
      <c r="L158" s="1"/>
      <c r="M158" s="1"/>
      <c r="N158" s="1">
        <v>4</v>
      </c>
      <c r="O158" s="1">
        <v>5</v>
      </c>
      <c r="P158" s="1"/>
      <c r="Q158" s="1">
        <v>7</v>
      </c>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row>
    <row r="159" spans="1:60" x14ac:dyDescent="0.2">
      <c r="A159" s="3">
        <v>157</v>
      </c>
      <c r="B159" s="3" t="s">
        <v>930</v>
      </c>
      <c r="C159" s="3" t="s">
        <v>931</v>
      </c>
      <c r="D159" s="1"/>
      <c r="E159" s="1">
        <f t="shared" si="12"/>
        <v>0.5</v>
      </c>
      <c r="F159" s="1">
        <f t="shared" si="13"/>
        <v>0.5</v>
      </c>
      <c r="G159" s="1">
        <f t="shared" si="14"/>
        <v>0</v>
      </c>
      <c r="H159" s="1"/>
      <c r="I159" s="1"/>
      <c r="J159" s="1"/>
      <c r="K159" s="1"/>
      <c r="L159" s="1"/>
      <c r="M159" s="1"/>
      <c r="N159" s="1">
        <v>1.3</v>
      </c>
      <c r="O159" s="1">
        <v>0.5</v>
      </c>
      <c r="P159" s="1">
        <v>0</v>
      </c>
      <c r="Q159" s="1">
        <v>0</v>
      </c>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row>
    <row r="160" spans="1:60" x14ac:dyDescent="0.2">
      <c r="A160" s="3">
        <v>158</v>
      </c>
      <c r="B160" s="3" t="s">
        <v>933</v>
      </c>
      <c r="C160" s="3" t="s">
        <v>934</v>
      </c>
      <c r="D160" s="1"/>
      <c r="E160" s="1">
        <f t="shared" si="12"/>
        <v>6.9522178715380676</v>
      </c>
      <c r="F160" s="1">
        <f t="shared" si="13"/>
        <v>4.8333333333333304</v>
      </c>
      <c r="G160" s="1">
        <f t="shared" si="14"/>
        <v>10</v>
      </c>
      <c r="H160" s="1"/>
      <c r="I160" s="1"/>
      <c r="J160" s="1"/>
      <c r="K160" s="1"/>
      <c r="L160" s="1"/>
      <c r="M160" s="1"/>
      <c r="N160" s="1">
        <v>3.9</v>
      </c>
      <c r="O160" s="1">
        <v>4.8333333333333304</v>
      </c>
      <c r="P160" s="1">
        <v>10</v>
      </c>
      <c r="Q160" s="1">
        <v>0</v>
      </c>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row>
    <row r="161" spans="1:60" x14ac:dyDescent="0.2">
      <c r="A161" s="3">
        <v>159</v>
      </c>
      <c r="B161" s="3" t="s">
        <v>939</v>
      </c>
      <c r="C161" s="3" t="s">
        <v>940</v>
      </c>
      <c r="D161" s="1"/>
      <c r="E161" s="1">
        <f t="shared" si="12"/>
        <v>3</v>
      </c>
      <c r="F161" s="1">
        <f t="shared" si="13"/>
        <v>3</v>
      </c>
      <c r="G161" s="1">
        <f t="shared" si="14"/>
        <v>0</v>
      </c>
      <c r="H161" s="1"/>
      <c r="I161" s="1"/>
      <c r="J161" s="1"/>
      <c r="K161" s="1"/>
      <c r="L161" s="1"/>
      <c r="M161" s="1"/>
      <c r="N161" s="1">
        <v>2.8</v>
      </c>
      <c r="O161" s="1">
        <v>3</v>
      </c>
      <c r="P161" s="1">
        <v>0</v>
      </c>
      <c r="Q161" s="1">
        <v>0</v>
      </c>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row>
    <row r="162" spans="1:60" x14ac:dyDescent="0.2">
      <c r="A162" s="3">
        <v>160</v>
      </c>
      <c r="B162" s="3" t="s">
        <v>943</v>
      </c>
      <c r="C162" s="3" t="s">
        <v>944</v>
      </c>
      <c r="D162" s="1"/>
      <c r="E162" s="1">
        <f t="shared" si="12"/>
        <v>4</v>
      </c>
      <c r="F162" s="1">
        <f t="shared" si="13"/>
        <v>4</v>
      </c>
      <c r="G162" s="1">
        <f t="shared" si="14"/>
        <v>0</v>
      </c>
      <c r="H162" s="1"/>
      <c r="I162" s="1"/>
      <c r="J162" s="1"/>
      <c r="K162" s="1"/>
      <c r="L162" s="1"/>
      <c r="M162" s="1"/>
      <c r="N162" s="1">
        <v>3.4</v>
      </c>
      <c r="O162" s="1">
        <v>4</v>
      </c>
      <c r="P162" s="1">
        <v>0</v>
      </c>
      <c r="Q162" s="1">
        <v>0</v>
      </c>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row>
    <row r="163" spans="1:60" x14ac:dyDescent="0.2">
      <c r="A163" s="3">
        <v>161</v>
      </c>
      <c r="B163" s="3" t="s">
        <v>946</v>
      </c>
      <c r="C163" s="3" t="s">
        <v>947</v>
      </c>
      <c r="D163" s="1"/>
      <c r="E163" s="1">
        <f t="shared" ref="E163:E194" si="15">IFERROR(GEOMEAN(F163, G163), MAX(F163, G163))</f>
        <v>0.16666666666666599</v>
      </c>
      <c r="F163" s="1">
        <f t="shared" ref="F163:F192" si="16">MAX(O163)</f>
        <v>0.16666666666666599</v>
      </c>
      <c r="G163" s="1">
        <f t="shared" ref="G163:G192" si="17">MAX(M163, P163, Q163)</f>
        <v>0</v>
      </c>
      <c r="H163" s="1"/>
      <c r="I163" s="1"/>
      <c r="J163" s="1"/>
      <c r="K163" s="1"/>
      <c r="L163" s="1"/>
      <c r="M163" s="1"/>
      <c r="N163" s="1">
        <v>1.1000000000000001</v>
      </c>
      <c r="O163" s="1">
        <v>0.16666666666666599</v>
      </c>
      <c r="P163" s="1">
        <v>0</v>
      </c>
      <c r="Q163" s="1">
        <v>0</v>
      </c>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row>
    <row r="164" spans="1:60" x14ac:dyDescent="0.2">
      <c r="A164" s="3">
        <v>162</v>
      </c>
      <c r="B164" s="3" t="s">
        <v>951</v>
      </c>
      <c r="C164" s="3" t="s">
        <v>952</v>
      </c>
      <c r="D164" s="1"/>
      <c r="E164" s="1">
        <f t="shared" si="15"/>
        <v>2.5</v>
      </c>
      <c r="F164" s="1">
        <f t="shared" si="16"/>
        <v>2.5</v>
      </c>
      <c r="G164" s="1">
        <f t="shared" si="17"/>
        <v>0</v>
      </c>
      <c r="H164" s="1"/>
      <c r="I164" s="1"/>
      <c r="J164" s="1"/>
      <c r="K164" s="1"/>
      <c r="L164" s="1"/>
      <c r="M164" s="1"/>
      <c r="N164" s="1">
        <v>2.5</v>
      </c>
      <c r="O164" s="1">
        <v>2.5</v>
      </c>
      <c r="P164" s="1">
        <v>0</v>
      </c>
      <c r="Q164" s="1">
        <v>0</v>
      </c>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row>
    <row r="165" spans="1:60" x14ac:dyDescent="0.2">
      <c r="A165" s="3">
        <v>163</v>
      </c>
      <c r="B165" s="3" t="s">
        <v>956</v>
      </c>
      <c r="C165" s="3" t="s">
        <v>957</v>
      </c>
      <c r="D165" s="1"/>
      <c r="E165" s="1">
        <f t="shared" si="15"/>
        <v>4.5825756949558398</v>
      </c>
      <c r="F165" s="1">
        <f t="shared" si="16"/>
        <v>3</v>
      </c>
      <c r="G165" s="1">
        <f t="shared" si="17"/>
        <v>7</v>
      </c>
      <c r="H165" s="1"/>
      <c r="I165" s="1"/>
      <c r="J165" s="1"/>
      <c r="K165" s="1"/>
      <c r="L165" s="1"/>
      <c r="M165" s="1"/>
      <c r="N165" s="1">
        <v>2.8</v>
      </c>
      <c r="O165" s="1">
        <v>3</v>
      </c>
      <c r="P165" s="1">
        <v>7</v>
      </c>
      <c r="Q165" s="1">
        <v>0</v>
      </c>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row>
    <row r="166" spans="1:60" x14ac:dyDescent="0.2">
      <c r="A166" s="3">
        <v>164</v>
      </c>
      <c r="B166" s="3" t="s">
        <v>960</v>
      </c>
      <c r="C166" s="3" t="s">
        <v>961</v>
      </c>
      <c r="D166" s="1"/>
      <c r="E166" s="1">
        <f t="shared" si="15"/>
        <v>7.8333333333333304</v>
      </c>
      <c r="F166" s="1">
        <f t="shared" si="16"/>
        <v>7.8333333333333304</v>
      </c>
      <c r="G166" s="1">
        <f t="shared" si="17"/>
        <v>0</v>
      </c>
      <c r="H166" s="1"/>
      <c r="I166" s="1"/>
      <c r="J166" s="1"/>
      <c r="K166" s="1"/>
      <c r="L166" s="1"/>
      <c r="M166" s="1"/>
      <c r="N166" s="1">
        <v>5.7</v>
      </c>
      <c r="O166" s="1">
        <v>7.8333333333333304</v>
      </c>
      <c r="P166" s="1">
        <v>0</v>
      </c>
      <c r="Q166" s="1">
        <v>0</v>
      </c>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row>
    <row r="167" spans="1:60" x14ac:dyDescent="0.2">
      <c r="A167" s="3">
        <v>165</v>
      </c>
      <c r="B167" s="3" t="s">
        <v>965</v>
      </c>
      <c r="C167" s="3" t="s">
        <v>966</v>
      </c>
      <c r="D167" s="1"/>
      <c r="E167" s="1">
        <f t="shared" si="15"/>
        <v>5.3333333333333304</v>
      </c>
      <c r="F167" s="1">
        <f t="shared" si="16"/>
        <v>5.3333333333333304</v>
      </c>
      <c r="G167" s="1">
        <f t="shared" si="17"/>
        <v>0</v>
      </c>
      <c r="H167" s="1"/>
      <c r="I167" s="1"/>
      <c r="J167" s="1"/>
      <c r="K167" s="1"/>
      <c r="L167" s="1"/>
      <c r="M167" s="1"/>
      <c r="N167" s="1">
        <v>4.2</v>
      </c>
      <c r="O167" s="1">
        <v>5.3333333333333304</v>
      </c>
      <c r="P167" s="1">
        <v>0</v>
      </c>
      <c r="Q167" s="1">
        <v>0</v>
      </c>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row>
    <row r="168" spans="1:60" x14ac:dyDescent="0.2">
      <c r="A168" s="3">
        <v>166</v>
      </c>
      <c r="B168" s="3" t="s">
        <v>969</v>
      </c>
      <c r="C168" s="3" t="s">
        <v>970</v>
      </c>
      <c r="D168" s="1"/>
      <c r="E168" s="1">
        <f t="shared" si="15"/>
        <v>3.3333333333333299</v>
      </c>
      <c r="F168" s="1">
        <f t="shared" si="16"/>
        <v>3.3333333333333299</v>
      </c>
      <c r="G168" s="1">
        <f t="shared" si="17"/>
        <v>0</v>
      </c>
      <c r="H168" s="1"/>
      <c r="I168" s="1"/>
      <c r="J168" s="1"/>
      <c r="K168" s="1"/>
      <c r="L168" s="1"/>
      <c r="M168" s="1"/>
      <c r="N168" s="1">
        <v>3</v>
      </c>
      <c r="O168" s="1">
        <v>3.3333333333333299</v>
      </c>
      <c r="P168" s="1">
        <v>0</v>
      </c>
      <c r="Q168" s="1">
        <v>0</v>
      </c>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row>
    <row r="169" spans="1:60" x14ac:dyDescent="0.2">
      <c r="A169" s="3">
        <v>167</v>
      </c>
      <c r="B169" s="3" t="s">
        <v>973</v>
      </c>
      <c r="C169" s="3" t="s">
        <v>974</v>
      </c>
      <c r="D169" s="1"/>
      <c r="E169" s="1">
        <f t="shared" si="15"/>
        <v>9.3094933625126295</v>
      </c>
      <c r="F169" s="1">
        <f t="shared" si="16"/>
        <v>8.6666666666666696</v>
      </c>
      <c r="G169" s="1">
        <f t="shared" si="17"/>
        <v>10</v>
      </c>
      <c r="H169" s="1"/>
      <c r="I169" s="1"/>
      <c r="J169" s="1"/>
      <c r="K169" s="1"/>
      <c r="L169" s="1"/>
      <c r="M169" s="1"/>
      <c r="N169" s="1">
        <v>6.2</v>
      </c>
      <c r="O169" s="1">
        <v>8.6666666666666696</v>
      </c>
      <c r="P169" s="1">
        <v>10</v>
      </c>
      <c r="Q169" s="1">
        <v>0</v>
      </c>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row>
    <row r="170" spans="1:60" x14ac:dyDescent="0.2">
      <c r="A170" s="3">
        <v>168</v>
      </c>
      <c r="B170" s="3" t="s">
        <v>978</v>
      </c>
      <c r="C170" s="3" t="s">
        <v>979</v>
      </c>
      <c r="D170" s="1"/>
      <c r="E170" s="1">
        <f t="shared" si="15"/>
        <v>7.4833147735478827</v>
      </c>
      <c r="F170" s="1">
        <f t="shared" si="16"/>
        <v>8</v>
      </c>
      <c r="G170" s="1">
        <f t="shared" si="17"/>
        <v>7</v>
      </c>
      <c r="H170" s="1"/>
      <c r="I170" s="1"/>
      <c r="J170" s="1"/>
      <c r="K170" s="1"/>
      <c r="L170" s="1"/>
      <c r="M170" s="1"/>
      <c r="N170" s="1">
        <v>5.8</v>
      </c>
      <c r="O170" s="1">
        <v>8</v>
      </c>
      <c r="P170" s="1">
        <v>7</v>
      </c>
      <c r="Q170" s="1">
        <v>0</v>
      </c>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row>
    <row r="171" spans="1:60" x14ac:dyDescent="0.2">
      <c r="A171" s="3">
        <v>169</v>
      </c>
      <c r="B171" s="3" t="s">
        <v>980</v>
      </c>
      <c r="C171" s="3" t="s">
        <v>981</v>
      </c>
      <c r="D171" s="1"/>
      <c r="E171" s="1">
        <f t="shared" si="15"/>
        <v>5.6124860801609122</v>
      </c>
      <c r="F171" s="1">
        <f t="shared" si="16"/>
        <v>4.5</v>
      </c>
      <c r="G171" s="1">
        <f t="shared" si="17"/>
        <v>7</v>
      </c>
      <c r="H171" s="1"/>
      <c r="I171" s="1"/>
      <c r="J171" s="1"/>
      <c r="K171" s="1"/>
      <c r="L171" s="1"/>
      <c r="M171" s="1"/>
      <c r="N171" s="1">
        <v>3.7</v>
      </c>
      <c r="O171" s="1">
        <v>4.5</v>
      </c>
      <c r="P171" s="1">
        <v>7</v>
      </c>
      <c r="Q171" s="1">
        <v>0</v>
      </c>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row>
    <row r="172" spans="1:60" x14ac:dyDescent="0.2">
      <c r="A172" s="3">
        <v>170</v>
      </c>
      <c r="B172" s="3" t="s">
        <v>982</v>
      </c>
      <c r="C172" s="3" t="s">
        <v>983</v>
      </c>
      <c r="D172" s="1"/>
      <c r="E172" s="1">
        <f t="shared" si="15"/>
        <v>6</v>
      </c>
      <c r="F172" s="1">
        <f t="shared" si="16"/>
        <v>6</v>
      </c>
      <c r="G172" s="1">
        <f t="shared" si="17"/>
        <v>0</v>
      </c>
      <c r="H172" s="1"/>
      <c r="I172" s="1"/>
      <c r="J172" s="1"/>
      <c r="K172" s="1"/>
      <c r="L172" s="1"/>
      <c r="M172" s="1"/>
      <c r="N172" s="1">
        <v>4.5999999999999996</v>
      </c>
      <c r="O172" s="1">
        <v>6</v>
      </c>
      <c r="P172" s="1">
        <v>0</v>
      </c>
      <c r="Q172" s="1">
        <v>0</v>
      </c>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row>
    <row r="173" spans="1:60" x14ac:dyDescent="0.2">
      <c r="A173" s="3">
        <v>171</v>
      </c>
      <c r="B173" s="3" t="s">
        <v>984</v>
      </c>
      <c r="C173" s="3" t="s">
        <v>985</v>
      </c>
      <c r="D173" s="1"/>
      <c r="E173" s="1">
        <f t="shared" si="15"/>
        <v>8.3666002653407556</v>
      </c>
      <c r="F173" s="1">
        <f t="shared" si="16"/>
        <v>7</v>
      </c>
      <c r="G173" s="1">
        <f t="shared" si="17"/>
        <v>10</v>
      </c>
      <c r="H173" s="1"/>
      <c r="I173" s="1"/>
      <c r="J173" s="1"/>
      <c r="K173" s="1"/>
      <c r="L173" s="1"/>
      <c r="M173" s="1"/>
      <c r="N173" s="1">
        <v>5.2</v>
      </c>
      <c r="O173" s="1">
        <v>7</v>
      </c>
      <c r="P173" s="1">
        <v>10</v>
      </c>
      <c r="Q173" s="1">
        <v>0</v>
      </c>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row>
    <row r="174" spans="1:60" x14ac:dyDescent="0.2">
      <c r="A174" s="3">
        <v>172</v>
      </c>
      <c r="B174" s="3" t="s">
        <v>986</v>
      </c>
      <c r="C174" s="3" t="s">
        <v>987</v>
      </c>
      <c r="D174" s="1"/>
      <c r="E174" s="1">
        <f t="shared" si="15"/>
        <v>6.0553007081949861</v>
      </c>
      <c r="F174" s="1">
        <f t="shared" si="16"/>
        <v>3.6666666666666701</v>
      </c>
      <c r="G174" s="1">
        <f t="shared" si="17"/>
        <v>10</v>
      </c>
      <c r="H174" s="1"/>
      <c r="I174" s="1"/>
      <c r="J174" s="1"/>
      <c r="K174" s="1"/>
      <c r="L174" s="1"/>
      <c r="M174" s="1"/>
      <c r="N174" s="1">
        <v>3.2</v>
      </c>
      <c r="O174" s="1">
        <v>3.6666666666666701</v>
      </c>
      <c r="P174" s="1">
        <v>10</v>
      </c>
      <c r="Q174" s="1">
        <v>0</v>
      </c>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row>
    <row r="175" spans="1:60" x14ac:dyDescent="0.2">
      <c r="A175" s="3">
        <v>173</v>
      </c>
      <c r="B175" s="3" t="s">
        <v>991</v>
      </c>
      <c r="C175" s="3" t="s">
        <v>992</v>
      </c>
      <c r="D175" s="1"/>
      <c r="E175" s="1">
        <f t="shared" si="15"/>
        <v>5.6666666666666696</v>
      </c>
      <c r="F175" s="1">
        <f t="shared" si="16"/>
        <v>5.6666666666666696</v>
      </c>
      <c r="G175" s="1">
        <f t="shared" si="17"/>
        <v>0</v>
      </c>
      <c r="H175" s="1"/>
      <c r="I175" s="1"/>
      <c r="J175" s="1"/>
      <c r="K175" s="1"/>
      <c r="L175" s="1"/>
      <c r="M175" s="1"/>
      <c r="N175" s="1">
        <v>4.4000000000000004</v>
      </c>
      <c r="O175" s="1">
        <v>5.6666666666666696</v>
      </c>
      <c r="P175" s="1">
        <v>0</v>
      </c>
      <c r="Q175" s="1">
        <v>0</v>
      </c>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row>
    <row r="176" spans="1:60" x14ac:dyDescent="0.2">
      <c r="A176" s="3">
        <v>174</v>
      </c>
      <c r="B176" s="3" t="s">
        <v>995</v>
      </c>
      <c r="C176" s="3" t="s">
        <v>996</v>
      </c>
      <c r="D176" s="1"/>
      <c r="E176" s="1">
        <f t="shared" si="15"/>
        <v>8.6666666666666696</v>
      </c>
      <c r="F176" s="1">
        <f t="shared" si="16"/>
        <v>8.6666666666666696</v>
      </c>
      <c r="G176" s="1">
        <f t="shared" si="17"/>
        <v>0</v>
      </c>
      <c r="H176" s="1"/>
      <c r="I176" s="1"/>
      <c r="J176" s="1"/>
      <c r="K176" s="1"/>
      <c r="L176" s="1"/>
      <c r="M176" s="1"/>
      <c r="N176" s="1">
        <v>6.2</v>
      </c>
      <c r="O176" s="1">
        <v>8.6666666666666696</v>
      </c>
      <c r="P176" s="1">
        <v>0</v>
      </c>
      <c r="Q176" s="1">
        <v>0</v>
      </c>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row>
    <row r="177" spans="1:60" x14ac:dyDescent="0.2">
      <c r="A177" s="3">
        <v>175</v>
      </c>
      <c r="B177" s="3" t="s">
        <v>1001</v>
      </c>
      <c r="C177" s="3" t="s">
        <v>1002</v>
      </c>
      <c r="D177" s="1"/>
      <c r="E177" s="1">
        <f t="shared" si="15"/>
        <v>5.7735026918962546</v>
      </c>
      <c r="F177" s="1">
        <f t="shared" si="16"/>
        <v>3.3333333333333299</v>
      </c>
      <c r="G177" s="1">
        <f t="shared" si="17"/>
        <v>10</v>
      </c>
      <c r="H177" s="1"/>
      <c r="I177" s="1"/>
      <c r="J177" s="1"/>
      <c r="K177" s="1"/>
      <c r="L177" s="1"/>
      <c r="M177" s="1"/>
      <c r="N177" s="1">
        <v>3</v>
      </c>
      <c r="O177" s="1">
        <v>3.3333333333333299</v>
      </c>
      <c r="P177" s="1">
        <v>10</v>
      </c>
      <c r="Q177" s="1">
        <v>0</v>
      </c>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row>
    <row r="178" spans="1:60" x14ac:dyDescent="0.2">
      <c r="A178" s="3">
        <v>176</v>
      </c>
      <c r="B178" s="3" t="s">
        <v>1003</v>
      </c>
      <c r="C178" s="3" t="s">
        <v>1004</v>
      </c>
      <c r="D178" s="1"/>
      <c r="E178" s="1">
        <f t="shared" si="15"/>
        <v>6.9161646404154746</v>
      </c>
      <c r="F178" s="1">
        <f t="shared" si="16"/>
        <v>6.8333333333333304</v>
      </c>
      <c r="G178" s="1">
        <f t="shared" si="17"/>
        <v>7</v>
      </c>
      <c r="H178" s="1"/>
      <c r="I178" s="1"/>
      <c r="J178" s="1"/>
      <c r="K178" s="1"/>
      <c r="L178" s="1"/>
      <c r="M178" s="1"/>
      <c r="N178" s="1">
        <v>5.0999999999999996</v>
      </c>
      <c r="O178" s="1">
        <v>6.8333333333333304</v>
      </c>
      <c r="P178" s="1">
        <v>0</v>
      </c>
      <c r="Q178" s="1">
        <v>7</v>
      </c>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row>
    <row r="179" spans="1:60" x14ac:dyDescent="0.2">
      <c r="A179" s="3">
        <v>177</v>
      </c>
      <c r="B179" s="3" t="s">
        <v>1007</v>
      </c>
      <c r="C179" s="3" t="s">
        <v>1008</v>
      </c>
      <c r="D179" s="1"/>
      <c r="E179" s="1">
        <f t="shared" si="15"/>
        <v>6.2981478758970626</v>
      </c>
      <c r="F179" s="1">
        <f t="shared" si="16"/>
        <v>5.6666666666666696</v>
      </c>
      <c r="G179" s="1">
        <f t="shared" si="17"/>
        <v>7</v>
      </c>
      <c r="H179" s="1"/>
      <c r="I179" s="1"/>
      <c r="J179" s="1"/>
      <c r="K179" s="1"/>
      <c r="L179" s="1"/>
      <c r="M179" s="1"/>
      <c r="N179" s="1">
        <v>4.4000000000000004</v>
      </c>
      <c r="O179" s="1">
        <v>5.6666666666666696</v>
      </c>
      <c r="P179" s="1">
        <v>0</v>
      </c>
      <c r="Q179" s="1">
        <v>7</v>
      </c>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row>
    <row r="180" spans="1:60" x14ac:dyDescent="0.2">
      <c r="A180" s="3">
        <v>178</v>
      </c>
      <c r="B180" s="3" t="s">
        <v>1011</v>
      </c>
      <c r="C180" s="3" t="s">
        <v>1012</v>
      </c>
      <c r="D180" s="1"/>
      <c r="E180" s="1">
        <f t="shared" si="15"/>
        <v>3.6666666666666701</v>
      </c>
      <c r="F180" s="1">
        <f t="shared" si="16"/>
        <v>3.6666666666666701</v>
      </c>
      <c r="G180" s="1">
        <f t="shared" si="17"/>
        <v>0</v>
      </c>
      <c r="H180" s="1"/>
      <c r="I180" s="1"/>
      <c r="J180" s="1"/>
      <c r="K180" s="1"/>
      <c r="L180" s="1"/>
      <c r="M180" s="1"/>
      <c r="N180" s="1">
        <v>3.2</v>
      </c>
      <c r="O180" s="1">
        <v>3.6666666666666701</v>
      </c>
      <c r="P180" s="1">
        <v>0</v>
      </c>
      <c r="Q180" s="1">
        <v>0</v>
      </c>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row>
    <row r="181" spans="1:60" x14ac:dyDescent="0.2">
      <c r="A181" s="3">
        <v>179</v>
      </c>
      <c r="B181" s="3" t="s">
        <v>1015</v>
      </c>
      <c r="C181" s="3" t="s">
        <v>1016</v>
      </c>
      <c r="D181" s="1"/>
      <c r="E181" s="1">
        <f t="shared" si="15"/>
        <v>1.1666666666666701</v>
      </c>
      <c r="F181" s="1">
        <f t="shared" si="16"/>
        <v>1.1666666666666701</v>
      </c>
      <c r="G181" s="1">
        <f t="shared" si="17"/>
        <v>0</v>
      </c>
      <c r="H181" s="1"/>
      <c r="I181" s="1"/>
      <c r="J181" s="1"/>
      <c r="K181" s="1"/>
      <c r="L181" s="1"/>
      <c r="M181" s="1"/>
      <c r="N181" s="1">
        <v>1.7</v>
      </c>
      <c r="O181" s="1">
        <v>1.1666666666666701</v>
      </c>
      <c r="P181" s="1">
        <v>0</v>
      </c>
      <c r="Q181" s="1">
        <v>0</v>
      </c>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row>
    <row r="182" spans="1:60" x14ac:dyDescent="0.2">
      <c r="A182" s="3">
        <v>180</v>
      </c>
      <c r="B182" s="3" t="s">
        <v>1019</v>
      </c>
      <c r="C182" s="3" t="s">
        <v>1020</v>
      </c>
      <c r="D182" s="1"/>
      <c r="E182" s="1">
        <f t="shared" si="15"/>
        <v>8.0829037686547593</v>
      </c>
      <c r="F182" s="1">
        <f t="shared" si="16"/>
        <v>9.3333333333333304</v>
      </c>
      <c r="G182" s="1">
        <f t="shared" si="17"/>
        <v>7</v>
      </c>
      <c r="H182" s="1"/>
      <c r="I182" s="1" t="s">
        <v>1294</v>
      </c>
      <c r="J182" s="1" t="s">
        <v>1283</v>
      </c>
      <c r="K182" s="1" t="s">
        <v>1288</v>
      </c>
      <c r="L182" s="1" t="s">
        <v>1291</v>
      </c>
      <c r="M182" s="1">
        <v>0</v>
      </c>
      <c r="N182" s="1">
        <v>6.6</v>
      </c>
      <c r="O182" s="1">
        <v>9.3333333333333304</v>
      </c>
      <c r="P182" s="1">
        <v>7</v>
      </c>
      <c r="Q182" s="1">
        <v>0</v>
      </c>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row>
    <row r="183" spans="1:60" x14ac:dyDescent="0.2">
      <c r="A183" s="3">
        <v>181</v>
      </c>
      <c r="B183" s="3" t="s">
        <v>1022</v>
      </c>
      <c r="C183" s="3" t="s">
        <v>1023</v>
      </c>
      <c r="D183" s="1"/>
      <c r="E183" s="1">
        <f t="shared" si="15"/>
        <v>7</v>
      </c>
      <c r="F183" s="1">
        <f t="shared" si="16"/>
        <v>7</v>
      </c>
      <c r="G183" s="1">
        <f t="shared" si="17"/>
        <v>7</v>
      </c>
      <c r="H183" s="1"/>
      <c r="I183" s="1"/>
      <c r="J183" s="1"/>
      <c r="K183" s="1"/>
      <c r="L183" s="1"/>
      <c r="M183" s="1"/>
      <c r="N183" s="1">
        <v>5.2</v>
      </c>
      <c r="O183" s="1">
        <v>7</v>
      </c>
      <c r="P183" s="1">
        <v>7</v>
      </c>
      <c r="Q183" s="1">
        <v>0</v>
      </c>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row>
    <row r="184" spans="1:60" x14ac:dyDescent="0.2">
      <c r="A184" s="3">
        <v>182</v>
      </c>
      <c r="B184" s="3" t="s">
        <v>1026</v>
      </c>
      <c r="C184" s="3" t="s">
        <v>1027</v>
      </c>
      <c r="D184" s="1"/>
      <c r="E184" s="1">
        <f t="shared" si="15"/>
        <v>5.163977794943226</v>
      </c>
      <c r="F184" s="1">
        <f t="shared" si="16"/>
        <v>2.6666666666666701</v>
      </c>
      <c r="G184" s="1">
        <f t="shared" si="17"/>
        <v>10</v>
      </c>
      <c r="H184" s="1"/>
      <c r="I184" s="1"/>
      <c r="J184" s="1"/>
      <c r="K184" s="1"/>
      <c r="L184" s="1"/>
      <c r="M184" s="1"/>
      <c r="N184" s="1">
        <v>2.6</v>
      </c>
      <c r="O184" s="1">
        <v>2.6666666666666701</v>
      </c>
      <c r="P184" s="1">
        <v>10</v>
      </c>
      <c r="Q184" s="1">
        <v>0</v>
      </c>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row>
    <row r="185" spans="1:60" x14ac:dyDescent="0.2">
      <c r="A185" s="3">
        <v>183</v>
      </c>
      <c r="B185" s="3" t="s">
        <v>1029</v>
      </c>
      <c r="C185" s="3" t="s">
        <v>1030</v>
      </c>
      <c r="D185" s="1"/>
      <c r="E185" s="1">
        <f t="shared" si="15"/>
        <v>7.713624310270756</v>
      </c>
      <c r="F185" s="1">
        <f t="shared" si="16"/>
        <v>8.5</v>
      </c>
      <c r="G185" s="1">
        <f t="shared" si="17"/>
        <v>7</v>
      </c>
      <c r="H185" s="1"/>
      <c r="I185" s="1"/>
      <c r="J185" s="1"/>
      <c r="K185" s="1"/>
      <c r="L185" s="1"/>
      <c r="M185" s="1"/>
      <c r="N185" s="1">
        <v>6.1</v>
      </c>
      <c r="O185" s="1">
        <v>8.5</v>
      </c>
      <c r="P185" s="1">
        <v>7</v>
      </c>
      <c r="Q185" s="1">
        <v>0</v>
      </c>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row>
    <row r="186" spans="1:60" x14ac:dyDescent="0.2">
      <c r="A186" s="3">
        <v>184</v>
      </c>
      <c r="B186" s="3" t="s">
        <v>1033</v>
      </c>
      <c r="C186" s="3" t="s">
        <v>1034</v>
      </c>
      <c r="D186" s="1"/>
      <c r="E186" s="1">
        <f t="shared" si="15"/>
        <v>8.3666002653407556</v>
      </c>
      <c r="F186" s="1">
        <f t="shared" si="16"/>
        <v>10</v>
      </c>
      <c r="G186" s="1">
        <f t="shared" si="17"/>
        <v>7</v>
      </c>
      <c r="H186" s="1"/>
      <c r="I186" s="1"/>
      <c r="J186" s="1"/>
      <c r="K186" s="1"/>
      <c r="L186" s="1"/>
      <c r="M186" s="1"/>
      <c r="N186" s="1">
        <v>7.4</v>
      </c>
      <c r="O186" s="1">
        <v>10</v>
      </c>
      <c r="P186" s="1">
        <v>7</v>
      </c>
      <c r="Q186" s="1">
        <v>0</v>
      </c>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row>
    <row r="187" spans="1:60" x14ac:dyDescent="0.2">
      <c r="A187" s="3">
        <v>185</v>
      </c>
      <c r="B187" s="3" t="s">
        <v>1035</v>
      </c>
      <c r="C187" s="3" t="s">
        <v>1036</v>
      </c>
      <c r="D187" s="1"/>
      <c r="E187" s="1">
        <f t="shared" si="15"/>
        <v>8.7559503577091338</v>
      </c>
      <c r="F187" s="1">
        <f t="shared" si="16"/>
        <v>7.6666666666666696</v>
      </c>
      <c r="G187" s="1">
        <f t="shared" si="17"/>
        <v>10</v>
      </c>
      <c r="H187" s="1"/>
      <c r="I187" s="1" t="s">
        <v>1296</v>
      </c>
      <c r="J187" s="1" t="s">
        <v>1283</v>
      </c>
      <c r="K187" s="1" t="s">
        <v>1288</v>
      </c>
      <c r="L187" s="1" t="s">
        <v>1291</v>
      </c>
      <c r="M187" s="1">
        <v>0</v>
      </c>
      <c r="N187" s="1">
        <v>5.6</v>
      </c>
      <c r="O187" s="1">
        <v>7.6666666666666696</v>
      </c>
      <c r="P187" s="1">
        <v>10</v>
      </c>
      <c r="Q187" s="1">
        <v>0</v>
      </c>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row>
    <row r="188" spans="1:60" x14ac:dyDescent="0.2">
      <c r="A188" s="3">
        <v>186</v>
      </c>
      <c r="B188" s="3" t="s">
        <v>1037</v>
      </c>
      <c r="C188" s="3" t="s">
        <v>1038</v>
      </c>
      <c r="D188" s="1"/>
      <c r="E188" s="1">
        <f t="shared" si="15"/>
        <v>4.1666666666666696</v>
      </c>
      <c r="F188" s="1">
        <f t="shared" si="16"/>
        <v>4.1666666666666696</v>
      </c>
      <c r="G188" s="1">
        <f t="shared" si="17"/>
        <v>0</v>
      </c>
      <c r="H188" s="1"/>
      <c r="I188" s="1"/>
      <c r="J188" s="1"/>
      <c r="K188" s="1"/>
      <c r="L188" s="1"/>
      <c r="M188" s="1"/>
      <c r="N188" s="1">
        <v>3.5</v>
      </c>
      <c r="O188" s="1">
        <v>4.1666666666666696</v>
      </c>
      <c r="P188" s="1">
        <v>0</v>
      </c>
      <c r="Q188" s="1">
        <v>0</v>
      </c>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row>
    <row r="189" spans="1:60" x14ac:dyDescent="0.2">
      <c r="A189" s="3">
        <v>187</v>
      </c>
      <c r="B189" s="3" t="s">
        <v>1039</v>
      </c>
      <c r="C189" s="3" t="s">
        <v>1040</v>
      </c>
      <c r="D189" s="1"/>
      <c r="E189" s="1">
        <f t="shared" si="15"/>
        <v>7.416198487095663</v>
      </c>
      <c r="F189" s="1">
        <f t="shared" si="16"/>
        <v>5.5</v>
      </c>
      <c r="G189" s="1">
        <f t="shared" si="17"/>
        <v>10</v>
      </c>
      <c r="H189" s="1"/>
      <c r="I189" s="1"/>
      <c r="J189" s="1"/>
      <c r="K189" s="1"/>
      <c r="L189" s="1"/>
      <c r="M189" s="1"/>
      <c r="N189" s="1">
        <v>4.3</v>
      </c>
      <c r="O189" s="1">
        <v>5.5</v>
      </c>
      <c r="P189" s="1">
        <v>0</v>
      </c>
      <c r="Q189" s="1">
        <v>10</v>
      </c>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row>
    <row r="190" spans="1:60" x14ac:dyDescent="0.2">
      <c r="A190" s="3">
        <v>188</v>
      </c>
      <c r="B190" s="3" t="s">
        <v>1043</v>
      </c>
      <c r="C190" s="3" t="s">
        <v>1044</v>
      </c>
      <c r="D190" s="1"/>
      <c r="E190" s="1">
        <f t="shared" si="15"/>
        <v>6.5</v>
      </c>
      <c r="F190" s="1">
        <f t="shared" si="16"/>
        <v>6.5</v>
      </c>
      <c r="G190" s="1">
        <f t="shared" si="17"/>
        <v>0</v>
      </c>
      <c r="H190" s="1"/>
      <c r="I190" s="1"/>
      <c r="J190" s="1"/>
      <c r="K190" s="1"/>
      <c r="L190" s="1"/>
      <c r="M190" s="1"/>
      <c r="N190" s="1">
        <v>4.9000000000000004</v>
      </c>
      <c r="O190" s="1">
        <v>6.5</v>
      </c>
      <c r="P190" s="1">
        <v>0</v>
      </c>
      <c r="Q190" s="1">
        <v>0</v>
      </c>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row>
    <row r="191" spans="1:60" x14ac:dyDescent="0.2">
      <c r="A191" s="3">
        <v>189</v>
      </c>
      <c r="B191" s="3" t="s">
        <v>1049</v>
      </c>
      <c r="C191" s="3" t="s">
        <v>1050</v>
      </c>
      <c r="D191" s="1"/>
      <c r="E191" s="1">
        <f t="shared" si="15"/>
        <v>4.1666666666666696</v>
      </c>
      <c r="F191" s="1">
        <f t="shared" si="16"/>
        <v>4.1666666666666696</v>
      </c>
      <c r="G191" s="1">
        <f t="shared" si="17"/>
        <v>0</v>
      </c>
      <c r="H191" s="1"/>
      <c r="I191" s="1"/>
      <c r="J191" s="1"/>
      <c r="K191" s="1"/>
      <c r="L191" s="1"/>
      <c r="M191" s="1"/>
      <c r="N191" s="1">
        <v>3.5</v>
      </c>
      <c r="O191" s="1">
        <v>4.1666666666666696</v>
      </c>
      <c r="P191" s="1">
        <v>0</v>
      </c>
      <c r="Q191" s="1">
        <v>0</v>
      </c>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row>
    <row r="192" spans="1:60" x14ac:dyDescent="0.2">
      <c r="A192" s="3">
        <v>190</v>
      </c>
      <c r="B192" s="3" t="s">
        <v>1053</v>
      </c>
      <c r="C192" s="3" t="s">
        <v>1054</v>
      </c>
      <c r="D192" s="1"/>
      <c r="E192" s="1">
        <f t="shared" si="15"/>
        <v>6.1666666666666696</v>
      </c>
      <c r="F192" s="1">
        <f t="shared" si="16"/>
        <v>6.1666666666666696</v>
      </c>
      <c r="G192" s="1">
        <f t="shared" si="17"/>
        <v>0</v>
      </c>
      <c r="H192" s="1"/>
      <c r="I192" s="1"/>
      <c r="J192" s="1"/>
      <c r="K192" s="1"/>
      <c r="L192" s="1"/>
      <c r="M192" s="1"/>
      <c r="N192" s="1">
        <v>4.7</v>
      </c>
      <c r="O192" s="1">
        <v>6.1666666666666696</v>
      </c>
      <c r="P192" s="1">
        <v>0</v>
      </c>
      <c r="Q192" s="1">
        <v>0</v>
      </c>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row>
    <row r="193" spans="1:60" x14ac:dyDescent="0.2">
      <c r="A193" s="3"/>
      <c r="B193" s="3"/>
      <c r="C193" s="3"/>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row>
    <row r="194" spans="1:60" x14ac:dyDescent="0.2">
      <c r="A194" s="3"/>
      <c r="B194" s="3"/>
      <c r="C194" s="3"/>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row>
    <row r="195" spans="1:60" x14ac:dyDescent="0.2">
      <c r="A195" s="3"/>
      <c r="B195" s="3"/>
      <c r="C195" s="3"/>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row>
    <row r="196" spans="1:60" x14ac:dyDescent="0.2">
      <c r="A196" s="3"/>
      <c r="B196" s="3"/>
      <c r="C196" s="3"/>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row>
    <row r="197" spans="1:60" x14ac:dyDescent="0.2">
      <c r="A197" s="3"/>
      <c r="B197" s="3"/>
      <c r="C197" s="3"/>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row>
    <row r="198" spans="1:60" x14ac:dyDescent="0.2">
      <c r="A198" s="3"/>
      <c r="B198" s="3"/>
      <c r="C198" s="3"/>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row>
    <row r="199" spans="1:60" x14ac:dyDescent="0.2">
      <c r="A199" s="3"/>
      <c r="B199" s="3"/>
      <c r="C199" s="3"/>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row>
    <row r="200" spans="1:60" x14ac:dyDescent="0.2">
      <c r="A200" s="3"/>
      <c r="B200" s="3"/>
      <c r="C200" s="3"/>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row>
  </sheetData>
  <conditionalFormatting sqref="E1:E192">
    <cfRule type="expression" dxfId="51" priority="12">
      <formula>E1=10</formula>
    </cfRule>
    <cfRule type="cellIs" dxfId="50" priority="11" operator="between">
      <formula>7</formula>
      <formula>9.99</formula>
    </cfRule>
    <cfRule type="cellIs" dxfId="49" priority="10" operator="between">
      <formula>0</formula>
      <formula>6.999</formula>
    </cfRule>
    <cfRule type="expression" dxfId="48" priority="9">
      <formula>E1=""</formula>
    </cfRule>
  </conditionalFormatting>
  <conditionalFormatting sqref="F1:F192">
    <cfRule type="expression" dxfId="47" priority="8">
      <formula>F1=10</formula>
    </cfRule>
    <cfRule type="cellIs" dxfId="46" priority="7" operator="between">
      <formula>7</formula>
      <formula>9.99</formula>
    </cfRule>
    <cfRule type="cellIs" dxfId="45" priority="6" operator="between">
      <formula>0</formula>
      <formula>6.999</formula>
    </cfRule>
    <cfRule type="expression" dxfId="44" priority="5">
      <formula>F1=""</formula>
    </cfRule>
  </conditionalFormatting>
  <conditionalFormatting sqref="G1:G192">
    <cfRule type="expression" dxfId="43" priority="4">
      <formula>G1=10</formula>
    </cfRule>
    <cfRule type="cellIs" dxfId="42" priority="3" operator="between">
      <formula>7</formula>
      <formula>9.99</formula>
    </cfRule>
    <cfRule type="cellIs" dxfId="41" priority="2" operator="between">
      <formula>0</formula>
      <formula>6.999</formula>
    </cfRule>
    <cfRule type="expression" dxfId="40" priority="1">
      <formula>G1=""</formula>
    </cfRule>
  </conditionalFormatting>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G200"/>
  <sheetViews>
    <sheetView workbookViewId="0"/>
  </sheetViews>
  <sheetFormatPr baseColWidth="10" defaultColWidth="8.7109375" defaultRowHeight="16" x14ac:dyDescent="0.2"/>
  <cols>
    <col min="1" max="1" width="3.7109375" customWidth="1"/>
    <col min="2" max="2" width="22.7109375" customWidth="1"/>
    <col min="4" max="4" width="3.7109375" customWidth="1"/>
    <col min="8" max="8" width="3.7109375" customWidth="1"/>
  </cols>
  <sheetData>
    <row r="1" spans="1:111" x14ac:dyDescent="0.2">
      <c r="A1" s="3"/>
      <c r="B1" s="3"/>
      <c r="C1" s="3"/>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row>
    <row r="2" spans="1:111" ht="169" x14ac:dyDescent="0.2">
      <c r="A2" s="4" t="s">
        <v>1297</v>
      </c>
      <c r="B2" s="4" t="s">
        <v>1</v>
      </c>
      <c r="C2" s="4" t="s">
        <v>2</v>
      </c>
      <c r="D2" s="2" t="s">
        <v>3</v>
      </c>
      <c r="E2" s="2" t="s">
        <v>4</v>
      </c>
      <c r="F2" s="2" t="s">
        <v>5</v>
      </c>
      <c r="G2" s="2" t="s">
        <v>6</v>
      </c>
      <c r="H2" s="2" t="s">
        <v>7</v>
      </c>
      <c r="I2" s="2" t="s">
        <v>0</v>
      </c>
      <c r="J2" s="2" t="s">
        <v>1298</v>
      </c>
      <c r="K2" s="2" t="s">
        <v>1299</v>
      </c>
      <c r="L2" s="2" t="s">
        <v>1300</v>
      </c>
      <c r="M2" s="2" t="s">
        <v>1301</v>
      </c>
      <c r="N2" s="2" t="s">
        <v>1302</v>
      </c>
      <c r="O2" s="2" t="s">
        <v>1303</v>
      </c>
      <c r="P2" s="2" t="s">
        <v>1304</v>
      </c>
      <c r="Q2" s="2" t="s">
        <v>1305</v>
      </c>
      <c r="R2" s="2" t="s">
        <v>1306</v>
      </c>
      <c r="S2" s="2" t="s">
        <v>1307</v>
      </c>
      <c r="T2" s="2" t="s">
        <v>1308</v>
      </c>
      <c r="U2" s="2" t="s">
        <v>1309</v>
      </c>
      <c r="V2" s="2" t="s">
        <v>1310</v>
      </c>
      <c r="W2" s="2" t="s">
        <v>1311</v>
      </c>
      <c r="X2" s="2" t="s">
        <v>1312</v>
      </c>
      <c r="Y2" s="2" t="s">
        <v>1313</v>
      </c>
      <c r="Z2" s="2" t="s">
        <v>1314</v>
      </c>
      <c r="AA2" s="2" t="s">
        <v>1315</v>
      </c>
      <c r="AB2" s="2" t="s">
        <v>1316</v>
      </c>
      <c r="AC2" s="2" t="s">
        <v>1317</v>
      </c>
      <c r="AD2" s="2" t="s">
        <v>1318</v>
      </c>
      <c r="AE2" s="2" t="s">
        <v>1319</v>
      </c>
      <c r="AF2" s="2" t="s">
        <v>1320</v>
      </c>
      <c r="AG2" s="2" t="s">
        <v>1321</v>
      </c>
      <c r="AH2" s="2" t="s">
        <v>1322</v>
      </c>
      <c r="AI2" s="2" t="s">
        <v>1323</v>
      </c>
      <c r="AJ2" s="2" t="s">
        <v>1324</v>
      </c>
      <c r="AK2" s="2" t="s">
        <v>1325</v>
      </c>
      <c r="AL2" s="2" t="s">
        <v>1326</v>
      </c>
      <c r="AM2" s="2" t="s">
        <v>1327</v>
      </c>
      <c r="AN2" s="2" t="s">
        <v>1328</v>
      </c>
      <c r="AO2" s="2" t="s">
        <v>1329</v>
      </c>
      <c r="AP2" s="2" t="s">
        <v>1330</v>
      </c>
      <c r="AQ2" s="2" t="s">
        <v>1331</v>
      </c>
      <c r="AR2" s="2" t="s">
        <v>1332</v>
      </c>
      <c r="AS2" s="2" t="s">
        <v>1333</v>
      </c>
      <c r="AT2" s="2" t="s">
        <v>1334</v>
      </c>
      <c r="AU2" s="2" t="s">
        <v>1335</v>
      </c>
      <c r="AV2" s="2" t="s">
        <v>1336</v>
      </c>
      <c r="AW2" s="2" t="s">
        <v>1337</v>
      </c>
      <c r="AX2" s="2" t="s">
        <v>1338</v>
      </c>
      <c r="AY2" s="2" t="s">
        <v>1339</v>
      </c>
      <c r="AZ2" s="2" t="s">
        <v>1340</v>
      </c>
      <c r="BA2" s="2" t="s">
        <v>1341</v>
      </c>
      <c r="BB2" s="2" t="s">
        <v>1342</v>
      </c>
      <c r="BC2" s="2" t="s">
        <v>1343</v>
      </c>
      <c r="BD2" s="2" t="s">
        <v>1344</v>
      </c>
      <c r="BE2" s="2" t="s">
        <v>1345</v>
      </c>
      <c r="BF2" s="1" t="s">
        <v>1346</v>
      </c>
      <c r="BG2" s="1" t="s">
        <v>1347</v>
      </c>
      <c r="BH2" s="1" t="s">
        <v>1348</v>
      </c>
      <c r="BI2" t="s">
        <v>1349</v>
      </c>
      <c r="BJ2" t="s">
        <v>1350</v>
      </c>
      <c r="BK2" t="s">
        <v>1351</v>
      </c>
      <c r="BL2" t="s">
        <v>1352</v>
      </c>
      <c r="BM2" t="s">
        <v>1353</v>
      </c>
      <c r="BN2" t="s">
        <v>1354</v>
      </c>
      <c r="BO2" t="s">
        <v>1355</v>
      </c>
      <c r="BP2" t="s">
        <v>1356</v>
      </c>
      <c r="BQ2" t="s">
        <v>1357</v>
      </c>
      <c r="BR2" t="s">
        <v>1358</v>
      </c>
      <c r="BS2" t="s">
        <v>1359</v>
      </c>
      <c r="BT2" t="s">
        <v>1360</v>
      </c>
      <c r="BU2" t="s">
        <v>1361</v>
      </c>
      <c r="BV2" t="s">
        <v>1362</v>
      </c>
      <c r="BW2" t="s">
        <v>1363</v>
      </c>
      <c r="BX2" t="s">
        <v>1364</v>
      </c>
      <c r="BY2" t="s">
        <v>1365</v>
      </c>
      <c r="BZ2" t="s">
        <v>1366</v>
      </c>
      <c r="CA2" t="s">
        <v>1367</v>
      </c>
      <c r="CB2" t="s">
        <v>1368</v>
      </c>
      <c r="CC2" t="s">
        <v>1369</v>
      </c>
      <c r="CD2" t="s">
        <v>1370</v>
      </c>
      <c r="CE2" t="s">
        <v>1371</v>
      </c>
      <c r="CF2" t="s">
        <v>1372</v>
      </c>
      <c r="CG2" t="s">
        <v>1373</v>
      </c>
      <c r="CH2" t="s">
        <v>1374</v>
      </c>
      <c r="CI2" t="s">
        <v>1375</v>
      </c>
      <c r="CJ2" t="s">
        <v>1376</v>
      </c>
      <c r="CK2" t="s">
        <v>1377</v>
      </c>
      <c r="CL2" t="s">
        <v>1378</v>
      </c>
      <c r="CM2" t="s">
        <v>1379</v>
      </c>
      <c r="CN2" t="s">
        <v>1380</v>
      </c>
      <c r="CO2" t="s">
        <v>1381</v>
      </c>
      <c r="CP2" t="s">
        <v>1382</v>
      </c>
      <c r="CQ2" t="s">
        <v>1383</v>
      </c>
      <c r="CR2" t="s">
        <v>1384</v>
      </c>
      <c r="CS2" t="s">
        <v>1385</v>
      </c>
      <c r="CT2" t="s">
        <v>1386</v>
      </c>
      <c r="CU2" t="s">
        <v>1387</v>
      </c>
      <c r="CV2" t="s">
        <v>1388</v>
      </c>
      <c r="CW2" t="s">
        <v>1389</v>
      </c>
      <c r="CX2" t="s">
        <v>1390</v>
      </c>
      <c r="CY2" t="s">
        <v>1391</v>
      </c>
      <c r="CZ2" t="s">
        <v>1392</v>
      </c>
      <c r="DA2" t="s">
        <v>1393</v>
      </c>
      <c r="DB2" t="s">
        <v>1394</v>
      </c>
      <c r="DC2" t="s">
        <v>1395</v>
      </c>
      <c r="DD2" t="s">
        <v>1396</v>
      </c>
      <c r="DE2" t="s">
        <v>1397</v>
      </c>
      <c r="DF2" t="s">
        <v>1398</v>
      </c>
      <c r="DG2" t="s">
        <v>1399</v>
      </c>
    </row>
    <row r="3" spans="1:111" x14ac:dyDescent="0.2">
      <c r="A3" s="3">
        <v>1</v>
      </c>
      <c r="B3" s="3" t="s">
        <v>93</v>
      </c>
      <c r="C3" s="3" t="s">
        <v>94</v>
      </c>
      <c r="D3" s="1"/>
      <c r="E3" s="1">
        <f t="shared" ref="E3:E34" si="0">IFERROR(GEOMEAN(F3, G3), MAX(F3, G3))</f>
        <v>10</v>
      </c>
      <c r="F3" s="1">
        <f t="shared" ref="F3:F34" si="1">MAX(AS3)</f>
        <v>10</v>
      </c>
      <c r="G3" s="1">
        <f t="shared" ref="G3:G34" si="2">MAX(BA3, DG3)</f>
        <v>0</v>
      </c>
      <c r="H3" s="1"/>
      <c r="I3" s="1">
        <v>1</v>
      </c>
      <c r="J3" s="1">
        <v>8.8205823270000003</v>
      </c>
      <c r="K3" s="1"/>
      <c r="L3" s="1">
        <v>0.9</v>
      </c>
      <c r="M3" s="1">
        <v>0</v>
      </c>
      <c r="N3" s="1">
        <v>0.9</v>
      </c>
      <c r="O3" s="1">
        <v>5.9</v>
      </c>
      <c r="P3" s="1">
        <v>2.5</v>
      </c>
      <c r="Q3" s="1">
        <v>7.9</v>
      </c>
      <c r="R3" s="1">
        <v>10</v>
      </c>
      <c r="S3" s="1">
        <v>7</v>
      </c>
      <c r="T3" s="1">
        <v>7</v>
      </c>
      <c r="U3" s="1">
        <v>6.7</v>
      </c>
      <c r="V3" s="1">
        <v>1.9</v>
      </c>
      <c r="W3" s="1">
        <v>1</v>
      </c>
      <c r="X3" s="1">
        <v>1.5</v>
      </c>
      <c r="Y3" s="1">
        <v>4.0999999999999996</v>
      </c>
      <c r="Z3" s="1">
        <v>8</v>
      </c>
      <c r="AA3" s="1">
        <v>9</v>
      </c>
      <c r="AB3" s="1"/>
      <c r="AC3" s="1">
        <v>8.5</v>
      </c>
      <c r="AD3" s="1">
        <v>27.9</v>
      </c>
      <c r="AE3" s="1">
        <v>10</v>
      </c>
      <c r="AF3" s="1">
        <v>3</v>
      </c>
      <c r="AG3" s="1">
        <v>0.6</v>
      </c>
      <c r="AH3" s="1">
        <v>29.8</v>
      </c>
      <c r="AI3" s="1">
        <v>10</v>
      </c>
      <c r="AJ3" s="1">
        <v>9.1999999999999993</v>
      </c>
      <c r="AK3" s="1">
        <v>4</v>
      </c>
      <c r="AL3" s="1">
        <v>5</v>
      </c>
      <c r="AM3" s="1">
        <v>3.4</v>
      </c>
      <c r="AN3" s="1">
        <v>5.6</v>
      </c>
      <c r="AO3" s="1">
        <v>5</v>
      </c>
      <c r="AP3" s="1">
        <v>4.5</v>
      </c>
      <c r="AQ3" s="1">
        <v>6.4583333333333304</v>
      </c>
      <c r="AR3" s="1">
        <v>7.5</v>
      </c>
      <c r="AS3" s="1">
        <v>10</v>
      </c>
      <c r="AT3" s="1" t="s">
        <v>104</v>
      </c>
      <c r="AU3" s="1" t="s">
        <v>98</v>
      </c>
      <c r="AV3" s="1" t="s">
        <v>105</v>
      </c>
      <c r="AW3" s="1"/>
      <c r="AX3" s="1" t="s">
        <v>102</v>
      </c>
      <c r="AY3" s="1" t="s">
        <v>98</v>
      </c>
      <c r="AZ3" s="1">
        <v>10</v>
      </c>
      <c r="BA3" s="1"/>
      <c r="BB3" s="1">
        <v>7</v>
      </c>
      <c r="BC3" s="1"/>
      <c r="BD3" s="1"/>
      <c r="BE3" s="1"/>
      <c r="BF3" s="1"/>
      <c r="BG3" s="1"/>
      <c r="BH3" s="1"/>
      <c r="BS3" t="s">
        <v>1400</v>
      </c>
      <c r="BT3" t="s">
        <v>1401</v>
      </c>
      <c r="BU3" t="s">
        <v>1402</v>
      </c>
      <c r="CF3" t="s">
        <v>103</v>
      </c>
    </row>
    <row r="4" spans="1:111" x14ac:dyDescent="0.2">
      <c r="A4" s="3">
        <v>1</v>
      </c>
      <c r="B4" s="3" t="s">
        <v>114</v>
      </c>
      <c r="C4" s="3" t="s">
        <v>115</v>
      </c>
      <c r="D4" s="1"/>
      <c r="E4" s="1">
        <f t="shared" si="0"/>
        <v>8.4285714285714306</v>
      </c>
      <c r="F4" s="1">
        <f t="shared" si="1"/>
        <v>8.4285714285714306</v>
      </c>
      <c r="G4" s="1">
        <f t="shared" si="2"/>
        <v>0</v>
      </c>
      <c r="H4" s="1"/>
      <c r="I4" s="1">
        <v>2</v>
      </c>
      <c r="J4" s="1"/>
      <c r="K4" s="1"/>
      <c r="L4" s="1"/>
      <c r="M4" s="1"/>
      <c r="N4" s="1"/>
      <c r="O4" s="1">
        <v>4.5999999999999996</v>
      </c>
      <c r="P4" s="1">
        <v>6.6</v>
      </c>
      <c r="Q4" s="1">
        <v>5.4</v>
      </c>
      <c r="R4" s="1">
        <v>7</v>
      </c>
      <c r="S4" s="1">
        <v>0.2</v>
      </c>
      <c r="T4" s="1">
        <v>0.2</v>
      </c>
      <c r="U4" s="1">
        <v>4.8</v>
      </c>
      <c r="V4" s="1">
        <v>5.6</v>
      </c>
      <c r="W4" s="1">
        <v>0.3</v>
      </c>
      <c r="X4" s="1">
        <v>3</v>
      </c>
      <c r="Y4" s="1">
        <v>3.9</v>
      </c>
      <c r="Z4" s="1">
        <v>6.4</v>
      </c>
      <c r="AA4" s="1">
        <v>9.1</v>
      </c>
      <c r="AB4" s="1">
        <v>3</v>
      </c>
      <c r="AC4" s="1">
        <v>6.2</v>
      </c>
      <c r="AD4" s="1">
        <v>0</v>
      </c>
      <c r="AE4" s="1">
        <v>0</v>
      </c>
      <c r="AF4" s="1">
        <v>2</v>
      </c>
      <c r="AG4" s="1">
        <v>0</v>
      </c>
      <c r="AH4" s="1">
        <v>16.5</v>
      </c>
      <c r="AI4" s="1">
        <v>4.3</v>
      </c>
      <c r="AJ4" s="1">
        <v>4.5</v>
      </c>
      <c r="AK4" s="1">
        <v>1.4</v>
      </c>
      <c r="AL4" s="1">
        <v>5</v>
      </c>
      <c r="AM4" s="1">
        <v>6.5</v>
      </c>
      <c r="AN4" s="1">
        <v>4.3</v>
      </c>
      <c r="AO4" s="1">
        <v>5.2</v>
      </c>
      <c r="AP4" s="1">
        <v>4.5</v>
      </c>
      <c r="AQ4" s="1">
        <v>6.4583333333333304</v>
      </c>
      <c r="AR4" s="1">
        <v>5.9</v>
      </c>
      <c r="AS4" s="1">
        <v>8.4285714285714306</v>
      </c>
      <c r="AT4" s="1" t="s">
        <v>122</v>
      </c>
      <c r="AU4" s="1" t="s">
        <v>98</v>
      </c>
      <c r="AV4" s="1" t="s">
        <v>105</v>
      </c>
      <c r="AW4" s="1"/>
      <c r="AX4" s="1" t="s">
        <v>102</v>
      </c>
      <c r="AY4" s="1" t="s">
        <v>98</v>
      </c>
      <c r="AZ4" s="1">
        <v>10</v>
      </c>
      <c r="BA4" s="1"/>
      <c r="BB4" s="1">
        <v>7</v>
      </c>
      <c r="BC4" s="1" t="s">
        <v>1403</v>
      </c>
      <c r="BD4" s="1" t="s">
        <v>1404</v>
      </c>
      <c r="BE4" s="1"/>
      <c r="BF4" s="1">
        <v>51.7592084883117</v>
      </c>
      <c r="BG4" s="1">
        <v>53.569748637947903</v>
      </c>
      <c r="BH4" s="1">
        <v>56.410578704281697</v>
      </c>
      <c r="BI4">
        <v>56.439366995191598</v>
      </c>
      <c r="BJ4">
        <v>56.537449190957098</v>
      </c>
      <c r="BK4" t="s">
        <v>1405</v>
      </c>
      <c r="BL4" t="s">
        <v>1406</v>
      </c>
      <c r="BM4">
        <v>32866.267999999996</v>
      </c>
      <c r="BN4">
        <v>2.87882909099011E-2</v>
      </c>
      <c r="BO4">
        <v>2.84083006633379</v>
      </c>
      <c r="BP4">
        <v>0.28788290909901099</v>
      </c>
      <c r="BQ4">
        <v>9.4694335544459793</v>
      </c>
      <c r="BR4">
        <v>9.4694335544459793</v>
      </c>
      <c r="BS4" t="s">
        <v>1400</v>
      </c>
      <c r="BT4" t="s">
        <v>1401</v>
      </c>
      <c r="BU4" t="s">
        <v>1402</v>
      </c>
      <c r="CF4" t="s">
        <v>103</v>
      </c>
      <c r="CL4">
        <v>0</v>
      </c>
    </row>
    <row r="5" spans="1:111" x14ac:dyDescent="0.2">
      <c r="A5" s="3">
        <v>1</v>
      </c>
      <c r="B5" s="3" t="s">
        <v>131</v>
      </c>
      <c r="C5" s="3" t="s">
        <v>132</v>
      </c>
      <c r="D5" s="1"/>
      <c r="E5" s="1">
        <f t="shared" si="0"/>
        <v>4.690415759823428</v>
      </c>
      <c r="F5" s="1">
        <f t="shared" si="1"/>
        <v>3.1428571428571401</v>
      </c>
      <c r="G5" s="1">
        <f t="shared" si="2"/>
        <v>7</v>
      </c>
      <c r="H5" s="1"/>
      <c r="I5" s="1">
        <v>3</v>
      </c>
      <c r="J5" s="1">
        <v>54.885509999999996</v>
      </c>
      <c r="K5" s="1">
        <v>27.989924370000001</v>
      </c>
      <c r="L5" s="1">
        <v>6.5</v>
      </c>
      <c r="M5" s="1">
        <v>5.0999999999999996</v>
      </c>
      <c r="N5" s="1">
        <v>6.5</v>
      </c>
      <c r="O5" s="1">
        <v>6.7</v>
      </c>
      <c r="P5" s="1">
        <v>6</v>
      </c>
      <c r="Q5" s="1"/>
      <c r="R5" s="1">
        <v>4.5999999999999996</v>
      </c>
      <c r="S5" s="1">
        <v>0</v>
      </c>
      <c r="T5" s="1">
        <v>0</v>
      </c>
      <c r="U5" s="1">
        <v>4.3</v>
      </c>
      <c r="V5" s="1">
        <v>4.3</v>
      </c>
      <c r="W5" s="1">
        <v>6.9</v>
      </c>
      <c r="X5" s="1">
        <v>5.6</v>
      </c>
      <c r="Y5" s="1">
        <v>5</v>
      </c>
      <c r="Z5" s="1">
        <v>2.2999999999999998</v>
      </c>
      <c r="AA5" s="1">
        <v>2.5</v>
      </c>
      <c r="AB5" s="1">
        <v>0.2</v>
      </c>
      <c r="AC5" s="1">
        <v>1.7</v>
      </c>
      <c r="AD5" s="1">
        <v>0</v>
      </c>
      <c r="AE5" s="1">
        <v>0</v>
      </c>
      <c r="AF5" s="1">
        <v>14</v>
      </c>
      <c r="AG5" s="1">
        <v>6.7</v>
      </c>
      <c r="AH5" s="1">
        <v>17</v>
      </c>
      <c r="AI5" s="1">
        <v>4.7</v>
      </c>
      <c r="AJ5" s="1">
        <v>9</v>
      </c>
      <c r="AK5" s="1">
        <v>3.9</v>
      </c>
      <c r="AL5" s="1">
        <v>6</v>
      </c>
      <c r="AM5" s="1">
        <v>0.4</v>
      </c>
      <c r="AN5" s="1">
        <v>3.8</v>
      </c>
      <c r="AO5" s="1">
        <v>4</v>
      </c>
      <c r="AP5" s="1">
        <v>4.5</v>
      </c>
      <c r="AQ5" s="1">
        <v>6.4583333333333304</v>
      </c>
      <c r="AR5" s="1">
        <v>2.2000000000000002</v>
      </c>
      <c r="AS5" s="1">
        <v>3.1428571428571401</v>
      </c>
      <c r="AT5" s="1" t="s">
        <v>138</v>
      </c>
      <c r="AU5" s="1" t="s">
        <v>98</v>
      </c>
      <c r="AV5" s="1" t="s">
        <v>139</v>
      </c>
      <c r="AW5" s="1" t="s">
        <v>100</v>
      </c>
      <c r="AX5" s="1" t="s">
        <v>137</v>
      </c>
      <c r="AY5" s="1" t="s">
        <v>100</v>
      </c>
      <c r="AZ5" s="1">
        <v>10</v>
      </c>
      <c r="BA5" s="1">
        <v>7</v>
      </c>
      <c r="BB5" s="1">
        <v>0</v>
      </c>
      <c r="BC5" s="1"/>
      <c r="BD5" s="1"/>
      <c r="BE5" s="1"/>
      <c r="BF5" s="1"/>
      <c r="BG5" s="1"/>
      <c r="BH5" s="1"/>
      <c r="BS5" t="s">
        <v>1400</v>
      </c>
      <c r="BT5" t="s">
        <v>1401</v>
      </c>
      <c r="BU5" t="s">
        <v>1402</v>
      </c>
      <c r="BW5">
        <v>13.7</v>
      </c>
      <c r="BX5">
        <v>12.3</v>
      </c>
      <c r="BY5">
        <v>11.5</v>
      </c>
      <c r="BZ5">
        <v>11.8</v>
      </c>
      <c r="CA5">
        <v>11.5</v>
      </c>
      <c r="CB5">
        <v>11.3</v>
      </c>
      <c r="CC5">
        <v>11</v>
      </c>
      <c r="CD5">
        <v>11</v>
      </c>
      <c r="CE5">
        <v>11</v>
      </c>
      <c r="CF5" t="s">
        <v>172</v>
      </c>
      <c r="CG5">
        <v>-0.30000000000000099</v>
      </c>
      <c r="CH5">
        <v>0.30000000000000099</v>
      </c>
      <c r="CI5">
        <v>0</v>
      </c>
      <c r="CJ5">
        <v>1</v>
      </c>
      <c r="CK5">
        <v>1</v>
      </c>
    </row>
    <row r="6" spans="1:111" x14ac:dyDescent="0.2">
      <c r="A6" s="3">
        <v>1</v>
      </c>
      <c r="B6" s="3" t="s">
        <v>142</v>
      </c>
      <c r="C6" s="3" t="s">
        <v>143</v>
      </c>
      <c r="D6" s="1"/>
      <c r="E6" s="1">
        <f t="shared" si="0"/>
        <v>1.1428571428571399</v>
      </c>
      <c r="F6" s="1">
        <f t="shared" si="1"/>
        <v>1.1428571428571399</v>
      </c>
      <c r="G6" s="1">
        <f t="shared" si="2"/>
        <v>0</v>
      </c>
      <c r="H6" s="1"/>
      <c r="I6" s="1">
        <v>4</v>
      </c>
      <c r="J6" s="1"/>
      <c r="K6" s="1"/>
      <c r="L6" s="1"/>
      <c r="M6" s="1"/>
      <c r="N6" s="1"/>
      <c r="O6" s="1">
        <v>7.1</v>
      </c>
      <c r="P6" s="1">
        <v>8.6999999999999993</v>
      </c>
      <c r="Q6" s="1"/>
      <c r="R6" s="1"/>
      <c r="S6" s="1">
        <v>0.1</v>
      </c>
      <c r="T6" s="1">
        <v>0.1</v>
      </c>
      <c r="U6" s="1">
        <v>5.3</v>
      </c>
      <c r="V6" s="1">
        <v>6.2</v>
      </c>
      <c r="W6" s="1">
        <v>4.7</v>
      </c>
      <c r="X6" s="1">
        <v>5.5</v>
      </c>
      <c r="Y6" s="1">
        <v>5.4</v>
      </c>
      <c r="Z6" s="1">
        <v>0.7</v>
      </c>
      <c r="AA6" s="1"/>
      <c r="AB6" s="1">
        <v>0</v>
      </c>
      <c r="AC6" s="1">
        <v>0.4</v>
      </c>
      <c r="AD6" s="1">
        <v>0</v>
      </c>
      <c r="AE6" s="1">
        <v>0</v>
      </c>
      <c r="AF6" s="1">
        <v>1</v>
      </c>
      <c r="AG6" s="1">
        <v>0</v>
      </c>
      <c r="AH6" s="1">
        <v>16.8</v>
      </c>
      <c r="AI6" s="1">
        <v>4.5</v>
      </c>
      <c r="AJ6" s="1">
        <v>16.3</v>
      </c>
      <c r="AK6" s="1">
        <v>7.9</v>
      </c>
      <c r="AL6" s="1">
        <v>3</v>
      </c>
      <c r="AM6" s="1">
        <v>0</v>
      </c>
      <c r="AN6" s="1">
        <v>3.9</v>
      </c>
      <c r="AO6" s="1">
        <v>2.1</v>
      </c>
      <c r="AP6" s="1">
        <v>3.7</v>
      </c>
      <c r="AQ6" s="1">
        <v>3.125</v>
      </c>
      <c r="AR6" s="1">
        <v>0.8</v>
      </c>
      <c r="AS6" s="1">
        <v>1.1428571428571399</v>
      </c>
      <c r="AT6" s="1" t="s">
        <v>148</v>
      </c>
      <c r="AU6" s="1" t="s">
        <v>98</v>
      </c>
      <c r="AV6" s="1" t="s">
        <v>105</v>
      </c>
      <c r="AW6" s="1"/>
      <c r="AX6" s="1" t="s">
        <v>102</v>
      </c>
      <c r="AY6" s="1" t="s">
        <v>98</v>
      </c>
      <c r="AZ6" s="1">
        <v>10</v>
      </c>
      <c r="BA6" s="1"/>
      <c r="BB6" s="1">
        <v>7</v>
      </c>
      <c r="BC6" s="1"/>
      <c r="BD6" s="1"/>
      <c r="BE6" s="1"/>
      <c r="BF6" s="1"/>
      <c r="BG6" s="1"/>
      <c r="BH6" s="1"/>
      <c r="BS6" t="s">
        <v>1400</v>
      </c>
      <c r="BT6" t="s">
        <v>1401</v>
      </c>
      <c r="BU6" t="s">
        <v>1402</v>
      </c>
      <c r="CF6" t="s">
        <v>103</v>
      </c>
    </row>
    <row r="7" spans="1:111" x14ac:dyDescent="0.2">
      <c r="A7" s="3">
        <v>1</v>
      </c>
      <c r="B7" s="3" t="s">
        <v>150</v>
      </c>
      <c r="C7" s="3" t="s">
        <v>151</v>
      </c>
      <c r="D7" s="1"/>
      <c r="E7" s="1">
        <f t="shared" si="0"/>
        <v>4.2426406871192839</v>
      </c>
      <c r="F7" s="1">
        <f t="shared" si="1"/>
        <v>2.5714285714285698</v>
      </c>
      <c r="G7" s="1">
        <f t="shared" si="2"/>
        <v>7</v>
      </c>
      <c r="H7" s="1"/>
      <c r="I7" s="1">
        <v>5</v>
      </c>
      <c r="J7" s="1">
        <v>46.360800449999999</v>
      </c>
      <c r="K7" s="1">
        <v>38.150376129999998</v>
      </c>
      <c r="L7" s="1">
        <v>5.4</v>
      </c>
      <c r="M7" s="1">
        <v>7.2</v>
      </c>
      <c r="N7" s="1">
        <v>5.4</v>
      </c>
      <c r="O7" s="1">
        <v>4</v>
      </c>
      <c r="P7" s="1">
        <v>9.1999999999999993</v>
      </c>
      <c r="Q7" s="1">
        <v>1.6</v>
      </c>
      <c r="R7" s="1">
        <v>3.1</v>
      </c>
      <c r="S7" s="1">
        <v>0</v>
      </c>
      <c r="T7" s="1">
        <v>0</v>
      </c>
      <c r="U7" s="1">
        <v>3.6</v>
      </c>
      <c r="V7" s="1">
        <v>5.3</v>
      </c>
      <c r="W7" s="1">
        <v>1.8</v>
      </c>
      <c r="X7" s="1">
        <v>3.6</v>
      </c>
      <c r="Y7" s="1">
        <v>3.6</v>
      </c>
      <c r="Z7" s="1">
        <v>1.5</v>
      </c>
      <c r="AA7" s="1"/>
      <c r="AB7" s="1">
        <v>0.1</v>
      </c>
      <c r="AC7" s="1">
        <v>0.8</v>
      </c>
      <c r="AD7" s="1">
        <v>0</v>
      </c>
      <c r="AE7" s="1">
        <v>0</v>
      </c>
      <c r="AF7" s="1">
        <v>11</v>
      </c>
      <c r="AG7" s="1">
        <v>5</v>
      </c>
      <c r="AH7" s="1">
        <v>15.8</v>
      </c>
      <c r="AI7" s="1">
        <v>3.9</v>
      </c>
      <c r="AJ7" s="1">
        <v>5.9</v>
      </c>
      <c r="AK7" s="1">
        <v>2.2000000000000002</v>
      </c>
      <c r="AL7" s="1">
        <v>3</v>
      </c>
      <c r="AM7" s="1">
        <v>0.5</v>
      </c>
      <c r="AN7" s="1">
        <v>2.4</v>
      </c>
      <c r="AO7" s="1">
        <v>2.9</v>
      </c>
      <c r="AP7" s="1">
        <v>3.2</v>
      </c>
      <c r="AQ7" s="1">
        <v>1.0416666666666701</v>
      </c>
      <c r="AR7" s="1">
        <v>1.8</v>
      </c>
      <c r="AS7" s="1">
        <v>2.5714285714285698</v>
      </c>
      <c r="AT7" s="1" t="s">
        <v>154</v>
      </c>
      <c r="AU7" s="1" t="s">
        <v>98</v>
      </c>
      <c r="AV7" s="1" t="s">
        <v>155</v>
      </c>
      <c r="AW7" s="1" t="s">
        <v>100</v>
      </c>
      <c r="AX7" s="1" t="s">
        <v>137</v>
      </c>
      <c r="AY7" s="1" t="s">
        <v>100</v>
      </c>
      <c r="AZ7" s="1">
        <v>10</v>
      </c>
      <c r="BA7" s="1">
        <v>7</v>
      </c>
      <c r="BB7" s="1">
        <v>0</v>
      </c>
      <c r="BC7" s="1" t="s">
        <v>1407</v>
      </c>
      <c r="BD7" s="1" t="s">
        <v>1404</v>
      </c>
      <c r="BE7" s="1">
        <v>0.81647155382326497</v>
      </c>
      <c r="BF7" s="1">
        <v>1.2967884888052701</v>
      </c>
      <c r="BG7" s="1">
        <v>1.8080286250953299</v>
      </c>
      <c r="BH7" s="1">
        <v>4.8435066220138401</v>
      </c>
      <c r="BI7">
        <v>2.0251639833530102</v>
      </c>
      <c r="BJ7">
        <v>1.76528182094731</v>
      </c>
      <c r="BK7" t="s">
        <v>1405</v>
      </c>
      <c r="BL7" t="s">
        <v>1408</v>
      </c>
      <c r="BM7">
        <v>45195.777000000002</v>
      </c>
      <c r="BN7">
        <v>-2.8183426386608299</v>
      </c>
      <c r="BO7">
        <v>3.0354779969185102</v>
      </c>
      <c r="BP7">
        <v>0</v>
      </c>
      <c r="BQ7">
        <v>10</v>
      </c>
      <c r="BR7">
        <v>10</v>
      </c>
      <c r="BS7" t="s">
        <v>1400</v>
      </c>
      <c r="BT7" t="s">
        <v>1401</v>
      </c>
      <c r="BU7" t="s">
        <v>1402</v>
      </c>
      <c r="BW7">
        <v>8.35</v>
      </c>
      <c r="BX7">
        <v>9.1999999999999993</v>
      </c>
      <c r="BY7">
        <v>9.8249999999999993</v>
      </c>
      <c r="BZ7">
        <v>10.981</v>
      </c>
      <c r="CA7">
        <v>10.11</v>
      </c>
      <c r="CB7">
        <v>9.69</v>
      </c>
      <c r="CC7">
        <v>9.3689999999999998</v>
      </c>
      <c r="CD7">
        <v>9.19</v>
      </c>
      <c r="CE7">
        <v>9.15</v>
      </c>
      <c r="CF7" t="s">
        <v>1409</v>
      </c>
      <c r="CG7">
        <v>-0.871</v>
      </c>
      <c r="CH7">
        <v>1.1559999999999999</v>
      </c>
      <c r="CI7">
        <v>0</v>
      </c>
      <c r="CJ7">
        <v>3.8533333333333402</v>
      </c>
      <c r="CK7">
        <v>3.8533333333333402</v>
      </c>
      <c r="CL7">
        <v>0</v>
      </c>
    </row>
    <row r="8" spans="1:111" x14ac:dyDescent="0.2">
      <c r="A8" s="3">
        <v>1</v>
      </c>
      <c r="B8" s="3" t="s">
        <v>158</v>
      </c>
      <c r="C8" s="3" t="s">
        <v>159</v>
      </c>
      <c r="D8" s="1"/>
      <c r="E8" s="1">
        <f t="shared" si="0"/>
        <v>5.3452248382484902</v>
      </c>
      <c r="F8" s="1">
        <f t="shared" si="1"/>
        <v>2.8571428571428599</v>
      </c>
      <c r="G8" s="1">
        <f t="shared" si="2"/>
        <v>10</v>
      </c>
      <c r="H8" s="1"/>
      <c r="I8" s="1">
        <v>6</v>
      </c>
      <c r="J8" s="1"/>
      <c r="K8" s="1"/>
      <c r="L8" s="1"/>
      <c r="M8" s="1"/>
      <c r="N8" s="1"/>
      <c r="O8" s="1">
        <v>6.7</v>
      </c>
      <c r="P8" s="1">
        <v>6.3</v>
      </c>
      <c r="Q8" s="1">
        <v>1</v>
      </c>
      <c r="R8" s="1">
        <v>5</v>
      </c>
      <c r="S8" s="1">
        <v>0.6</v>
      </c>
      <c r="T8" s="1">
        <v>0.6</v>
      </c>
      <c r="U8" s="1">
        <v>3.9</v>
      </c>
      <c r="V8" s="1">
        <v>4.3</v>
      </c>
      <c r="W8" s="1">
        <v>7</v>
      </c>
      <c r="X8" s="1">
        <v>5.7</v>
      </c>
      <c r="Y8" s="1">
        <v>4.8</v>
      </c>
      <c r="Z8" s="1">
        <v>2.9</v>
      </c>
      <c r="AA8" s="1">
        <v>0</v>
      </c>
      <c r="AB8" s="1">
        <v>0.1</v>
      </c>
      <c r="AC8" s="1">
        <v>1</v>
      </c>
      <c r="AD8" s="1">
        <v>0</v>
      </c>
      <c r="AE8" s="1">
        <v>0</v>
      </c>
      <c r="AF8" s="1">
        <v>11</v>
      </c>
      <c r="AG8" s="1">
        <v>5</v>
      </c>
      <c r="AH8" s="1">
        <v>22.3</v>
      </c>
      <c r="AI8" s="1">
        <v>8.1999999999999993</v>
      </c>
      <c r="AJ8" s="1">
        <v>6.1</v>
      </c>
      <c r="AK8" s="1">
        <v>2.2999999999999998</v>
      </c>
      <c r="AL8" s="1">
        <v>4</v>
      </c>
      <c r="AM8" s="1">
        <v>0.7</v>
      </c>
      <c r="AN8" s="1">
        <v>3.8</v>
      </c>
      <c r="AO8" s="1">
        <v>2.4</v>
      </c>
      <c r="AP8" s="1">
        <v>3.6</v>
      </c>
      <c r="AQ8" s="1">
        <v>2.7083333333333299</v>
      </c>
      <c r="AR8" s="1">
        <v>2</v>
      </c>
      <c r="AS8" s="1">
        <v>2.8571428571428599</v>
      </c>
      <c r="AT8" s="1" t="s">
        <v>161</v>
      </c>
      <c r="AU8" s="1" t="s">
        <v>98</v>
      </c>
      <c r="AV8" s="1" t="s">
        <v>162</v>
      </c>
      <c r="AW8" s="1" t="s">
        <v>98</v>
      </c>
      <c r="AX8" s="1" t="s">
        <v>105</v>
      </c>
      <c r="AY8" s="1"/>
      <c r="AZ8" s="1">
        <v>10</v>
      </c>
      <c r="BA8" s="1">
        <v>10</v>
      </c>
      <c r="BB8" s="1"/>
      <c r="BC8" s="1" t="s">
        <v>1410</v>
      </c>
      <c r="BD8" s="1" t="s">
        <v>1404</v>
      </c>
      <c r="BE8" s="1">
        <v>0.88079315045848205</v>
      </c>
      <c r="BF8" s="1">
        <v>1.4095368096899401</v>
      </c>
      <c r="BG8" s="1">
        <v>1.1025256322022501</v>
      </c>
      <c r="BH8" s="1">
        <v>1.3568817304294001</v>
      </c>
      <c r="BI8">
        <v>1.1722448308100699</v>
      </c>
      <c r="BJ8">
        <v>0.97608224201605098</v>
      </c>
      <c r="BK8" t="s">
        <v>1405</v>
      </c>
      <c r="BL8" t="s">
        <v>1411</v>
      </c>
      <c r="BM8">
        <v>2963.2339999999999</v>
      </c>
      <c r="BN8">
        <v>-0.18463689961933</v>
      </c>
      <c r="BO8">
        <v>0.25435609822715</v>
      </c>
      <c r="BP8">
        <v>0</v>
      </c>
      <c r="BQ8">
        <v>0.84785366075716695</v>
      </c>
      <c r="BR8">
        <v>0.84785366075716695</v>
      </c>
      <c r="BS8" t="s">
        <v>1400</v>
      </c>
      <c r="BT8" t="s">
        <v>1401</v>
      </c>
      <c r="BU8" t="s">
        <v>1402</v>
      </c>
      <c r="BW8">
        <v>20.9</v>
      </c>
      <c r="BX8">
        <v>20.5</v>
      </c>
      <c r="BY8">
        <v>18.899999999999999</v>
      </c>
      <c r="BZ8">
        <v>22.273</v>
      </c>
      <c r="CA8">
        <v>21.105</v>
      </c>
      <c r="CB8">
        <v>21.004999999999999</v>
      </c>
      <c r="CC8">
        <v>20.905000000000001</v>
      </c>
      <c r="CD8">
        <v>20.805</v>
      </c>
      <c r="CE8">
        <v>20.704999999999998</v>
      </c>
      <c r="CF8" t="s">
        <v>1412</v>
      </c>
      <c r="CG8">
        <v>-1.1679999999999999</v>
      </c>
      <c r="CH8">
        <v>3.3730000000000002</v>
      </c>
      <c r="CI8">
        <v>0</v>
      </c>
      <c r="CJ8">
        <v>10</v>
      </c>
      <c r="CK8">
        <v>10</v>
      </c>
    </row>
    <row r="9" spans="1:111" x14ac:dyDescent="0.2">
      <c r="A9" s="3">
        <v>1</v>
      </c>
      <c r="B9" s="3" t="s">
        <v>164</v>
      </c>
      <c r="C9" s="3" t="s">
        <v>165</v>
      </c>
      <c r="D9" s="1"/>
      <c r="E9" s="1">
        <f t="shared" si="0"/>
        <v>2.8571428571428599</v>
      </c>
      <c r="F9" s="1">
        <f t="shared" si="1"/>
        <v>2.8571428571428599</v>
      </c>
      <c r="G9" s="1">
        <f t="shared" si="2"/>
        <v>0</v>
      </c>
      <c r="H9" s="1"/>
      <c r="I9" s="1">
        <v>7</v>
      </c>
      <c r="J9" s="1"/>
      <c r="K9" s="1"/>
      <c r="L9" s="1"/>
      <c r="M9" s="1"/>
      <c r="N9" s="1"/>
      <c r="O9" s="1">
        <v>7.8</v>
      </c>
      <c r="P9" s="1">
        <v>2.5</v>
      </c>
      <c r="Q9" s="1"/>
      <c r="R9" s="1"/>
      <c r="S9" s="1">
        <v>0</v>
      </c>
      <c r="T9" s="1">
        <v>0</v>
      </c>
      <c r="U9" s="1">
        <v>3.4</v>
      </c>
      <c r="V9" s="1">
        <v>4.7</v>
      </c>
      <c r="W9" s="1">
        <v>10</v>
      </c>
      <c r="X9" s="1">
        <v>7.4</v>
      </c>
      <c r="Y9" s="1">
        <v>5.4</v>
      </c>
      <c r="Z9" s="1">
        <v>2.4</v>
      </c>
      <c r="AA9" s="1"/>
      <c r="AB9" s="1"/>
      <c r="AC9" s="1">
        <v>2.4</v>
      </c>
      <c r="AD9" s="1">
        <v>0</v>
      </c>
      <c r="AE9" s="1">
        <v>0</v>
      </c>
      <c r="AF9" s="1">
        <v>9</v>
      </c>
      <c r="AG9" s="1">
        <v>3.9</v>
      </c>
      <c r="AH9" s="1">
        <v>22.6</v>
      </c>
      <c r="AI9" s="1">
        <v>8.4</v>
      </c>
      <c r="AJ9" s="1">
        <v>13.1</v>
      </c>
      <c r="AK9" s="1">
        <v>6.2</v>
      </c>
      <c r="AL9" s="1">
        <v>4</v>
      </c>
      <c r="AM9" s="1">
        <v>0</v>
      </c>
      <c r="AN9" s="1">
        <v>4.7</v>
      </c>
      <c r="AO9" s="1">
        <v>3.5</v>
      </c>
      <c r="AP9" s="1">
        <v>4.5</v>
      </c>
      <c r="AQ9" s="1">
        <v>6.4583333333333304</v>
      </c>
      <c r="AR9" s="1">
        <v>2</v>
      </c>
      <c r="AS9" s="1">
        <v>2.8571428571428599</v>
      </c>
      <c r="AT9" s="1" t="s">
        <v>167</v>
      </c>
      <c r="AU9" s="1" t="s">
        <v>98</v>
      </c>
      <c r="AV9" s="1" t="s">
        <v>105</v>
      </c>
      <c r="AW9" s="1"/>
      <c r="AX9" s="1" t="s">
        <v>105</v>
      </c>
      <c r="AY9" s="1"/>
      <c r="AZ9" s="1">
        <v>10</v>
      </c>
      <c r="BA9" s="1"/>
      <c r="BB9" s="1"/>
      <c r="BC9" s="1"/>
      <c r="BD9" s="1"/>
      <c r="BE9" s="1"/>
      <c r="BF9" s="1"/>
      <c r="BG9" s="1"/>
      <c r="BH9" s="1"/>
      <c r="BS9" t="s">
        <v>1400</v>
      </c>
      <c r="BT9" t="s">
        <v>1401</v>
      </c>
      <c r="BU9" t="s">
        <v>1402</v>
      </c>
      <c r="CF9" t="s">
        <v>103</v>
      </c>
    </row>
    <row r="10" spans="1:111" x14ac:dyDescent="0.2">
      <c r="A10" s="3">
        <v>1</v>
      </c>
      <c r="B10" s="3" t="s">
        <v>170</v>
      </c>
      <c r="C10" s="3" t="s">
        <v>171</v>
      </c>
      <c r="D10" s="1"/>
      <c r="E10" s="1">
        <f t="shared" si="0"/>
        <v>2.2360679774997894</v>
      </c>
      <c r="F10" s="1">
        <f t="shared" si="1"/>
        <v>0.71428571428571397</v>
      </c>
      <c r="G10" s="1">
        <f t="shared" si="2"/>
        <v>7</v>
      </c>
      <c r="H10" s="1"/>
      <c r="I10" s="1">
        <v>8</v>
      </c>
      <c r="J10" s="1"/>
      <c r="K10" s="1"/>
      <c r="L10" s="1"/>
      <c r="M10" s="1"/>
      <c r="N10" s="1"/>
      <c r="O10" s="1">
        <v>1.7</v>
      </c>
      <c r="P10" s="1">
        <v>8.6</v>
      </c>
      <c r="Q10" s="1"/>
      <c r="R10" s="1">
        <v>1.3</v>
      </c>
      <c r="S10" s="1">
        <v>0.5</v>
      </c>
      <c r="T10" s="1">
        <v>0.5</v>
      </c>
      <c r="U10" s="1">
        <v>3</v>
      </c>
      <c r="V10" s="1">
        <v>3.5</v>
      </c>
      <c r="W10" s="1">
        <v>0.9</v>
      </c>
      <c r="X10" s="1">
        <v>2.2000000000000002</v>
      </c>
      <c r="Y10" s="1">
        <v>2.6</v>
      </c>
      <c r="Z10" s="1">
        <v>0</v>
      </c>
      <c r="AA10" s="1"/>
      <c r="AB10" s="1">
        <v>0.1</v>
      </c>
      <c r="AC10" s="1">
        <v>0</v>
      </c>
      <c r="AD10" s="1">
        <v>0</v>
      </c>
      <c r="AE10" s="1">
        <v>0</v>
      </c>
      <c r="AF10" s="1">
        <v>16</v>
      </c>
      <c r="AG10" s="1">
        <v>7.8</v>
      </c>
      <c r="AH10" s="1">
        <v>9.1</v>
      </c>
      <c r="AI10" s="1">
        <v>0</v>
      </c>
      <c r="AJ10" s="1">
        <v>5.6</v>
      </c>
      <c r="AK10" s="1">
        <v>2</v>
      </c>
      <c r="AL10" s="1">
        <v>3</v>
      </c>
      <c r="AM10" s="1">
        <v>0.1</v>
      </c>
      <c r="AN10" s="1">
        <v>1.3</v>
      </c>
      <c r="AO10" s="1">
        <v>0.7</v>
      </c>
      <c r="AP10" s="1">
        <v>1.6</v>
      </c>
      <c r="AQ10" s="1">
        <v>0</v>
      </c>
      <c r="AR10" s="1">
        <v>0.5</v>
      </c>
      <c r="AS10" s="1">
        <v>0.71428571428571397</v>
      </c>
      <c r="AT10" s="1" t="s">
        <v>176</v>
      </c>
      <c r="AU10" s="1" t="s">
        <v>98</v>
      </c>
      <c r="AV10" s="1" t="s">
        <v>177</v>
      </c>
      <c r="AW10" s="1" t="s">
        <v>100</v>
      </c>
      <c r="AX10" s="1" t="s">
        <v>137</v>
      </c>
      <c r="AY10" s="1" t="s">
        <v>100</v>
      </c>
      <c r="AZ10" s="1">
        <v>10</v>
      </c>
      <c r="BA10" s="1">
        <v>7</v>
      </c>
      <c r="BB10" s="1">
        <v>0</v>
      </c>
      <c r="BC10" s="1"/>
      <c r="BD10" s="1"/>
      <c r="BE10" s="1"/>
      <c r="BF10" s="1"/>
      <c r="BG10" s="1"/>
      <c r="BH10" s="1"/>
      <c r="BS10" t="s">
        <v>1400</v>
      </c>
      <c r="BT10" t="s">
        <v>1401</v>
      </c>
      <c r="BU10" t="s">
        <v>1402</v>
      </c>
      <c r="BW10">
        <v>5.5830000000000002</v>
      </c>
      <c r="BX10">
        <v>5.2919999999999998</v>
      </c>
      <c r="BY10">
        <v>5.1580000000000004</v>
      </c>
      <c r="BZ10">
        <v>6.9080000000000004</v>
      </c>
      <c r="CA10">
        <v>7.6779999999999999</v>
      </c>
      <c r="CB10">
        <v>6.6550000000000002</v>
      </c>
      <c r="CC10">
        <v>5.9809999999999999</v>
      </c>
      <c r="CD10">
        <v>5.6020000000000003</v>
      </c>
      <c r="CE10">
        <v>5.423</v>
      </c>
      <c r="CF10" t="s">
        <v>1413</v>
      </c>
      <c r="CG10">
        <v>0.77</v>
      </c>
      <c r="CH10">
        <v>1.75</v>
      </c>
      <c r="CI10">
        <v>7.7</v>
      </c>
      <c r="CJ10">
        <v>5.8333333333333304</v>
      </c>
      <c r="CK10">
        <v>7.7</v>
      </c>
    </row>
    <row r="11" spans="1:111" x14ac:dyDescent="0.2">
      <c r="A11" s="3">
        <v>1</v>
      </c>
      <c r="B11" s="3" t="s">
        <v>179</v>
      </c>
      <c r="C11" s="3" t="s">
        <v>180</v>
      </c>
      <c r="D11" s="1"/>
      <c r="E11" s="1">
        <f t="shared" si="0"/>
        <v>1.7320508075688781</v>
      </c>
      <c r="F11" s="1">
        <f t="shared" si="1"/>
        <v>0.42857142857142899</v>
      </c>
      <c r="G11" s="1">
        <f t="shared" si="2"/>
        <v>7</v>
      </c>
      <c r="H11" s="1"/>
      <c r="I11" s="1">
        <v>9</v>
      </c>
      <c r="J11" s="1"/>
      <c r="K11" s="1"/>
      <c r="L11" s="1"/>
      <c r="M11" s="1"/>
      <c r="N11" s="1"/>
      <c r="O11" s="1">
        <v>6.8</v>
      </c>
      <c r="P11" s="1">
        <v>5.8</v>
      </c>
      <c r="Q11" s="1"/>
      <c r="R11" s="1">
        <v>0.7</v>
      </c>
      <c r="S11" s="1">
        <v>1.9</v>
      </c>
      <c r="T11" s="1">
        <v>1.9</v>
      </c>
      <c r="U11" s="1">
        <v>3.8</v>
      </c>
      <c r="V11" s="1">
        <v>5.8</v>
      </c>
      <c r="W11" s="1">
        <v>10</v>
      </c>
      <c r="X11" s="1">
        <v>7.9</v>
      </c>
      <c r="Y11" s="1">
        <v>5.9</v>
      </c>
      <c r="Z11" s="1">
        <v>0</v>
      </c>
      <c r="AA11" s="1"/>
      <c r="AB11" s="1">
        <v>0</v>
      </c>
      <c r="AC11" s="1">
        <v>0</v>
      </c>
      <c r="AD11" s="1">
        <v>0</v>
      </c>
      <c r="AE11" s="1">
        <v>0</v>
      </c>
      <c r="AF11" s="1">
        <v>19</v>
      </c>
      <c r="AG11" s="1">
        <v>9.4</v>
      </c>
      <c r="AH11" s="1">
        <v>11.4</v>
      </c>
      <c r="AI11" s="1">
        <v>0.9</v>
      </c>
      <c r="AJ11" s="1">
        <v>6.6</v>
      </c>
      <c r="AK11" s="1">
        <v>2.6</v>
      </c>
      <c r="AL11" s="1">
        <v>3</v>
      </c>
      <c r="AM11" s="1">
        <v>0.1</v>
      </c>
      <c r="AN11" s="1">
        <v>1.7</v>
      </c>
      <c r="AO11" s="1">
        <v>0.8</v>
      </c>
      <c r="AP11" s="1">
        <v>3.3</v>
      </c>
      <c r="AQ11" s="1">
        <v>1.4583333333333299</v>
      </c>
      <c r="AR11" s="1">
        <v>0.3</v>
      </c>
      <c r="AS11" s="1">
        <v>0.42857142857142899</v>
      </c>
      <c r="AT11" s="1" t="s">
        <v>184</v>
      </c>
      <c r="AU11" s="1" t="s">
        <v>98</v>
      </c>
      <c r="AV11" s="1" t="s">
        <v>185</v>
      </c>
      <c r="AW11" s="1" t="s">
        <v>100</v>
      </c>
      <c r="AX11" s="1" t="s">
        <v>183</v>
      </c>
      <c r="AY11" s="1" t="s">
        <v>96</v>
      </c>
      <c r="AZ11" s="1">
        <v>10</v>
      </c>
      <c r="BA11" s="1">
        <v>7</v>
      </c>
      <c r="BB11" s="1">
        <v>3</v>
      </c>
      <c r="BC11" s="1"/>
      <c r="BD11" s="1"/>
      <c r="BE11" s="1"/>
      <c r="BF11" s="1"/>
      <c r="BG11" s="1"/>
      <c r="BH11" s="1"/>
      <c r="BS11" t="s">
        <v>1400</v>
      </c>
      <c r="BT11" t="s">
        <v>1401</v>
      </c>
      <c r="BU11" t="s">
        <v>1402</v>
      </c>
      <c r="BW11">
        <v>5.508</v>
      </c>
      <c r="BX11">
        <v>4.883</v>
      </c>
      <c r="BY11">
        <v>4.5</v>
      </c>
      <c r="BZ11">
        <v>5.8</v>
      </c>
      <c r="CA11">
        <v>5.5</v>
      </c>
      <c r="CB11">
        <v>5</v>
      </c>
      <c r="CC11">
        <v>4.7</v>
      </c>
      <c r="CD11">
        <v>4.5</v>
      </c>
      <c r="CE11">
        <v>4.5</v>
      </c>
      <c r="CF11" t="s">
        <v>95</v>
      </c>
      <c r="CG11">
        <v>-0.3</v>
      </c>
      <c r="CH11">
        <v>1.3</v>
      </c>
      <c r="CI11">
        <v>0</v>
      </c>
      <c r="CJ11">
        <v>4.3333333333333304</v>
      </c>
      <c r="CK11">
        <v>4.3333333333333304</v>
      </c>
    </row>
    <row r="12" spans="1:111" x14ac:dyDescent="0.2">
      <c r="A12" s="3">
        <v>1</v>
      </c>
      <c r="B12" s="3" t="s">
        <v>187</v>
      </c>
      <c r="C12" s="3" t="s">
        <v>188</v>
      </c>
      <c r="D12" s="1"/>
      <c r="E12" s="1">
        <f t="shared" si="0"/>
        <v>5.0990195135927818</v>
      </c>
      <c r="F12" s="1">
        <f t="shared" si="1"/>
        <v>3.71428571428571</v>
      </c>
      <c r="G12" s="1">
        <f t="shared" si="2"/>
        <v>7</v>
      </c>
      <c r="H12" s="1"/>
      <c r="I12" s="1">
        <v>10</v>
      </c>
      <c r="J12" s="1">
        <v>64.643615100000005</v>
      </c>
      <c r="K12" s="1">
        <v>2.5745189700000002</v>
      </c>
      <c r="L12" s="1">
        <v>7.7</v>
      </c>
      <c r="M12" s="1">
        <v>0</v>
      </c>
      <c r="N12" s="1">
        <v>7.7</v>
      </c>
      <c r="O12" s="1">
        <v>6.9</v>
      </c>
      <c r="P12" s="1">
        <v>5.6</v>
      </c>
      <c r="Q12" s="1"/>
      <c r="R12" s="1">
        <v>6.4</v>
      </c>
      <c r="S12" s="1">
        <v>3.4</v>
      </c>
      <c r="T12" s="1">
        <v>3.4</v>
      </c>
      <c r="U12" s="1">
        <v>5.6</v>
      </c>
      <c r="V12" s="1">
        <v>5.5</v>
      </c>
      <c r="W12" s="1">
        <v>3.1</v>
      </c>
      <c r="X12" s="1">
        <v>4.3</v>
      </c>
      <c r="Y12" s="1">
        <v>4.9000000000000004</v>
      </c>
      <c r="Z12" s="1">
        <v>2.9</v>
      </c>
      <c r="AA12" s="1"/>
      <c r="AB12" s="1">
        <v>0</v>
      </c>
      <c r="AC12" s="1">
        <v>1.5</v>
      </c>
      <c r="AD12" s="1">
        <v>0</v>
      </c>
      <c r="AE12" s="1">
        <v>0</v>
      </c>
      <c r="AF12" s="1">
        <v>6</v>
      </c>
      <c r="AG12" s="1">
        <v>2.2000000000000002</v>
      </c>
      <c r="AH12" s="1">
        <v>22.2</v>
      </c>
      <c r="AI12" s="1">
        <v>8.1</v>
      </c>
      <c r="AJ12" s="1">
        <v>6.1</v>
      </c>
      <c r="AK12" s="1">
        <v>2.2999999999999998</v>
      </c>
      <c r="AL12" s="1">
        <v>5</v>
      </c>
      <c r="AM12" s="1">
        <v>1.2</v>
      </c>
      <c r="AN12" s="1">
        <v>4.2</v>
      </c>
      <c r="AO12" s="1">
        <v>4.4000000000000004</v>
      </c>
      <c r="AP12" s="1">
        <v>4.7</v>
      </c>
      <c r="AQ12" s="1">
        <v>7.2916666666666696</v>
      </c>
      <c r="AR12" s="1">
        <v>2.6</v>
      </c>
      <c r="AS12" s="1">
        <v>3.71428571428571</v>
      </c>
      <c r="AT12" s="1" t="s">
        <v>122</v>
      </c>
      <c r="AU12" s="1" t="s">
        <v>98</v>
      </c>
      <c r="AV12" s="1" t="s">
        <v>191</v>
      </c>
      <c r="AW12" s="1" t="s">
        <v>100</v>
      </c>
      <c r="AX12" s="1" t="s">
        <v>137</v>
      </c>
      <c r="AY12" s="1" t="s">
        <v>100</v>
      </c>
      <c r="AZ12" s="1">
        <v>10</v>
      </c>
      <c r="BA12" s="1">
        <v>7</v>
      </c>
      <c r="BB12" s="1">
        <v>0</v>
      </c>
      <c r="BC12" s="1"/>
      <c r="BD12" s="1"/>
      <c r="BE12" s="1"/>
      <c r="BF12" s="1"/>
      <c r="BG12" s="1"/>
      <c r="BH12" s="1"/>
      <c r="BS12" t="s">
        <v>1400</v>
      </c>
      <c r="BT12" t="s">
        <v>1401</v>
      </c>
      <c r="BU12" t="s">
        <v>1402</v>
      </c>
      <c r="BW12">
        <v>4.9610000000000003</v>
      </c>
      <c r="BX12">
        <v>4.944</v>
      </c>
      <c r="BY12">
        <v>4.8479999999999999</v>
      </c>
      <c r="BZ12">
        <v>6.5410000000000004</v>
      </c>
      <c r="CA12">
        <v>5.7549999999999999</v>
      </c>
      <c r="CB12">
        <v>5.69</v>
      </c>
      <c r="CC12">
        <v>5.6269999999999998</v>
      </c>
      <c r="CD12">
        <v>5.5640000000000001</v>
      </c>
      <c r="CE12">
        <v>5.5010000000000003</v>
      </c>
      <c r="CF12" t="s">
        <v>1414</v>
      </c>
      <c r="CG12">
        <v>-0.78600000000000003</v>
      </c>
      <c r="CH12">
        <v>1.6930000000000001</v>
      </c>
      <c r="CI12">
        <v>0</v>
      </c>
      <c r="CJ12">
        <v>5.6433333333333398</v>
      </c>
      <c r="CK12">
        <v>5.6433333333333398</v>
      </c>
      <c r="CL12">
        <v>0</v>
      </c>
    </row>
    <row r="13" spans="1:111" x14ac:dyDescent="0.2">
      <c r="A13" s="3">
        <v>1</v>
      </c>
      <c r="B13" s="3" t="s">
        <v>194</v>
      </c>
      <c r="C13" s="3" t="s">
        <v>195</v>
      </c>
      <c r="D13" s="1"/>
      <c r="E13" s="1">
        <f t="shared" si="0"/>
        <v>10</v>
      </c>
      <c r="F13" s="1">
        <f t="shared" si="1"/>
        <v>10</v>
      </c>
      <c r="G13" s="1">
        <f t="shared" si="2"/>
        <v>0</v>
      </c>
      <c r="H13" s="1"/>
      <c r="I13" s="1">
        <v>11</v>
      </c>
      <c r="J13" s="1"/>
      <c r="K13" s="1"/>
      <c r="L13" s="1"/>
      <c r="M13" s="1"/>
      <c r="N13" s="1"/>
      <c r="O13" s="1">
        <v>8.8000000000000007</v>
      </c>
      <c r="P13" s="1">
        <v>1.3</v>
      </c>
      <c r="Q13" s="1">
        <v>5.4</v>
      </c>
      <c r="R13" s="1">
        <v>7.1</v>
      </c>
      <c r="S13" s="1">
        <v>1.2</v>
      </c>
      <c r="T13" s="1">
        <v>1.2</v>
      </c>
      <c r="U13" s="1">
        <v>4.8</v>
      </c>
      <c r="V13" s="1">
        <v>10</v>
      </c>
      <c r="W13" s="1">
        <v>2.2999999999999998</v>
      </c>
      <c r="X13" s="1">
        <v>6.2</v>
      </c>
      <c r="Y13" s="1">
        <v>5.5</v>
      </c>
      <c r="Z13" s="1">
        <v>9.6999999999999993</v>
      </c>
      <c r="AA13" s="1">
        <v>9.6999999999999993</v>
      </c>
      <c r="AB13" s="1">
        <v>7.2</v>
      </c>
      <c r="AC13" s="1">
        <v>8.9</v>
      </c>
      <c r="AD13" s="1">
        <v>14.7</v>
      </c>
      <c r="AE13" s="1">
        <v>7.4</v>
      </c>
      <c r="AF13" s="1">
        <v>2</v>
      </c>
      <c r="AG13" s="1">
        <v>0</v>
      </c>
      <c r="AH13" s="1">
        <v>22.9</v>
      </c>
      <c r="AI13" s="1">
        <v>8.6</v>
      </c>
      <c r="AJ13" s="1">
        <v>5.0999999999999996</v>
      </c>
      <c r="AK13" s="1">
        <v>1.7</v>
      </c>
      <c r="AL13" s="1">
        <v>6</v>
      </c>
      <c r="AM13" s="1">
        <v>2.1</v>
      </c>
      <c r="AN13" s="1">
        <v>4.5999999999999996</v>
      </c>
      <c r="AO13" s="1">
        <v>6.7</v>
      </c>
      <c r="AP13" s="1">
        <v>6.1</v>
      </c>
      <c r="AQ13" s="1">
        <v>10</v>
      </c>
      <c r="AR13" s="1">
        <v>7.1</v>
      </c>
      <c r="AS13" s="1">
        <v>10</v>
      </c>
      <c r="AT13" s="1" t="s">
        <v>197</v>
      </c>
      <c r="AU13" s="1" t="s">
        <v>98</v>
      </c>
      <c r="AV13" s="1" t="s">
        <v>105</v>
      </c>
      <c r="AW13" s="1"/>
      <c r="AX13" s="1" t="s">
        <v>137</v>
      </c>
      <c r="AY13" s="1" t="s">
        <v>100</v>
      </c>
      <c r="AZ13" s="1">
        <v>10</v>
      </c>
      <c r="BA13" s="1"/>
      <c r="BB13" s="1">
        <v>0</v>
      </c>
      <c r="BC13" s="1" t="s">
        <v>1415</v>
      </c>
      <c r="BD13" s="1" t="s">
        <v>1404</v>
      </c>
      <c r="BE13" s="1">
        <v>81.149930860691995</v>
      </c>
      <c r="BF13" s="1">
        <v>82.343763006713601</v>
      </c>
      <c r="BG13" s="1">
        <v>83.409902978854902</v>
      </c>
      <c r="BH13" s="1">
        <v>84.985902902882799</v>
      </c>
      <c r="BI13">
        <v>85.574104923464901</v>
      </c>
      <c r="BJ13">
        <v>85.936864271906899</v>
      </c>
      <c r="BK13" t="s">
        <v>1405</v>
      </c>
      <c r="BL13" t="s">
        <v>1406</v>
      </c>
      <c r="BM13">
        <v>11890.781000000001</v>
      </c>
      <c r="BN13">
        <v>0.58820202058210203</v>
      </c>
      <c r="BO13">
        <v>1.5759999240278999</v>
      </c>
      <c r="BP13">
        <v>5.8820202058210196</v>
      </c>
      <c r="BQ13">
        <v>5.2533330800929896</v>
      </c>
      <c r="BR13">
        <v>5.8820202058210196</v>
      </c>
      <c r="BS13" t="s">
        <v>1400</v>
      </c>
      <c r="BT13" t="s">
        <v>1401</v>
      </c>
      <c r="BU13" t="s">
        <v>1402</v>
      </c>
      <c r="CF13" t="s">
        <v>103</v>
      </c>
    </row>
    <row r="14" spans="1:111" x14ac:dyDescent="0.2">
      <c r="A14" s="3">
        <v>1</v>
      </c>
      <c r="B14" s="3" t="s">
        <v>202</v>
      </c>
      <c r="C14" s="3" t="s">
        <v>203</v>
      </c>
      <c r="D14" s="1"/>
      <c r="E14" s="1">
        <f t="shared" si="0"/>
        <v>1.7320508075688781</v>
      </c>
      <c r="F14" s="1">
        <f t="shared" si="1"/>
        <v>0.42857142857142899</v>
      </c>
      <c r="G14" s="1">
        <f t="shared" si="2"/>
        <v>7</v>
      </c>
      <c r="H14" s="1"/>
      <c r="I14" s="1">
        <v>12</v>
      </c>
      <c r="J14" s="1"/>
      <c r="K14" s="1"/>
      <c r="L14" s="1"/>
      <c r="M14" s="1"/>
      <c r="N14" s="1"/>
      <c r="O14" s="1">
        <v>8.6</v>
      </c>
      <c r="P14" s="1">
        <v>9.8000000000000007</v>
      </c>
      <c r="Q14" s="1"/>
      <c r="R14" s="1">
        <v>0.9</v>
      </c>
      <c r="S14" s="1">
        <v>0.5</v>
      </c>
      <c r="T14" s="1">
        <v>0.5</v>
      </c>
      <c r="U14" s="1">
        <v>5</v>
      </c>
      <c r="V14" s="1">
        <v>7.6</v>
      </c>
      <c r="W14" s="1">
        <v>10</v>
      </c>
      <c r="X14" s="1">
        <v>8.8000000000000007</v>
      </c>
      <c r="Y14" s="1">
        <v>6.9</v>
      </c>
      <c r="Z14" s="1">
        <v>0</v>
      </c>
      <c r="AA14" s="1"/>
      <c r="AB14" s="1">
        <v>0</v>
      </c>
      <c r="AC14" s="1">
        <v>0</v>
      </c>
      <c r="AD14" s="1">
        <v>0</v>
      </c>
      <c r="AE14" s="1">
        <v>0</v>
      </c>
      <c r="AF14" s="1">
        <v>19</v>
      </c>
      <c r="AG14" s="1">
        <v>9.4</v>
      </c>
      <c r="AH14" s="1">
        <v>11.4</v>
      </c>
      <c r="AI14" s="1">
        <v>0.9</v>
      </c>
      <c r="AJ14" s="1">
        <v>4.5999999999999996</v>
      </c>
      <c r="AK14" s="1">
        <v>1.4</v>
      </c>
      <c r="AL14" s="1">
        <v>3</v>
      </c>
      <c r="AM14" s="1">
        <v>0.2</v>
      </c>
      <c r="AN14" s="1">
        <v>1.4</v>
      </c>
      <c r="AO14" s="1">
        <v>0.7</v>
      </c>
      <c r="AP14" s="1">
        <v>3.8</v>
      </c>
      <c r="AQ14" s="1">
        <v>3.5416666666666701</v>
      </c>
      <c r="AR14" s="1">
        <v>0.3</v>
      </c>
      <c r="AS14" s="1">
        <v>0.42857142857142899</v>
      </c>
      <c r="AT14" s="1" t="s">
        <v>205</v>
      </c>
      <c r="AU14" s="1" t="s">
        <v>98</v>
      </c>
      <c r="AV14" s="1" t="s">
        <v>206</v>
      </c>
      <c r="AW14" s="1" t="s">
        <v>100</v>
      </c>
      <c r="AX14" s="1" t="s">
        <v>183</v>
      </c>
      <c r="AY14" s="1" t="s">
        <v>96</v>
      </c>
      <c r="AZ14" s="1">
        <v>10</v>
      </c>
      <c r="BA14" s="1">
        <v>7</v>
      </c>
      <c r="BB14" s="1">
        <v>3</v>
      </c>
      <c r="BC14" s="1"/>
      <c r="BD14" s="1"/>
      <c r="BE14" s="1"/>
      <c r="BF14" s="1"/>
      <c r="BG14" s="1"/>
      <c r="BH14" s="1"/>
      <c r="BS14" t="s">
        <v>1400</v>
      </c>
      <c r="BT14" t="s">
        <v>1401</v>
      </c>
      <c r="BU14" t="s">
        <v>1402</v>
      </c>
      <c r="BW14">
        <v>7.117</v>
      </c>
      <c r="BX14">
        <v>5.9580000000000002</v>
      </c>
      <c r="BY14">
        <v>5.3579999999999997</v>
      </c>
      <c r="BZ14">
        <v>6.1360000000000001</v>
      </c>
      <c r="CA14">
        <v>7.6379999999999999</v>
      </c>
      <c r="CB14">
        <v>6.6120000000000001</v>
      </c>
      <c r="CC14">
        <v>6.2320000000000002</v>
      </c>
      <c r="CD14">
        <v>5.8879999999999999</v>
      </c>
      <c r="CE14">
        <v>5.6360000000000001</v>
      </c>
      <c r="CF14" t="s">
        <v>1416</v>
      </c>
      <c r="CG14">
        <v>1.502</v>
      </c>
      <c r="CH14">
        <v>0.77800000000000002</v>
      </c>
      <c r="CI14">
        <v>10</v>
      </c>
      <c r="CJ14">
        <v>2.5933333333333399</v>
      </c>
      <c r="CK14">
        <v>10</v>
      </c>
    </row>
    <row r="15" spans="1:111" x14ac:dyDescent="0.2">
      <c r="A15" s="3">
        <v>1</v>
      </c>
      <c r="B15" s="3" t="s">
        <v>208</v>
      </c>
      <c r="C15" s="3" t="s">
        <v>209</v>
      </c>
      <c r="D15" s="1"/>
      <c r="E15" s="1">
        <f t="shared" si="0"/>
        <v>9.28571428571429</v>
      </c>
      <c r="F15" s="1">
        <f t="shared" si="1"/>
        <v>9.28571428571429</v>
      </c>
      <c r="G15" s="1">
        <f t="shared" si="2"/>
        <v>0</v>
      </c>
      <c r="H15" s="1"/>
      <c r="I15" s="1">
        <v>13</v>
      </c>
      <c r="J15" s="1">
        <v>6.6269809070000001</v>
      </c>
      <c r="K15" s="1">
        <v>39.493588320000001</v>
      </c>
      <c r="L15" s="1">
        <v>0.6</v>
      </c>
      <c r="M15" s="1">
        <v>7.5</v>
      </c>
      <c r="N15" s="1">
        <v>0.6</v>
      </c>
      <c r="O15" s="1">
        <v>6.7</v>
      </c>
      <c r="P15" s="1">
        <v>4.7</v>
      </c>
      <c r="Q15" s="1">
        <v>6.6</v>
      </c>
      <c r="R15" s="1">
        <v>7.4</v>
      </c>
      <c r="S15" s="1">
        <v>0</v>
      </c>
      <c r="T15" s="1">
        <v>0</v>
      </c>
      <c r="U15" s="1">
        <v>5.0999999999999996</v>
      </c>
      <c r="V15" s="1">
        <v>6.8</v>
      </c>
      <c r="W15" s="1">
        <v>1.1000000000000001</v>
      </c>
      <c r="X15" s="1">
        <v>4</v>
      </c>
      <c r="Y15" s="1">
        <v>4.5</v>
      </c>
      <c r="Z15" s="1">
        <v>7.7</v>
      </c>
      <c r="AA15" s="1">
        <v>9.4</v>
      </c>
      <c r="AB15" s="1">
        <v>5</v>
      </c>
      <c r="AC15" s="1">
        <v>7.4</v>
      </c>
      <c r="AD15" s="1">
        <v>0</v>
      </c>
      <c r="AE15" s="1">
        <v>0</v>
      </c>
      <c r="AF15" s="1">
        <v>3</v>
      </c>
      <c r="AG15" s="1">
        <v>0.6</v>
      </c>
      <c r="AH15" s="1">
        <v>19.600000000000001</v>
      </c>
      <c r="AI15" s="1">
        <v>6.4</v>
      </c>
      <c r="AJ15" s="1">
        <v>1</v>
      </c>
      <c r="AK15" s="1">
        <v>0</v>
      </c>
      <c r="AL15" s="1">
        <v>7</v>
      </c>
      <c r="AM15" s="1">
        <v>1.1000000000000001</v>
      </c>
      <c r="AN15" s="1">
        <v>3.6</v>
      </c>
      <c r="AO15" s="1">
        <v>3.9</v>
      </c>
      <c r="AP15" s="1">
        <v>4.2</v>
      </c>
      <c r="AQ15" s="1">
        <v>5.2083333333333304</v>
      </c>
      <c r="AR15" s="1">
        <v>6.5</v>
      </c>
      <c r="AS15" s="1">
        <v>9.28571428571429</v>
      </c>
      <c r="AT15" s="1" t="s">
        <v>212</v>
      </c>
      <c r="AU15" s="1" t="s">
        <v>96</v>
      </c>
      <c r="AV15" s="1" t="s">
        <v>105</v>
      </c>
      <c r="AW15" s="1"/>
      <c r="AX15" s="1" t="s">
        <v>183</v>
      </c>
      <c r="AY15" s="1" t="s">
        <v>96</v>
      </c>
      <c r="AZ15" s="1">
        <v>0</v>
      </c>
      <c r="BA15" s="1"/>
      <c r="BB15" s="1">
        <v>3</v>
      </c>
      <c r="BC15" s="1" t="s">
        <v>1417</v>
      </c>
      <c r="BD15" s="1" t="s">
        <v>1404</v>
      </c>
      <c r="BE15" s="1">
        <v>48.291709762900901</v>
      </c>
      <c r="BF15" s="1">
        <v>46.8496809394818</v>
      </c>
      <c r="BG15" s="1">
        <v>45.360203074658898</v>
      </c>
      <c r="BH15" s="1">
        <v>45.652297716545498</v>
      </c>
      <c r="BI15">
        <v>44.694849902847501</v>
      </c>
      <c r="BJ15">
        <v>43.097311310572103</v>
      </c>
      <c r="BK15" t="s">
        <v>1405</v>
      </c>
      <c r="BL15" t="s">
        <v>1406</v>
      </c>
      <c r="BM15">
        <v>12123.198</v>
      </c>
      <c r="BN15">
        <v>-0.95744781369799603</v>
      </c>
      <c r="BO15">
        <v>0.2920946418866</v>
      </c>
      <c r="BP15">
        <v>0</v>
      </c>
      <c r="BQ15">
        <v>0.97364880628866501</v>
      </c>
      <c r="BR15">
        <v>0.97364880628866501</v>
      </c>
      <c r="BS15" t="s">
        <v>1400</v>
      </c>
      <c r="BT15" t="s">
        <v>1401</v>
      </c>
      <c r="BU15" t="s">
        <v>1402</v>
      </c>
      <c r="CF15" t="s">
        <v>103</v>
      </c>
    </row>
    <row r="16" spans="1:111" x14ac:dyDescent="0.2">
      <c r="A16" s="3">
        <v>1</v>
      </c>
      <c r="B16" s="3" t="s">
        <v>215</v>
      </c>
      <c r="C16" s="3" t="s">
        <v>216</v>
      </c>
      <c r="D16" s="1"/>
      <c r="E16" s="1">
        <f t="shared" si="0"/>
        <v>8.9238295251926818</v>
      </c>
      <c r="F16" s="1">
        <f t="shared" si="1"/>
        <v>9.71428571428571</v>
      </c>
      <c r="G16" s="1">
        <f t="shared" si="2"/>
        <v>8.1976931435721294</v>
      </c>
      <c r="H16" s="1"/>
      <c r="I16" s="1">
        <v>14</v>
      </c>
      <c r="J16" s="1">
        <v>4.2804441219999996</v>
      </c>
      <c r="K16" s="1">
        <v>17.14905856</v>
      </c>
      <c r="L16" s="1">
        <v>0.3</v>
      </c>
      <c r="M16" s="1">
        <v>2.9</v>
      </c>
      <c r="N16" s="1">
        <v>0.3</v>
      </c>
      <c r="O16" s="1">
        <v>6.2</v>
      </c>
      <c r="P16" s="1">
        <v>2.9</v>
      </c>
      <c r="Q16" s="1">
        <v>6.5</v>
      </c>
      <c r="R16" s="1">
        <v>9.8000000000000007</v>
      </c>
      <c r="S16" s="1">
        <v>0.4</v>
      </c>
      <c r="T16" s="1">
        <v>0.4</v>
      </c>
      <c r="U16" s="1">
        <v>5.2</v>
      </c>
      <c r="V16" s="1">
        <v>4.7</v>
      </c>
      <c r="W16" s="1">
        <v>1.4</v>
      </c>
      <c r="X16" s="1">
        <v>3.1</v>
      </c>
      <c r="Y16" s="1">
        <v>4.0999999999999996</v>
      </c>
      <c r="Z16" s="1">
        <v>9.5</v>
      </c>
      <c r="AA16" s="1">
        <v>10</v>
      </c>
      <c r="AB16" s="1">
        <v>4.4000000000000004</v>
      </c>
      <c r="AC16" s="1">
        <v>8</v>
      </c>
      <c r="AD16" s="1">
        <v>4.9000000000000004</v>
      </c>
      <c r="AE16" s="1">
        <v>2.5</v>
      </c>
      <c r="AF16" s="1">
        <v>2</v>
      </c>
      <c r="AG16" s="1">
        <v>0</v>
      </c>
      <c r="AH16" s="1">
        <v>21.7</v>
      </c>
      <c r="AI16" s="1">
        <v>7.8</v>
      </c>
      <c r="AJ16" s="1">
        <v>7.3</v>
      </c>
      <c r="AK16" s="1">
        <v>2.9</v>
      </c>
      <c r="AL16" s="1">
        <v>8</v>
      </c>
      <c r="AM16" s="1">
        <v>0.9</v>
      </c>
      <c r="AN16" s="1">
        <v>4.9000000000000004</v>
      </c>
      <c r="AO16" s="1">
        <v>4.4000000000000004</v>
      </c>
      <c r="AP16" s="1">
        <v>4.2</v>
      </c>
      <c r="AQ16" s="1">
        <v>5.2083333333333304</v>
      </c>
      <c r="AR16" s="1">
        <v>6.8</v>
      </c>
      <c r="AS16" s="1">
        <v>9.71428571428571</v>
      </c>
      <c r="AT16" s="1" t="s">
        <v>219</v>
      </c>
      <c r="AU16" s="1" t="s">
        <v>98</v>
      </c>
      <c r="AV16" s="1" t="s">
        <v>105</v>
      </c>
      <c r="AW16" s="1"/>
      <c r="AX16" s="1" t="s">
        <v>102</v>
      </c>
      <c r="AY16" s="1" t="s">
        <v>98</v>
      </c>
      <c r="AZ16" s="1">
        <v>10</v>
      </c>
      <c r="BA16" s="1"/>
      <c r="BB16" s="1">
        <v>7</v>
      </c>
      <c r="BC16" s="1" t="s">
        <v>1418</v>
      </c>
      <c r="BD16" s="1" t="s">
        <v>1404</v>
      </c>
      <c r="BE16" s="1">
        <v>39.591880450548601</v>
      </c>
      <c r="BF16" s="1">
        <v>37.428484608930098</v>
      </c>
      <c r="BG16" s="1">
        <v>35.995409375485103</v>
      </c>
      <c r="BH16" s="1">
        <v>37.898508294829803</v>
      </c>
      <c r="BI16">
        <v>38.169570251293301</v>
      </c>
      <c r="BJ16">
        <v>37.251277397781102</v>
      </c>
      <c r="BK16" t="s">
        <v>1405</v>
      </c>
      <c r="BL16" t="s">
        <v>1406</v>
      </c>
      <c r="BM16">
        <v>20903.277999999998</v>
      </c>
      <c r="BN16">
        <v>0.27106195646349801</v>
      </c>
      <c r="BO16">
        <v>1.9030989193447001</v>
      </c>
      <c r="BP16">
        <v>2.71061956463498</v>
      </c>
      <c r="BQ16">
        <v>6.34366306448233</v>
      </c>
      <c r="BR16">
        <v>6.34366306448233</v>
      </c>
      <c r="BS16" t="s">
        <v>1400</v>
      </c>
      <c r="BT16" t="s">
        <v>1401</v>
      </c>
      <c r="BU16" t="s">
        <v>1402</v>
      </c>
      <c r="CF16" t="s">
        <v>103</v>
      </c>
      <c r="CM16">
        <v>83.328453063964801</v>
      </c>
      <c r="CP16">
        <v>29.299900054931602</v>
      </c>
      <c r="CQ16">
        <v>14.0038414001465</v>
      </c>
      <c r="CR16">
        <v>5.7931532859802202</v>
      </c>
      <c r="CV16">
        <v>13.1347818374634</v>
      </c>
      <c r="CX16">
        <v>11.514798164367701</v>
      </c>
      <c r="CY16">
        <v>31.1142883300781</v>
      </c>
      <c r="CZ16">
        <v>64.157508850097699</v>
      </c>
      <c r="DC16">
        <v>5.2539127349853496</v>
      </c>
      <c r="DE16">
        <v>6.2228576660156198</v>
      </c>
      <c r="DF16">
        <v>5.7383852005004901</v>
      </c>
      <c r="DG16">
        <v>8.1976931435721294</v>
      </c>
    </row>
    <row r="17" spans="1:111" x14ac:dyDescent="0.2">
      <c r="A17" s="3">
        <v>1</v>
      </c>
      <c r="B17" s="3" t="s">
        <v>222</v>
      </c>
      <c r="C17" s="3" t="s">
        <v>223</v>
      </c>
      <c r="D17" s="1"/>
      <c r="E17" s="1">
        <f t="shared" si="0"/>
        <v>6.8571428571428603</v>
      </c>
      <c r="F17" s="1">
        <f t="shared" si="1"/>
        <v>6.8571428571428603</v>
      </c>
      <c r="G17" s="1">
        <f t="shared" si="2"/>
        <v>0</v>
      </c>
      <c r="H17" s="1"/>
      <c r="I17" s="1">
        <v>15</v>
      </c>
      <c r="J17" s="1">
        <v>17.770907489999999</v>
      </c>
      <c r="K17" s="1">
        <v>9.1202668730000003</v>
      </c>
      <c r="L17" s="1">
        <v>2</v>
      </c>
      <c r="M17" s="1">
        <v>1.3</v>
      </c>
      <c r="N17" s="1">
        <v>2</v>
      </c>
      <c r="O17" s="1">
        <v>10</v>
      </c>
      <c r="P17" s="1">
        <v>3.7</v>
      </c>
      <c r="Q17" s="1">
        <v>5.5</v>
      </c>
      <c r="R17" s="1">
        <v>6.2</v>
      </c>
      <c r="S17" s="1">
        <v>0.8</v>
      </c>
      <c r="T17" s="1">
        <v>0.8</v>
      </c>
      <c r="U17" s="1">
        <v>5.2</v>
      </c>
      <c r="V17" s="1">
        <v>9.3000000000000007</v>
      </c>
      <c r="W17" s="1">
        <v>1.8</v>
      </c>
      <c r="X17" s="1">
        <v>5.6</v>
      </c>
      <c r="Y17" s="1">
        <v>5.4</v>
      </c>
      <c r="Z17" s="1">
        <v>5.8</v>
      </c>
      <c r="AA17" s="1">
        <v>8.4</v>
      </c>
      <c r="AB17" s="1">
        <v>1.5</v>
      </c>
      <c r="AC17" s="1">
        <v>5.2</v>
      </c>
      <c r="AD17" s="1">
        <v>0.8</v>
      </c>
      <c r="AE17" s="1">
        <v>0.4</v>
      </c>
      <c r="AF17" s="1">
        <v>5</v>
      </c>
      <c r="AG17" s="1">
        <v>1.7</v>
      </c>
      <c r="AH17" s="1">
        <v>21.6</v>
      </c>
      <c r="AI17" s="1">
        <v>7.7</v>
      </c>
      <c r="AJ17" s="1">
        <v>9.1999999999999993</v>
      </c>
      <c r="AK17" s="1">
        <v>4</v>
      </c>
      <c r="AL17" s="1">
        <v>4</v>
      </c>
      <c r="AM17" s="1">
        <v>4</v>
      </c>
      <c r="AN17" s="1">
        <v>4.9000000000000004</v>
      </c>
      <c r="AO17" s="1">
        <v>4.0999999999999996</v>
      </c>
      <c r="AP17" s="1">
        <v>4.7</v>
      </c>
      <c r="AQ17" s="1">
        <v>7.2916666666666696</v>
      </c>
      <c r="AR17" s="1">
        <v>4.8</v>
      </c>
      <c r="AS17" s="1">
        <v>6.8571428571428603</v>
      </c>
      <c r="AT17" s="1" t="s">
        <v>225</v>
      </c>
      <c r="AU17" s="1" t="s">
        <v>96</v>
      </c>
      <c r="AV17" s="1" t="s">
        <v>105</v>
      </c>
      <c r="AW17" s="1"/>
      <c r="AX17" s="1" t="s">
        <v>102</v>
      </c>
      <c r="AY17" s="1" t="s">
        <v>98</v>
      </c>
      <c r="AZ17" s="1">
        <v>0</v>
      </c>
      <c r="BA17" s="1"/>
      <c r="BB17" s="1">
        <v>7</v>
      </c>
      <c r="BC17" s="1" t="s">
        <v>1419</v>
      </c>
      <c r="BD17" s="1" t="s">
        <v>1404</v>
      </c>
      <c r="BE17" s="1">
        <v>13.850406584642</v>
      </c>
      <c r="BF17" s="1">
        <v>13.2160593932261</v>
      </c>
      <c r="BG17" s="1">
        <v>12.553418696809</v>
      </c>
      <c r="BH17" s="1">
        <v>21.853418696809001</v>
      </c>
      <c r="BI17">
        <v>21.7666020095565</v>
      </c>
      <c r="BJ17">
        <v>21.399466023657101</v>
      </c>
      <c r="BK17" t="s">
        <v>1405</v>
      </c>
      <c r="BL17" t="s">
        <v>1420</v>
      </c>
      <c r="BM17">
        <v>164689.383</v>
      </c>
      <c r="BN17">
        <v>-8.6816687252500899E-2</v>
      </c>
      <c r="BO17">
        <v>9.3000000000000007</v>
      </c>
      <c r="BP17">
        <v>0</v>
      </c>
      <c r="BQ17">
        <v>10</v>
      </c>
      <c r="BR17">
        <v>10</v>
      </c>
      <c r="BS17" t="s">
        <v>1400</v>
      </c>
      <c r="BT17" t="s">
        <v>1401</v>
      </c>
      <c r="BU17" t="s">
        <v>1402</v>
      </c>
      <c r="CF17" t="s">
        <v>103</v>
      </c>
      <c r="CL17">
        <v>0</v>
      </c>
    </row>
    <row r="18" spans="1:111" x14ac:dyDescent="0.2">
      <c r="A18" s="3">
        <v>1</v>
      </c>
      <c r="B18" s="3" t="s">
        <v>229</v>
      </c>
      <c r="C18" s="3" t="s">
        <v>230</v>
      </c>
      <c r="D18" s="1"/>
      <c r="E18" s="1">
        <f t="shared" si="0"/>
        <v>5.2098807225172727</v>
      </c>
      <c r="F18" s="1">
        <f t="shared" si="1"/>
        <v>2.71428571428571</v>
      </c>
      <c r="G18" s="1">
        <f t="shared" si="2"/>
        <v>10</v>
      </c>
      <c r="H18" s="1"/>
      <c r="I18" s="1">
        <v>16</v>
      </c>
      <c r="J18" s="1">
        <v>73.607926570000004</v>
      </c>
      <c r="K18" s="1">
        <v>32.192337819999999</v>
      </c>
      <c r="L18" s="1">
        <v>8.8000000000000007</v>
      </c>
      <c r="M18" s="1">
        <v>6</v>
      </c>
      <c r="N18" s="1">
        <v>8.8000000000000007</v>
      </c>
      <c r="O18" s="1">
        <v>6</v>
      </c>
      <c r="P18" s="1">
        <v>7.5</v>
      </c>
      <c r="Q18" s="1"/>
      <c r="R18" s="1">
        <v>0.8</v>
      </c>
      <c r="S18" s="1">
        <v>0.3</v>
      </c>
      <c r="T18" s="1">
        <v>0.3</v>
      </c>
      <c r="U18" s="1">
        <v>3.7</v>
      </c>
      <c r="V18" s="1">
        <v>4.7</v>
      </c>
      <c r="W18" s="1">
        <v>7.7</v>
      </c>
      <c r="X18" s="1">
        <v>6.2</v>
      </c>
      <c r="Y18" s="1">
        <v>4.9000000000000004</v>
      </c>
      <c r="Z18" s="1">
        <v>1.7</v>
      </c>
      <c r="AA18" s="1"/>
      <c r="AB18" s="1">
        <v>0.1</v>
      </c>
      <c r="AC18" s="1">
        <v>0.9</v>
      </c>
      <c r="AD18" s="1">
        <v>0</v>
      </c>
      <c r="AE18" s="1">
        <v>0</v>
      </c>
      <c r="AF18" s="1">
        <v>21</v>
      </c>
      <c r="AG18" s="1">
        <v>10</v>
      </c>
      <c r="AH18" s="1">
        <v>23.6</v>
      </c>
      <c r="AI18" s="1">
        <v>9.1</v>
      </c>
      <c r="AJ18" s="1">
        <v>6</v>
      </c>
      <c r="AK18" s="1">
        <v>2.2000000000000002</v>
      </c>
      <c r="AL18" s="1">
        <v>6</v>
      </c>
      <c r="AM18" s="1">
        <v>0.4</v>
      </c>
      <c r="AN18" s="1">
        <v>4.4000000000000004</v>
      </c>
      <c r="AO18" s="1">
        <v>4.7</v>
      </c>
      <c r="AP18" s="1">
        <v>4.8</v>
      </c>
      <c r="AQ18" s="1">
        <v>7.7083333333333304</v>
      </c>
      <c r="AR18" s="1">
        <v>1.9</v>
      </c>
      <c r="AS18" s="1">
        <v>2.71428571428571</v>
      </c>
      <c r="AT18" s="1" t="s">
        <v>122</v>
      </c>
      <c r="AU18" s="1" t="s">
        <v>98</v>
      </c>
      <c r="AV18" s="1" t="s">
        <v>226</v>
      </c>
      <c r="AW18" s="1" t="s">
        <v>100</v>
      </c>
      <c r="AX18" s="1" t="s">
        <v>183</v>
      </c>
      <c r="AY18" s="1" t="s">
        <v>96</v>
      </c>
      <c r="AZ18" s="1">
        <v>10</v>
      </c>
      <c r="BA18" s="1">
        <v>7</v>
      </c>
      <c r="BB18" s="1">
        <v>3</v>
      </c>
      <c r="BC18" s="1" t="s">
        <v>1421</v>
      </c>
      <c r="BD18" s="1" t="s">
        <v>1404</v>
      </c>
      <c r="BE18" s="1">
        <v>1.3717663494421399</v>
      </c>
      <c r="BF18" s="1">
        <v>1.3717663494421399</v>
      </c>
      <c r="BG18" s="1">
        <v>1.3287925218095999</v>
      </c>
      <c r="BH18" s="1">
        <v>1.3287925218095999</v>
      </c>
      <c r="BI18">
        <v>1.3287925218095999</v>
      </c>
      <c r="BJ18">
        <v>1.0589342102841801</v>
      </c>
      <c r="BK18" t="s">
        <v>1405</v>
      </c>
      <c r="BL18" t="s">
        <v>1411</v>
      </c>
      <c r="BM18">
        <v>6948.4449999999997</v>
      </c>
      <c r="BN18">
        <v>0</v>
      </c>
      <c r="BO18">
        <v>0</v>
      </c>
      <c r="BP18">
        <v>0</v>
      </c>
      <c r="BQ18">
        <v>0</v>
      </c>
      <c r="BR18">
        <v>0</v>
      </c>
      <c r="BS18" t="s">
        <v>1400</v>
      </c>
      <c r="BT18" t="s">
        <v>1401</v>
      </c>
      <c r="BU18" t="s">
        <v>1402</v>
      </c>
      <c r="BW18">
        <v>6.23</v>
      </c>
      <c r="BX18">
        <v>5.2</v>
      </c>
      <c r="BY18">
        <v>4.2</v>
      </c>
      <c r="BZ18">
        <v>5.6</v>
      </c>
      <c r="CA18">
        <v>4.5</v>
      </c>
      <c r="CB18">
        <v>4.3</v>
      </c>
      <c r="CC18">
        <v>4.2</v>
      </c>
      <c r="CD18">
        <v>4.2</v>
      </c>
      <c r="CE18">
        <v>4.2</v>
      </c>
      <c r="CF18" t="s">
        <v>291</v>
      </c>
      <c r="CG18">
        <v>-1.1000000000000001</v>
      </c>
      <c r="CH18">
        <v>1.4</v>
      </c>
      <c r="CI18">
        <v>0</v>
      </c>
      <c r="CJ18">
        <v>4.6666666666666599</v>
      </c>
      <c r="CK18">
        <v>4.6666666666666599</v>
      </c>
      <c r="CL18">
        <v>10</v>
      </c>
      <c r="CM18">
        <v>80.374923706054702</v>
      </c>
      <c r="CN18">
        <v>19.625076293945298</v>
      </c>
      <c r="CS18">
        <v>19.625076293945298</v>
      </c>
      <c r="CT18">
        <v>21.771133422851602</v>
      </c>
      <c r="CU18">
        <v>28.601280212402301</v>
      </c>
      <c r="CV18">
        <v>24.628662109375</v>
      </c>
      <c r="CW18">
        <v>11.258949279785201</v>
      </c>
      <c r="DA18">
        <v>3.9250152587890601</v>
      </c>
      <c r="DC18">
        <v>9.8514648437499996</v>
      </c>
      <c r="DD18">
        <v>9.1654734293619793</v>
      </c>
      <c r="DF18">
        <v>7.6473178439670102</v>
      </c>
      <c r="DG18">
        <v>10</v>
      </c>
    </row>
    <row r="19" spans="1:111" x14ac:dyDescent="0.2">
      <c r="A19" s="3">
        <v>1</v>
      </c>
      <c r="B19" s="3" t="s">
        <v>233</v>
      </c>
      <c r="C19" s="3" t="s">
        <v>234</v>
      </c>
      <c r="D19" s="1"/>
      <c r="E19" s="1">
        <f t="shared" si="0"/>
        <v>1.8571428571428601</v>
      </c>
      <c r="F19" s="1">
        <f t="shared" si="1"/>
        <v>1.8571428571428601</v>
      </c>
      <c r="G19" s="1">
        <f t="shared" si="2"/>
        <v>0</v>
      </c>
      <c r="H19" s="1"/>
      <c r="I19" s="1">
        <v>17</v>
      </c>
      <c r="J19" s="1"/>
      <c r="K19" s="1"/>
      <c r="L19" s="1"/>
      <c r="M19" s="1"/>
      <c r="N19" s="1"/>
      <c r="O19" s="1">
        <v>10</v>
      </c>
      <c r="P19" s="1">
        <v>8.9</v>
      </c>
      <c r="Q19" s="1"/>
      <c r="R19" s="1"/>
      <c r="S19" s="1">
        <v>0</v>
      </c>
      <c r="T19" s="1">
        <v>0</v>
      </c>
      <c r="U19" s="1">
        <v>6.3</v>
      </c>
      <c r="V19" s="1">
        <v>8</v>
      </c>
      <c r="W19" s="1">
        <v>10</v>
      </c>
      <c r="X19" s="1">
        <v>9</v>
      </c>
      <c r="Y19" s="1">
        <v>7.7</v>
      </c>
      <c r="Z19" s="1">
        <v>1.1000000000000001</v>
      </c>
      <c r="AA19" s="1"/>
      <c r="AB19" s="1"/>
      <c r="AC19" s="1">
        <v>1.1000000000000001</v>
      </c>
      <c r="AD19" s="1">
        <v>0</v>
      </c>
      <c r="AE19" s="1">
        <v>0</v>
      </c>
      <c r="AF19" s="1">
        <v>2</v>
      </c>
      <c r="AG19" s="1">
        <v>0</v>
      </c>
      <c r="AH19" s="1">
        <v>11.3</v>
      </c>
      <c r="AI19" s="1">
        <v>0.9</v>
      </c>
      <c r="AJ19" s="1">
        <v>15.6</v>
      </c>
      <c r="AK19" s="1">
        <v>7.6</v>
      </c>
      <c r="AL19" s="1">
        <v>5</v>
      </c>
      <c r="AM19" s="1">
        <v>0.2</v>
      </c>
      <c r="AN19" s="1">
        <v>3.4</v>
      </c>
      <c r="AO19" s="1">
        <v>2.2999999999999998</v>
      </c>
      <c r="AP19" s="1">
        <v>5</v>
      </c>
      <c r="AQ19" s="1">
        <v>8.5416666666666696</v>
      </c>
      <c r="AR19" s="1">
        <v>1.3</v>
      </c>
      <c r="AS19" s="1">
        <v>1.8571428571428601</v>
      </c>
      <c r="AT19" s="1" t="s">
        <v>237</v>
      </c>
      <c r="AU19" s="1" t="s">
        <v>98</v>
      </c>
      <c r="AV19" s="1" t="s">
        <v>238</v>
      </c>
      <c r="AW19" s="1" t="s">
        <v>96</v>
      </c>
      <c r="AX19" s="1" t="s">
        <v>183</v>
      </c>
      <c r="AY19" s="1" t="s">
        <v>96</v>
      </c>
      <c r="AZ19" s="1">
        <v>10</v>
      </c>
      <c r="BA19" s="1">
        <v>0</v>
      </c>
      <c r="BB19" s="1">
        <v>3</v>
      </c>
      <c r="BC19" s="1"/>
      <c r="BD19" s="1"/>
      <c r="BE19" s="1"/>
      <c r="BF19" s="1"/>
      <c r="BG19" s="1"/>
      <c r="BH19" s="1"/>
      <c r="BS19" t="s">
        <v>1400</v>
      </c>
      <c r="BT19" t="s">
        <v>1401</v>
      </c>
      <c r="BU19" t="s">
        <v>1402</v>
      </c>
      <c r="BW19">
        <v>3.58</v>
      </c>
      <c r="BX19">
        <v>3.9319999999999999</v>
      </c>
      <c r="BY19">
        <v>4</v>
      </c>
      <c r="BZ19">
        <v>4.8970000000000002</v>
      </c>
      <c r="CA19">
        <v>3.9119999999999999</v>
      </c>
      <c r="CB19">
        <v>3.831</v>
      </c>
      <c r="CC19">
        <v>3.8069999999999999</v>
      </c>
      <c r="CD19">
        <v>3.7839999999999998</v>
      </c>
      <c r="CE19">
        <v>3.7490000000000001</v>
      </c>
      <c r="CF19" t="s">
        <v>1422</v>
      </c>
      <c r="CG19">
        <v>-0.98499999999999999</v>
      </c>
      <c r="CH19">
        <v>0.89700000000000002</v>
      </c>
      <c r="CI19">
        <v>0</v>
      </c>
      <c r="CJ19">
        <v>2.99</v>
      </c>
      <c r="CK19">
        <v>2.99</v>
      </c>
    </row>
    <row r="20" spans="1:111" x14ac:dyDescent="0.2">
      <c r="A20" s="3">
        <v>1</v>
      </c>
      <c r="B20" s="3" t="s">
        <v>239</v>
      </c>
      <c r="C20" s="3" t="s">
        <v>240</v>
      </c>
      <c r="D20" s="1"/>
      <c r="E20" s="1">
        <f t="shared" si="0"/>
        <v>6.0944940022004364</v>
      </c>
      <c r="F20" s="1">
        <f t="shared" si="1"/>
        <v>3.71428571428571</v>
      </c>
      <c r="G20" s="1">
        <f t="shared" si="2"/>
        <v>10</v>
      </c>
      <c r="H20" s="1"/>
      <c r="I20" s="1">
        <v>18</v>
      </c>
      <c r="J20" s="1"/>
      <c r="K20" s="1"/>
      <c r="L20" s="1"/>
      <c r="M20" s="1"/>
      <c r="N20" s="1"/>
      <c r="O20" s="1">
        <v>5.3</v>
      </c>
      <c r="P20" s="1">
        <v>8.3000000000000007</v>
      </c>
      <c r="Q20" s="1"/>
      <c r="R20" s="1">
        <v>3.5</v>
      </c>
      <c r="S20" s="1">
        <v>0</v>
      </c>
      <c r="T20" s="1">
        <v>0</v>
      </c>
      <c r="U20" s="1">
        <v>4.3</v>
      </c>
      <c r="V20" s="1">
        <v>3.5</v>
      </c>
      <c r="W20" s="1">
        <v>4.7</v>
      </c>
      <c r="X20" s="1">
        <v>4.0999999999999996</v>
      </c>
      <c r="Y20" s="1">
        <v>4.2</v>
      </c>
      <c r="Z20" s="1">
        <v>1.9</v>
      </c>
      <c r="AA20" s="1"/>
      <c r="AB20" s="1"/>
      <c r="AC20" s="1">
        <v>1.9</v>
      </c>
      <c r="AD20" s="1">
        <v>0</v>
      </c>
      <c r="AE20" s="1">
        <v>0</v>
      </c>
      <c r="AF20" s="1">
        <v>7</v>
      </c>
      <c r="AG20" s="1">
        <v>2.8</v>
      </c>
      <c r="AH20" s="1">
        <v>15.5</v>
      </c>
      <c r="AI20" s="1">
        <v>3.7</v>
      </c>
      <c r="AJ20" s="1">
        <v>8.8000000000000007</v>
      </c>
      <c r="AK20" s="1">
        <v>3.8</v>
      </c>
      <c r="AL20" s="1">
        <v>4</v>
      </c>
      <c r="AM20" s="1">
        <v>0.3</v>
      </c>
      <c r="AN20" s="1">
        <v>3</v>
      </c>
      <c r="AO20" s="1">
        <v>2.4</v>
      </c>
      <c r="AP20" s="1">
        <v>3.3</v>
      </c>
      <c r="AQ20" s="1">
        <v>1.4583333333333299</v>
      </c>
      <c r="AR20" s="1">
        <v>2.6</v>
      </c>
      <c r="AS20" s="1">
        <v>3.71428571428571</v>
      </c>
      <c r="AT20" s="1" t="s">
        <v>243</v>
      </c>
      <c r="AU20" s="1" t="s">
        <v>98</v>
      </c>
      <c r="AV20" s="1" t="s">
        <v>244</v>
      </c>
      <c r="AW20" s="1" t="s">
        <v>98</v>
      </c>
      <c r="AX20" s="1" t="s">
        <v>105</v>
      </c>
      <c r="AY20" s="1"/>
      <c r="AZ20" s="1">
        <v>10</v>
      </c>
      <c r="BA20" s="1">
        <v>10</v>
      </c>
      <c r="BB20" s="1"/>
      <c r="BC20" s="1"/>
      <c r="BD20" s="1"/>
      <c r="BE20" s="1"/>
      <c r="BF20" s="1"/>
      <c r="BG20" s="1"/>
      <c r="BH20" s="1"/>
      <c r="BS20" t="s">
        <v>1400</v>
      </c>
      <c r="BT20" t="s">
        <v>1401</v>
      </c>
      <c r="BU20" t="s">
        <v>1402</v>
      </c>
      <c r="BW20">
        <v>10.1</v>
      </c>
      <c r="BX20">
        <v>10.35</v>
      </c>
      <c r="BY20">
        <v>10.653</v>
      </c>
      <c r="BZ20">
        <v>25.408000000000001</v>
      </c>
      <c r="CA20">
        <v>20.305</v>
      </c>
      <c r="CB20">
        <v>18.02</v>
      </c>
      <c r="CC20">
        <v>16.077000000000002</v>
      </c>
      <c r="CD20">
        <v>15.59</v>
      </c>
      <c r="CE20">
        <v>15.268000000000001</v>
      </c>
      <c r="CF20" t="s">
        <v>1423</v>
      </c>
      <c r="CG20">
        <v>-5.1029999999999998</v>
      </c>
      <c r="CH20">
        <v>14.755000000000001</v>
      </c>
      <c r="CI20">
        <v>0</v>
      </c>
      <c r="CJ20">
        <v>10</v>
      </c>
      <c r="CK20">
        <v>10</v>
      </c>
    </row>
    <row r="21" spans="1:111" x14ac:dyDescent="0.2">
      <c r="A21" s="3">
        <v>1</v>
      </c>
      <c r="B21" s="3" t="s">
        <v>246</v>
      </c>
      <c r="C21" s="3" t="s">
        <v>247</v>
      </c>
      <c r="D21" s="1"/>
      <c r="E21" s="1">
        <f t="shared" si="0"/>
        <v>5.1961524227066338</v>
      </c>
      <c r="F21" s="1">
        <f t="shared" si="1"/>
        <v>3.8571428571428599</v>
      </c>
      <c r="G21" s="1">
        <f t="shared" si="2"/>
        <v>7</v>
      </c>
      <c r="H21" s="1"/>
      <c r="I21" s="1">
        <v>19</v>
      </c>
      <c r="J21" s="1">
        <v>50.349593089999999</v>
      </c>
      <c r="K21" s="1">
        <v>32.451495110000003</v>
      </c>
      <c r="L21" s="1">
        <v>5.9</v>
      </c>
      <c r="M21" s="1">
        <v>6.1</v>
      </c>
      <c r="N21" s="1">
        <v>5.9</v>
      </c>
      <c r="O21" s="1">
        <v>6</v>
      </c>
      <c r="P21" s="1">
        <v>4.8</v>
      </c>
      <c r="Q21" s="1">
        <v>0.8</v>
      </c>
      <c r="R21" s="1"/>
      <c r="S21" s="1">
        <v>3.2</v>
      </c>
      <c r="T21" s="1">
        <v>3.2</v>
      </c>
      <c r="U21" s="1">
        <v>3.7</v>
      </c>
      <c r="V21" s="1">
        <v>5.9</v>
      </c>
      <c r="W21" s="1">
        <v>7.4</v>
      </c>
      <c r="X21" s="1">
        <v>6.7</v>
      </c>
      <c r="Y21" s="1">
        <v>5.2</v>
      </c>
      <c r="Z21" s="1">
        <v>2.6</v>
      </c>
      <c r="AA21" s="1">
        <v>3</v>
      </c>
      <c r="AB21" s="1">
        <v>0</v>
      </c>
      <c r="AC21" s="1">
        <v>1.9</v>
      </c>
      <c r="AD21" s="1">
        <v>0</v>
      </c>
      <c r="AE21" s="1">
        <v>0</v>
      </c>
      <c r="AF21" s="1">
        <v>16</v>
      </c>
      <c r="AG21" s="1">
        <v>7.8</v>
      </c>
      <c r="AH21" s="1">
        <v>17.8</v>
      </c>
      <c r="AI21" s="1">
        <v>5.2</v>
      </c>
      <c r="AJ21" s="1">
        <v>9</v>
      </c>
      <c r="AK21" s="1">
        <v>3.9</v>
      </c>
      <c r="AL21" s="1">
        <v>5</v>
      </c>
      <c r="AM21" s="1">
        <v>0.5</v>
      </c>
      <c r="AN21" s="1">
        <v>3.7</v>
      </c>
      <c r="AO21" s="1">
        <v>3.8</v>
      </c>
      <c r="AP21" s="1">
        <v>4.5</v>
      </c>
      <c r="AQ21" s="1">
        <v>6.4583333333333304</v>
      </c>
      <c r="AR21" s="1">
        <v>2.7</v>
      </c>
      <c r="AS21" s="1">
        <v>3.8571428571428599</v>
      </c>
      <c r="AT21" s="1" t="s">
        <v>250</v>
      </c>
      <c r="AU21" s="1" t="s">
        <v>98</v>
      </c>
      <c r="AV21" s="1" t="s">
        <v>251</v>
      </c>
      <c r="AW21" s="1" t="s">
        <v>100</v>
      </c>
      <c r="AX21" s="1" t="s">
        <v>102</v>
      </c>
      <c r="AY21" s="1" t="s">
        <v>98</v>
      </c>
      <c r="AZ21" s="1">
        <v>10</v>
      </c>
      <c r="BA21" s="1">
        <v>7</v>
      </c>
      <c r="BB21" s="1">
        <v>7</v>
      </c>
      <c r="BC21" s="1"/>
      <c r="BD21" s="1"/>
      <c r="BE21" s="1"/>
      <c r="BF21" s="1"/>
      <c r="BG21" s="1"/>
      <c r="BH21" s="1"/>
      <c r="BS21" t="s">
        <v>1400</v>
      </c>
      <c r="BT21" t="s">
        <v>1401</v>
      </c>
      <c r="BU21" t="s">
        <v>1402</v>
      </c>
      <c r="BW21">
        <v>20.5</v>
      </c>
      <c r="BX21">
        <v>18.399999999999999</v>
      </c>
      <c r="BY21">
        <v>15.7</v>
      </c>
      <c r="BZ21">
        <v>19</v>
      </c>
      <c r="CA21">
        <v>17.5</v>
      </c>
      <c r="CB21">
        <v>16.8</v>
      </c>
      <c r="CC21">
        <v>16</v>
      </c>
      <c r="CD21">
        <v>15.3</v>
      </c>
      <c r="CE21">
        <v>14.5</v>
      </c>
      <c r="CF21" t="s">
        <v>1153</v>
      </c>
      <c r="CG21">
        <v>-1.5</v>
      </c>
      <c r="CH21">
        <v>3.3</v>
      </c>
      <c r="CI21">
        <v>0</v>
      </c>
      <c r="CJ21">
        <v>10</v>
      </c>
      <c r="CK21">
        <v>10</v>
      </c>
    </row>
    <row r="22" spans="1:111" x14ac:dyDescent="0.2">
      <c r="A22" s="3">
        <v>1</v>
      </c>
      <c r="B22" s="3" t="s">
        <v>254</v>
      </c>
      <c r="C22" s="3" t="s">
        <v>255</v>
      </c>
      <c r="D22" s="1"/>
      <c r="E22" s="1">
        <f t="shared" si="0"/>
        <v>1.71428571428572</v>
      </c>
      <c r="F22" s="1">
        <f t="shared" si="1"/>
        <v>1.71428571428572</v>
      </c>
      <c r="G22" s="1">
        <f t="shared" si="2"/>
        <v>0</v>
      </c>
      <c r="H22" s="1"/>
      <c r="I22" s="1">
        <v>20</v>
      </c>
      <c r="J22" s="1">
        <v>76.351011369999995</v>
      </c>
      <c r="K22" s="1">
        <v>72.38497375</v>
      </c>
      <c r="L22" s="1">
        <v>9.1</v>
      </c>
      <c r="M22" s="1">
        <v>10</v>
      </c>
      <c r="N22" s="1">
        <v>9.1</v>
      </c>
      <c r="O22" s="1">
        <v>5.6</v>
      </c>
      <c r="P22" s="1">
        <v>7.9</v>
      </c>
      <c r="Q22" s="1">
        <v>5</v>
      </c>
      <c r="R22" s="1">
        <v>1.2</v>
      </c>
      <c r="S22" s="1">
        <v>0</v>
      </c>
      <c r="T22" s="1">
        <v>0</v>
      </c>
      <c r="U22" s="1">
        <v>3.9</v>
      </c>
      <c r="V22" s="1">
        <v>4.5999999999999996</v>
      </c>
      <c r="W22" s="1">
        <v>9.9</v>
      </c>
      <c r="X22" s="1">
        <v>7.3</v>
      </c>
      <c r="Y22" s="1">
        <v>5.6</v>
      </c>
      <c r="Z22" s="1">
        <v>1.8</v>
      </c>
      <c r="AA22" s="1"/>
      <c r="AB22" s="1">
        <v>0</v>
      </c>
      <c r="AC22" s="1">
        <v>0.9</v>
      </c>
      <c r="AD22" s="1">
        <v>0</v>
      </c>
      <c r="AE22" s="1">
        <v>0</v>
      </c>
      <c r="AF22" s="1">
        <v>15</v>
      </c>
      <c r="AG22" s="1">
        <v>7.2</v>
      </c>
      <c r="AH22" s="1">
        <v>23.7</v>
      </c>
      <c r="AI22" s="1">
        <v>9.1</v>
      </c>
      <c r="AJ22" s="1">
        <v>5</v>
      </c>
      <c r="AK22" s="1">
        <v>1.7</v>
      </c>
      <c r="AL22" s="1">
        <v>5</v>
      </c>
      <c r="AM22" s="1">
        <v>0.7</v>
      </c>
      <c r="AN22" s="1">
        <v>4.0999999999999996</v>
      </c>
      <c r="AO22" s="1">
        <v>4.7</v>
      </c>
      <c r="AP22" s="1">
        <v>5.2</v>
      </c>
      <c r="AQ22" s="1">
        <v>9.375</v>
      </c>
      <c r="AR22" s="1">
        <v>1.2</v>
      </c>
      <c r="AS22" s="1">
        <v>1.71428571428572</v>
      </c>
      <c r="AT22" s="1" t="s">
        <v>258</v>
      </c>
      <c r="AU22" s="1" t="s">
        <v>98</v>
      </c>
      <c r="AV22" s="1" t="s">
        <v>140</v>
      </c>
      <c r="AW22" s="1" t="s">
        <v>96</v>
      </c>
      <c r="AX22" s="1" t="s">
        <v>102</v>
      </c>
      <c r="AY22" s="1" t="s">
        <v>98</v>
      </c>
      <c r="AZ22" s="1">
        <v>10</v>
      </c>
      <c r="BA22" s="1">
        <v>0</v>
      </c>
      <c r="BB22" s="1">
        <v>7</v>
      </c>
      <c r="BC22" s="1"/>
      <c r="BD22" s="1"/>
      <c r="BE22" s="1"/>
      <c r="BF22" s="1"/>
      <c r="BG22" s="1"/>
      <c r="BH22" s="1"/>
      <c r="BS22" t="s">
        <v>1400</v>
      </c>
      <c r="BT22" t="s">
        <v>1401</v>
      </c>
      <c r="BU22" t="s">
        <v>1402</v>
      </c>
      <c r="BW22">
        <v>0.76800000000000002</v>
      </c>
      <c r="BX22">
        <v>0.42799999999999999</v>
      </c>
      <c r="BY22">
        <v>0.29499999999999998</v>
      </c>
      <c r="BZ22">
        <v>1.403</v>
      </c>
      <c r="CA22">
        <v>1.1040000000000001</v>
      </c>
      <c r="CB22">
        <v>0.80500000000000005</v>
      </c>
      <c r="CC22">
        <v>0.60399999999999998</v>
      </c>
      <c r="CD22">
        <v>0.60399999999999998</v>
      </c>
      <c r="CE22">
        <v>0.504</v>
      </c>
      <c r="CF22" t="s">
        <v>1424</v>
      </c>
      <c r="CG22">
        <v>-0.29899999999999999</v>
      </c>
      <c r="CH22">
        <v>1.1080000000000001</v>
      </c>
      <c r="CI22">
        <v>0</v>
      </c>
      <c r="CJ22">
        <v>3.6933333333333298</v>
      </c>
      <c r="CK22">
        <v>3.6933333333333298</v>
      </c>
      <c r="CL22">
        <v>0</v>
      </c>
    </row>
    <row r="23" spans="1:111" x14ac:dyDescent="0.2">
      <c r="A23" s="3">
        <v>1</v>
      </c>
      <c r="B23" s="3" t="s">
        <v>260</v>
      </c>
      <c r="C23" s="3" t="s">
        <v>261</v>
      </c>
      <c r="D23" s="1"/>
      <c r="E23" s="1">
        <f t="shared" si="0"/>
        <v>7.2702917999997023</v>
      </c>
      <c r="F23" s="1">
        <f t="shared" si="1"/>
        <v>5.28571428571429</v>
      </c>
      <c r="G23" s="1">
        <f t="shared" si="2"/>
        <v>10</v>
      </c>
      <c r="H23" s="1"/>
      <c r="I23" s="1">
        <v>21</v>
      </c>
      <c r="J23" s="1">
        <v>39.387019199999997</v>
      </c>
      <c r="K23" s="1">
        <v>23.345619849999999</v>
      </c>
      <c r="L23" s="1">
        <v>4.5999999999999996</v>
      </c>
      <c r="M23" s="1">
        <v>4.2</v>
      </c>
      <c r="N23" s="1">
        <v>4.5999999999999996</v>
      </c>
      <c r="O23" s="1">
        <v>4.0999999999999996</v>
      </c>
      <c r="P23" s="1">
        <v>4.5999999999999996</v>
      </c>
      <c r="Q23" s="1">
        <v>0.6</v>
      </c>
      <c r="R23" s="1"/>
      <c r="S23" s="1">
        <v>0.9</v>
      </c>
      <c r="T23" s="1">
        <v>0.9</v>
      </c>
      <c r="U23" s="1">
        <v>2.6</v>
      </c>
      <c r="V23" s="1">
        <v>4.8</v>
      </c>
      <c r="W23" s="1">
        <v>2.6</v>
      </c>
      <c r="X23" s="1">
        <v>3.7</v>
      </c>
      <c r="Y23" s="1">
        <v>3.1</v>
      </c>
      <c r="Z23" s="1">
        <v>3.8</v>
      </c>
      <c r="AA23" s="1">
        <v>4.5999999999999996</v>
      </c>
      <c r="AB23" s="1">
        <v>1.4</v>
      </c>
      <c r="AC23" s="1">
        <v>3.3</v>
      </c>
      <c r="AD23" s="1">
        <v>0</v>
      </c>
      <c r="AE23" s="1">
        <v>0</v>
      </c>
      <c r="AF23" s="1">
        <v>5</v>
      </c>
      <c r="AG23" s="1">
        <v>1.7</v>
      </c>
      <c r="AH23" s="1">
        <v>22.1</v>
      </c>
      <c r="AI23" s="1">
        <v>8.1</v>
      </c>
      <c r="AJ23" s="1">
        <v>17.100000000000001</v>
      </c>
      <c r="AK23" s="1">
        <v>8.4</v>
      </c>
      <c r="AL23" s="1">
        <v>4</v>
      </c>
      <c r="AM23" s="1">
        <v>0.7</v>
      </c>
      <c r="AN23" s="1">
        <v>5.3</v>
      </c>
      <c r="AO23" s="1">
        <v>4.4000000000000004</v>
      </c>
      <c r="AP23" s="1">
        <v>3.8</v>
      </c>
      <c r="AQ23" s="1">
        <v>3.5416666666666701</v>
      </c>
      <c r="AR23" s="1">
        <v>3.7</v>
      </c>
      <c r="AS23" s="1">
        <v>5.28571428571429</v>
      </c>
      <c r="AT23" s="1" t="s">
        <v>264</v>
      </c>
      <c r="AU23" s="1" t="s">
        <v>98</v>
      </c>
      <c r="AV23" s="1" t="s">
        <v>265</v>
      </c>
      <c r="AW23" s="1" t="s">
        <v>98</v>
      </c>
      <c r="AX23" s="1" t="s">
        <v>137</v>
      </c>
      <c r="AY23" s="1" t="s">
        <v>100</v>
      </c>
      <c r="AZ23" s="1">
        <v>10</v>
      </c>
      <c r="BA23" s="1">
        <v>10</v>
      </c>
      <c r="BB23" s="1">
        <v>0</v>
      </c>
      <c r="BC23" s="1"/>
      <c r="BD23" s="1"/>
      <c r="BE23" s="1"/>
      <c r="BF23" s="1"/>
      <c r="BG23" s="1"/>
      <c r="BH23" s="1"/>
      <c r="BS23" t="s">
        <v>1400</v>
      </c>
      <c r="BT23" t="s">
        <v>1401</v>
      </c>
      <c r="BU23" t="s">
        <v>1402</v>
      </c>
      <c r="BW23">
        <v>9.35</v>
      </c>
      <c r="BX23">
        <v>9.7249999999999996</v>
      </c>
      <c r="BY23">
        <v>9</v>
      </c>
      <c r="BZ23">
        <v>25.059000000000001</v>
      </c>
      <c r="CA23">
        <v>20.882999999999999</v>
      </c>
      <c r="CB23">
        <v>18.556000000000001</v>
      </c>
      <c r="CC23">
        <v>17.757999999999999</v>
      </c>
      <c r="CD23">
        <v>17.754999999999999</v>
      </c>
      <c r="CE23">
        <v>17.753</v>
      </c>
      <c r="CF23" t="s">
        <v>1425</v>
      </c>
      <c r="CG23">
        <v>-4.1760000000000002</v>
      </c>
      <c r="CH23">
        <v>16.059000000000001</v>
      </c>
      <c r="CI23">
        <v>0</v>
      </c>
      <c r="CJ23">
        <v>10</v>
      </c>
      <c r="CK23">
        <v>10</v>
      </c>
    </row>
    <row r="24" spans="1:111" x14ac:dyDescent="0.2">
      <c r="A24" s="3">
        <v>1</v>
      </c>
      <c r="B24" s="3" t="s">
        <v>267</v>
      </c>
      <c r="C24" s="3" t="s">
        <v>268</v>
      </c>
      <c r="D24" s="1"/>
      <c r="E24" s="1">
        <f t="shared" si="0"/>
        <v>6.7082039324993694</v>
      </c>
      <c r="F24" s="1">
        <f t="shared" si="1"/>
        <v>6.4285714285714297</v>
      </c>
      <c r="G24" s="1">
        <f t="shared" si="2"/>
        <v>7</v>
      </c>
      <c r="H24" s="1"/>
      <c r="I24" s="1">
        <v>22</v>
      </c>
      <c r="J24" s="1">
        <v>78.196201110000004</v>
      </c>
      <c r="K24" s="1">
        <v>12.811190140000001</v>
      </c>
      <c r="L24" s="1">
        <v>9.3000000000000007</v>
      </c>
      <c r="M24" s="1">
        <v>2</v>
      </c>
      <c r="N24" s="1">
        <v>9.3000000000000007</v>
      </c>
      <c r="O24" s="1">
        <v>3.4</v>
      </c>
      <c r="P24" s="1">
        <v>6.9</v>
      </c>
      <c r="Q24" s="1">
        <v>5.5</v>
      </c>
      <c r="R24" s="1">
        <v>3.8</v>
      </c>
      <c r="S24" s="1">
        <v>0</v>
      </c>
      <c r="T24" s="1">
        <v>0</v>
      </c>
      <c r="U24" s="1">
        <v>3.9</v>
      </c>
      <c r="V24" s="1">
        <v>2.9</v>
      </c>
      <c r="W24" s="1">
        <v>0.8</v>
      </c>
      <c r="X24" s="1">
        <v>1.9</v>
      </c>
      <c r="Y24" s="1">
        <v>2.9</v>
      </c>
      <c r="Z24" s="1">
        <v>4.0999999999999996</v>
      </c>
      <c r="AA24" s="1">
        <v>7.4</v>
      </c>
      <c r="AB24" s="1">
        <v>0.6</v>
      </c>
      <c r="AC24" s="1">
        <v>4</v>
      </c>
      <c r="AD24" s="1">
        <v>0</v>
      </c>
      <c r="AE24" s="1">
        <v>0</v>
      </c>
      <c r="AF24" s="1">
        <v>7</v>
      </c>
      <c r="AG24" s="1">
        <v>2.8</v>
      </c>
      <c r="AH24" s="1">
        <v>17.2</v>
      </c>
      <c r="AI24" s="1">
        <v>4.8</v>
      </c>
      <c r="AJ24" s="1">
        <v>6.8</v>
      </c>
      <c r="AK24" s="1">
        <v>2.7</v>
      </c>
      <c r="AL24" s="1">
        <v>4</v>
      </c>
      <c r="AM24" s="1">
        <v>2</v>
      </c>
      <c r="AN24" s="1">
        <v>3.4</v>
      </c>
      <c r="AO24" s="1">
        <v>5.6</v>
      </c>
      <c r="AP24" s="1">
        <v>4.2</v>
      </c>
      <c r="AQ24" s="1">
        <v>5.2083333333333304</v>
      </c>
      <c r="AR24" s="1">
        <v>4.5</v>
      </c>
      <c r="AS24" s="1">
        <v>6.4285714285714297</v>
      </c>
      <c r="AT24" s="1" t="s">
        <v>271</v>
      </c>
      <c r="AU24" s="1" t="s">
        <v>98</v>
      </c>
      <c r="AV24" s="1" t="s">
        <v>272</v>
      </c>
      <c r="AW24" s="1" t="s">
        <v>100</v>
      </c>
      <c r="AX24" s="1" t="s">
        <v>137</v>
      </c>
      <c r="AY24" s="1" t="s">
        <v>100</v>
      </c>
      <c r="AZ24" s="1">
        <v>10</v>
      </c>
      <c r="BA24" s="1">
        <v>7</v>
      </c>
      <c r="BB24" s="1">
        <v>0</v>
      </c>
      <c r="BC24" s="1" t="s">
        <v>1426</v>
      </c>
      <c r="BD24" s="1" t="s">
        <v>1404</v>
      </c>
      <c r="BE24" s="1">
        <v>5.7745174784462403</v>
      </c>
      <c r="BF24" s="1">
        <v>4.4849595743469699</v>
      </c>
      <c r="BG24" s="1">
        <v>4.3363047650614996</v>
      </c>
      <c r="BH24" s="1">
        <v>5.8983553255164702</v>
      </c>
      <c r="BI24">
        <v>5.1762304435423898</v>
      </c>
      <c r="BJ24">
        <v>4.6831418488390799</v>
      </c>
      <c r="BK24" t="s">
        <v>1405</v>
      </c>
      <c r="BL24" t="s">
        <v>1408</v>
      </c>
      <c r="BM24">
        <v>11673.029</v>
      </c>
      <c r="BN24">
        <v>-0.72212488197407998</v>
      </c>
      <c r="BO24">
        <v>1.5620505604549699</v>
      </c>
      <c r="BP24">
        <v>0</v>
      </c>
      <c r="BQ24">
        <v>5.2068352015165704</v>
      </c>
      <c r="BR24">
        <v>5.2068352015165704</v>
      </c>
      <c r="BS24" t="s">
        <v>1400</v>
      </c>
      <c r="BT24" t="s">
        <v>1401</v>
      </c>
      <c r="BU24" t="s">
        <v>1402</v>
      </c>
      <c r="BW24">
        <v>4</v>
      </c>
      <c r="BX24">
        <v>4</v>
      </c>
      <c r="BY24">
        <v>4</v>
      </c>
      <c r="BZ24">
        <v>8</v>
      </c>
      <c r="CA24">
        <v>4</v>
      </c>
      <c r="CB24">
        <v>4</v>
      </c>
      <c r="CC24">
        <v>4</v>
      </c>
      <c r="CD24">
        <v>4</v>
      </c>
      <c r="CE24">
        <v>4</v>
      </c>
      <c r="CF24" t="s">
        <v>1189</v>
      </c>
      <c r="CG24">
        <v>-4</v>
      </c>
      <c r="CH24">
        <v>4</v>
      </c>
      <c r="CI24">
        <v>0</v>
      </c>
      <c r="CJ24">
        <v>10</v>
      </c>
      <c r="CK24">
        <v>10</v>
      </c>
      <c r="CM24">
        <v>55.977195739746101</v>
      </c>
      <c r="CO24">
        <v>97.834136962890597</v>
      </c>
      <c r="CR24">
        <v>52.777778625488303</v>
      </c>
      <c r="CS24">
        <v>12.8198709487915</v>
      </c>
      <c r="CV24">
        <v>16.7824401855469</v>
      </c>
      <c r="CX24">
        <v>0.75020843744277999</v>
      </c>
      <c r="CY24">
        <v>21.7004718780518</v>
      </c>
      <c r="DB24">
        <v>1.0829315185546899</v>
      </c>
      <c r="DC24">
        <v>6.7129760742187496</v>
      </c>
      <c r="DE24">
        <v>4.3400943756103496</v>
      </c>
      <c r="DF24">
        <v>4.0453339894612599</v>
      </c>
      <c r="DG24">
        <v>5.7790485563732297</v>
      </c>
    </row>
    <row r="25" spans="1:111" x14ac:dyDescent="0.2">
      <c r="A25" s="3">
        <v>1</v>
      </c>
      <c r="B25" s="3" t="s">
        <v>275</v>
      </c>
      <c r="C25" s="3" t="s">
        <v>276</v>
      </c>
      <c r="D25" s="1"/>
      <c r="E25" s="1">
        <f t="shared" si="0"/>
        <v>5.8309518948453025</v>
      </c>
      <c r="F25" s="1">
        <f t="shared" si="1"/>
        <v>4.8571428571428603</v>
      </c>
      <c r="G25" s="1">
        <f t="shared" si="2"/>
        <v>7</v>
      </c>
      <c r="H25" s="1"/>
      <c r="I25" s="1">
        <v>23</v>
      </c>
      <c r="J25" s="1">
        <v>53.80871123</v>
      </c>
      <c r="K25" s="1">
        <v>44.760888880000003</v>
      </c>
      <c r="L25" s="1">
        <v>6.4</v>
      </c>
      <c r="M25" s="1">
        <v>8.6</v>
      </c>
      <c r="N25" s="1">
        <v>6.4</v>
      </c>
      <c r="O25" s="1">
        <v>4.7</v>
      </c>
      <c r="P25" s="1">
        <v>8.6999999999999993</v>
      </c>
      <c r="Q25" s="1">
        <v>1.8</v>
      </c>
      <c r="R25" s="1">
        <v>3.3</v>
      </c>
      <c r="S25" s="1">
        <v>0.1</v>
      </c>
      <c r="T25" s="1">
        <v>0.1</v>
      </c>
      <c r="U25" s="1">
        <v>3.7</v>
      </c>
      <c r="V25" s="1">
        <v>1.8</v>
      </c>
      <c r="W25" s="1">
        <v>1</v>
      </c>
      <c r="X25" s="1">
        <v>1.4</v>
      </c>
      <c r="Y25" s="1">
        <v>2.6</v>
      </c>
      <c r="Z25" s="1">
        <v>2.8</v>
      </c>
      <c r="AA25" s="1">
        <v>3.7</v>
      </c>
      <c r="AB25" s="1">
        <v>0.4</v>
      </c>
      <c r="AC25" s="1">
        <v>2.2999999999999998</v>
      </c>
      <c r="AD25" s="1">
        <v>0</v>
      </c>
      <c r="AE25" s="1">
        <v>0</v>
      </c>
      <c r="AF25" s="1">
        <v>9</v>
      </c>
      <c r="AG25" s="1">
        <v>3.9</v>
      </c>
      <c r="AH25" s="1">
        <v>16.600000000000001</v>
      </c>
      <c r="AI25" s="1">
        <v>4.4000000000000004</v>
      </c>
      <c r="AJ25" s="1">
        <v>10.4</v>
      </c>
      <c r="AK25" s="1">
        <v>4.7</v>
      </c>
      <c r="AL25" s="1">
        <v>6</v>
      </c>
      <c r="AM25" s="1">
        <v>0.8</v>
      </c>
      <c r="AN25" s="1">
        <v>4</v>
      </c>
      <c r="AO25" s="1">
        <v>4.2</v>
      </c>
      <c r="AP25" s="1">
        <v>3.4</v>
      </c>
      <c r="AQ25" s="1">
        <v>1.875</v>
      </c>
      <c r="AR25" s="1">
        <v>3.4</v>
      </c>
      <c r="AS25" s="1">
        <v>4.8571428571428603</v>
      </c>
      <c r="AT25" s="1" t="s">
        <v>278</v>
      </c>
      <c r="AU25" s="1" t="s">
        <v>98</v>
      </c>
      <c r="AV25" s="1" t="s">
        <v>279</v>
      </c>
      <c r="AW25" s="1" t="s">
        <v>100</v>
      </c>
      <c r="AX25" s="1" t="s">
        <v>137</v>
      </c>
      <c r="AY25" s="1" t="s">
        <v>100</v>
      </c>
      <c r="AZ25" s="1">
        <v>10</v>
      </c>
      <c r="BA25" s="1">
        <v>7</v>
      </c>
      <c r="BB25" s="1">
        <v>0</v>
      </c>
      <c r="BC25" s="1" t="s">
        <v>1427</v>
      </c>
      <c r="BD25" s="1" t="s">
        <v>1404</v>
      </c>
      <c r="BE25" s="1">
        <v>4.4182446502227704</v>
      </c>
      <c r="BF25" s="1">
        <v>4.4209959368741503</v>
      </c>
      <c r="BG25" s="1">
        <v>4.0463196374307699</v>
      </c>
      <c r="BH25" s="1">
        <v>1.47</v>
      </c>
      <c r="BI25">
        <v>5.20753883651268</v>
      </c>
      <c r="BJ25">
        <v>4.3068728238106697</v>
      </c>
      <c r="BK25" t="s">
        <v>1405</v>
      </c>
      <c r="BL25" t="s">
        <v>1408</v>
      </c>
      <c r="BM25">
        <v>212559.40900000001</v>
      </c>
      <c r="BN25">
        <v>3.7375388365126798</v>
      </c>
      <c r="BO25">
        <v>-2.5763196374307702</v>
      </c>
      <c r="BP25">
        <v>10</v>
      </c>
      <c r="BQ25">
        <v>0</v>
      </c>
      <c r="BR25">
        <v>10</v>
      </c>
      <c r="BS25" t="s">
        <v>1400</v>
      </c>
      <c r="BT25" t="s">
        <v>1401</v>
      </c>
      <c r="BU25" t="s">
        <v>1402</v>
      </c>
      <c r="BW25">
        <v>12.766999999999999</v>
      </c>
      <c r="BX25">
        <v>12.257999999999999</v>
      </c>
      <c r="BY25">
        <v>11.925000000000001</v>
      </c>
      <c r="BZ25">
        <v>13.371</v>
      </c>
      <c r="CA25">
        <v>14.125</v>
      </c>
      <c r="CB25">
        <v>13.284000000000001</v>
      </c>
      <c r="CC25">
        <v>12.457000000000001</v>
      </c>
      <c r="CD25">
        <v>11.641</v>
      </c>
      <c r="CE25">
        <v>10.82</v>
      </c>
      <c r="CF25" t="s">
        <v>1428</v>
      </c>
      <c r="CG25">
        <v>0.754</v>
      </c>
      <c r="CH25">
        <v>1.446</v>
      </c>
      <c r="CI25">
        <v>7.54</v>
      </c>
      <c r="CJ25">
        <v>4.82</v>
      </c>
      <c r="CK25">
        <v>7.54</v>
      </c>
      <c r="CL25">
        <v>10</v>
      </c>
    </row>
    <row r="26" spans="1:111" x14ac:dyDescent="0.2">
      <c r="A26" s="3">
        <v>1</v>
      </c>
      <c r="B26" s="3" t="s">
        <v>283</v>
      </c>
      <c r="C26" s="3" t="s">
        <v>284</v>
      </c>
      <c r="D26" s="1"/>
      <c r="E26" s="1">
        <f t="shared" si="0"/>
        <v>4.7958315233127147</v>
      </c>
      <c r="F26" s="1">
        <f t="shared" si="1"/>
        <v>3.2857142857142798</v>
      </c>
      <c r="G26" s="1">
        <f t="shared" si="2"/>
        <v>7</v>
      </c>
      <c r="H26" s="1"/>
      <c r="I26" s="1">
        <v>24</v>
      </c>
      <c r="J26" s="1"/>
      <c r="K26" s="1"/>
      <c r="L26" s="1"/>
      <c r="M26" s="1"/>
      <c r="N26" s="1"/>
      <c r="O26" s="1">
        <v>9.4</v>
      </c>
      <c r="P26" s="1">
        <v>3.1</v>
      </c>
      <c r="Q26" s="1"/>
      <c r="R26" s="1"/>
      <c r="S26" s="1">
        <v>0</v>
      </c>
      <c r="T26" s="1">
        <v>0</v>
      </c>
      <c r="U26" s="1">
        <v>4.2</v>
      </c>
      <c r="V26" s="1">
        <v>9.9</v>
      </c>
      <c r="W26" s="1">
        <v>10</v>
      </c>
      <c r="X26" s="1">
        <v>10</v>
      </c>
      <c r="Y26" s="1">
        <v>7.1</v>
      </c>
      <c r="Z26" s="1">
        <v>2</v>
      </c>
      <c r="AA26" s="1">
        <v>2.2999999999999998</v>
      </c>
      <c r="AB26" s="1"/>
      <c r="AC26" s="1">
        <v>2.2000000000000002</v>
      </c>
      <c r="AD26" s="1">
        <v>0</v>
      </c>
      <c r="AE26" s="1">
        <v>0</v>
      </c>
      <c r="AF26" s="1">
        <v>16</v>
      </c>
      <c r="AG26" s="1">
        <v>7.8</v>
      </c>
      <c r="AH26" s="1">
        <v>16.2</v>
      </c>
      <c r="AI26" s="1">
        <v>4.0999999999999996</v>
      </c>
      <c r="AJ26" s="1">
        <v>13.4</v>
      </c>
      <c r="AK26" s="1">
        <v>6.3</v>
      </c>
      <c r="AL26" s="1">
        <v>4</v>
      </c>
      <c r="AM26" s="1">
        <v>0</v>
      </c>
      <c r="AN26" s="1">
        <v>3.6</v>
      </c>
      <c r="AO26" s="1">
        <v>2.9</v>
      </c>
      <c r="AP26" s="1">
        <v>5</v>
      </c>
      <c r="AQ26" s="1">
        <v>8.5416666666666696</v>
      </c>
      <c r="AR26" s="1">
        <v>2.2999999999999998</v>
      </c>
      <c r="AS26" s="1">
        <v>3.2857142857142798</v>
      </c>
      <c r="AT26" s="1" t="s">
        <v>286</v>
      </c>
      <c r="AU26" s="1" t="s">
        <v>98</v>
      </c>
      <c r="AV26" s="1" t="s">
        <v>287</v>
      </c>
      <c r="AW26" s="1" t="s">
        <v>100</v>
      </c>
      <c r="AX26" s="1" t="s">
        <v>137</v>
      </c>
      <c r="AY26" s="1" t="s">
        <v>100</v>
      </c>
      <c r="AZ26" s="1">
        <v>10</v>
      </c>
      <c r="BA26" s="1">
        <v>7</v>
      </c>
      <c r="BB26" s="1">
        <v>0</v>
      </c>
      <c r="BC26" s="1"/>
      <c r="BD26" s="1"/>
      <c r="BE26" s="1"/>
      <c r="BF26" s="1"/>
      <c r="BG26" s="1"/>
      <c r="BH26" s="1"/>
      <c r="BS26" t="s">
        <v>1400</v>
      </c>
      <c r="BT26" t="s">
        <v>1401</v>
      </c>
      <c r="BU26" t="s">
        <v>1402</v>
      </c>
      <c r="BW26">
        <v>9.9499999999999993</v>
      </c>
      <c r="BX26">
        <v>10.050000000000001</v>
      </c>
      <c r="BY26">
        <v>10.356999999999999</v>
      </c>
      <c r="BZ26">
        <v>14.853</v>
      </c>
      <c r="CA26">
        <v>12.8</v>
      </c>
      <c r="CB26">
        <v>11.821999999999999</v>
      </c>
      <c r="CC26">
        <v>11.502000000000001</v>
      </c>
      <c r="CD26">
        <v>11.183</v>
      </c>
      <c r="CE26">
        <v>10.863</v>
      </c>
      <c r="CF26" t="s">
        <v>1429</v>
      </c>
      <c r="CG26">
        <v>-2.0529999999999999</v>
      </c>
      <c r="CH26">
        <v>4.4960000000000004</v>
      </c>
      <c r="CI26">
        <v>0</v>
      </c>
      <c r="CJ26">
        <v>10</v>
      </c>
      <c r="CK26">
        <v>10</v>
      </c>
    </row>
    <row r="27" spans="1:111" x14ac:dyDescent="0.2">
      <c r="A27" s="3">
        <v>1</v>
      </c>
      <c r="B27" s="3" t="s">
        <v>289</v>
      </c>
      <c r="C27" s="3" t="s">
        <v>290</v>
      </c>
      <c r="D27" s="1"/>
      <c r="E27" s="1">
        <f t="shared" si="0"/>
        <v>3.6055512754639922</v>
      </c>
      <c r="F27" s="1">
        <f t="shared" si="1"/>
        <v>1.8571428571428601</v>
      </c>
      <c r="G27" s="1">
        <f t="shared" si="2"/>
        <v>7</v>
      </c>
      <c r="H27" s="1"/>
      <c r="I27" s="1">
        <v>25</v>
      </c>
      <c r="J27" s="1"/>
      <c r="K27" s="1"/>
      <c r="L27" s="1"/>
      <c r="M27" s="1"/>
      <c r="N27" s="1"/>
      <c r="O27" s="1">
        <v>6.4</v>
      </c>
      <c r="P27" s="1">
        <v>7.8</v>
      </c>
      <c r="Q27" s="1"/>
      <c r="R27" s="1"/>
      <c r="S27" s="1">
        <v>0</v>
      </c>
      <c r="T27" s="1">
        <v>0</v>
      </c>
      <c r="U27" s="1">
        <v>4.7</v>
      </c>
      <c r="V27" s="1">
        <v>7</v>
      </c>
      <c r="W27" s="1">
        <v>2.8</v>
      </c>
      <c r="X27" s="1">
        <v>4.9000000000000004</v>
      </c>
      <c r="Y27" s="1">
        <v>4.8</v>
      </c>
      <c r="Z27" s="1">
        <v>0.9</v>
      </c>
      <c r="AA27" s="1"/>
      <c r="AB27" s="1"/>
      <c r="AC27" s="1">
        <v>0.9</v>
      </c>
      <c r="AD27" s="1">
        <v>0</v>
      </c>
      <c r="AE27" s="1">
        <v>0</v>
      </c>
      <c r="AF27" s="1">
        <v>5</v>
      </c>
      <c r="AG27" s="1">
        <v>1.7</v>
      </c>
      <c r="AH27" s="1">
        <v>16.600000000000001</v>
      </c>
      <c r="AI27" s="1">
        <v>4.4000000000000004</v>
      </c>
      <c r="AJ27" s="1">
        <v>13.3</v>
      </c>
      <c r="AK27" s="1">
        <v>6.3</v>
      </c>
      <c r="AL27" s="1">
        <v>3</v>
      </c>
      <c r="AM27" s="1">
        <v>1.2</v>
      </c>
      <c r="AN27" s="1">
        <v>3.7</v>
      </c>
      <c r="AO27" s="1">
        <v>2.2999999999999998</v>
      </c>
      <c r="AP27" s="1">
        <v>3.6</v>
      </c>
      <c r="AQ27" s="1">
        <v>2.7083333333333299</v>
      </c>
      <c r="AR27" s="1">
        <v>1.3</v>
      </c>
      <c r="AS27" s="1">
        <v>1.8571428571428601</v>
      </c>
      <c r="AT27" s="1" t="s">
        <v>293</v>
      </c>
      <c r="AU27" s="1" t="s">
        <v>100</v>
      </c>
      <c r="AV27" s="1" t="s">
        <v>294</v>
      </c>
      <c r="AW27" s="1" t="s">
        <v>100</v>
      </c>
      <c r="AX27" s="1" t="s">
        <v>102</v>
      </c>
      <c r="AY27" s="1" t="s">
        <v>98</v>
      </c>
      <c r="AZ27" s="1">
        <v>7</v>
      </c>
      <c r="BA27" s="1">
        <v>7</v>
      </c>
      <c r="BB27" s="1">
        <v>7</v>
      </c>
      <c r="BC27" s="1"/>
      <c r="BD27" s="1"/>
      <c r="BE27" s="1"/>
      <c r="BF27" s="1"/>
      <c r="BG27" s="1"/>
      <c r="BH27" s="1"/>
      <c r="BS27" t="s">
        <v>1400</v>
      </c>
      <c r="BT27" t="s">
        <v>1401</v>
      </c>
      <c r="BU27" t="s">
        <v>1402</v>
      </c>
      <c r="BW27">
        <v>9.3000000000000007</v>
      </c>
      <c r="BX27">
        <v>8.6999999999999993</v>
      </c>
      <c r="BY27">
        <v>6.8220000000000001</v>
      </c>
      <c r="BZ27">
        <v>6.8220000000000001</v>
      </c>
      <c r="CA27">
        <v>6.8220000000000001</v>
      </c>
      <c r="CB27">
        <v>6.8220000000000001</v>
      </c>
      <c r="CC27">
        <v>6.8220000000000001</v>
      </c>
      <c r="CD27">
        <v>6.8220000000000001</v>
      </c>
      <c r="CE27">
        <v>6.8220000000000001</v>
      </c>
      <c r="CF27" t="s">
        <v>103</v>
      </c>
      <c r="CG27">
        <v>0</v>
      </c>
      <c r="CH27">
        <v>0</v>
      </c>
      <c r="CI27">
        <v>0</v>
      </c>
      <c r="CJ27">
        <v>0</v>
      </c>
      <c r="CK27">
        <v>0</v>
      </c>
    </row>
    <row r="28" spans="1:111" x14ac:dyDescent="0.2">
      <c r="A28" s="3">
        <v>1</v>
      </c>
      <c r="B28" s="3" t="s">
        <v>296</v>
      </c>
      <c r="C28" s="3" t="s">
        <v>297</v>
      </c>
      <c r="D28" s="1"/>
      <c r="E28" s="1">
        <f t="shared" si="0"/>
        <v>7.4285714285714297</v>
      </c>
      <c r="F28" s="1">
        <f t="shared" si="1"/>
        <v>7.4285714285714297</v>
      </c>
      <c r="G28" s="1">
        <f t="shared" si="2"/>
        <v>0</v>
      </c>
      <c r="H28" s="1"/>
      <c r="I28" s="1">
        <v>26</v>
      </c>
      <c r="J28" s="1"/>
      <c r="K28" s="1"/>
      <c r="L28" s="1"/>
      <c r="M28" s="1"/>
      <c r="N28" s="1"/>
      <c r="O28" s="1">
        <v>4.3</v>
      </c>
      <c r="P28" s="1">
        <v>4.0999999999999996</v>
      </c>
      <c r="Q28" s="1"/>
      <c r="R28" s="1"/>
      <c r="S28" s="1">
        <v>0</v>
      </c>
      <c r="T28" s="1">
        <v>0</v>
      </c>
      <c r="U28" s="1">
        <v>2.8</v>
      </c>
      <c r="V28" s="1">
        <v>1.8</v>
      </c>
      <c r="W28" s="1">
        <v>0.3</v>
      </c>
      <c r="X28" s="1">
        <v>1.1000000000000001</v>
      </c>
      <c r="Y28" s="1">
        <v>1.9</v>
      </c>
      <c r="Z28" s="1">
        <v>5.8</v>
      </c>
      <c r="AA28" s="1">
        <v>7.8</v>
      </c>
      <c r="AB28" s="1">
        <v>0.2</v>
      </c>
      <c r="AC28" s="1">
        <v>4.5999999999999996</v>
      </c>
      <c r="AD28" s="1">
        <v>0</v>
      </c>
      <c r="AE28" s="1">
        <v>0</v>
      </c>
      <c r="AF28" s="1">
        <v>6</v>
      </c>
      <c r="AG28" s="1">
        <v>2.2000000000000002</v>
      </c>
      <c r="AH28" s="1">
        <v>23.3</v>
      </c>
      <c r="AI28" s="1">
        <v>8.9</v>
      </c>
      <c r="AJ28" s="1">
        <v>10.3</v>
      </c>
      <c r="AK28" s="1">
        <v>4.5999999999999996</v>
      </c>
      <c r="AL28" s="1">
        <v>5</v>
      </c>
      <c r="AM28" s="1">
        <v>2.4</v>
      </c>
      <c r="AN28" s="1">
        <v>5.2</v>
      </c>
      <c r="AO28" s="1">
        <v>4.9000000000000004</v>
      </c>
      <c r="AP28" s="1">
        <v>3.4</v>
      </c>
      <c r="AQ28" s="1">
        <v>1.875</v>
      </c>
      <c r="AR28" s="1">
        <v>5.2</v>
      </c>
      <c r="AS28" s="1">
        <v>7.4285714285714297</v>
      </c>
      <c r="AT28" s="1" t="s">
        <v>207</v>
      </c>
      <c r="AU28" s="1" t="s">
        <v>100</v>
      </c>
      <c r="AV28" s="1" t="s">
        <v>105</v>
      </c>
      <c r="AW28" s="1"/>
      <c r="AX28" s="1" t="s">
        <v>137</v>
      </c>
      <c r="AY28" s="1" t="s">
        <v>100</v>
      </c>
      <c r="AZ28" s="1">
        <v>7</v>
      </c>
      <c r="BA28" s="1"/>
      <c r="BB28" s="1">
        <v>0</v>
      </c>
      <c r="BC28" s="1" t="s">
        <v>1430</v>
      </c>
      <c r="BD28" s="1" t="s">
        <v>1404</v>
      </c>
      <c r="BE28" s="1">
        <v>1.5426080021158499</v>
      </c>
      <c r="BF28" s="1">
        <v>1.42226415182929</v>
      </c>
      <c r="BG28" s="1">
        <v>1.29375143507354</v>
      </c>
      <c r="BH28" s="1">
        <v>1.29375143507354</v>
      </c>
      <c r="BI28">
        <v>1.2635759600983401</v>
      </c>
      <c r="BJ28">
        <v>1.1682006639692</v>
      </c>
      <c r="BK28" t="s">
        <v>1405</v>
      </c>
      <c r="BL28" t="s">
        <v>1420</v>
      </c>
      <c r="BM28">
        <v>771.61199999999997</v>
      </c>
      <c r="BN28">
        <v>-3.0175474975199901E-2</v>
      </c>
      <c r="BO28">
        <v>0</v>
      </c>
      <c r="BP28">
        <v>0</v>
      </c>
      <c r="BQ28">
        <v>0</v>
      </c>
      <c r="BR28">
        <v>0</v>
      </c>
      <c r="BS28" t="s">
        <v>1400</v>
      </c>
      <c r="BT28" t="s">
        <v>1401</v>
      </c>
      <c r="BU28" t="s">
        <v>1402</v>
      </c>
      <c r="BW28">
        <v>3.1379999999999999</v>
      </c>
      <c r="CF28" t="s">
        <v>1431</v>
      </c>
    </row>
    <row r="29" spans="1:111" x14ac:dyDescent="0.2">
      <c r="A29" s="3">
        <v>1</v>
      </c>
      <c r="B29" s="3" t="s">
        <v>301</v>
      </c>
      <c r="C29" s="3" t="s">
        <v>302</v>
      </c>
      <c r="D29" s="1"/>
      <c r="E29" s="1">
        <f t="shared" si="0"/>
        <v>6.4285714285714297</v>
      </c>
      <c r="F29" s="1">
        <f t="shared" si="1"/>
        <v>6.4285714285714297</v>
      </c>
      <c r="G29" s="1">
        <f t="shared" si="2"/>
        <v>0</v>
      </c>
      <c r="H29" s="1"/>
      <c r="I29" s="1">
        <v>27</v>
      </c>
      <c r="J29" s="1">
        <v>73.77427204</v>
      </c>
      <c r="K29" s="1">
        <v>9.5329128409999999</v>
      </c>
      <c r="L29" s="1">
        <v>8.8000000000000007</v>
      </c>
      <c r="M29" s="1">
        <v>1.3</v>
      </c>
      <c r="N29" s="1">
        <v>8.8000000000000007</v>
      </c>
      <c r="O29" s="1">
        <v>2</v>
      </c>
      <c r="P29" s="1">
        <v>6.9</v>
      </c>
      <c r="Q29" s="1"/>
      <c r="R29" s="1">
        <v>3.8</v>
      </c>
      <c r="S29" s="1">
        <v>0.1</v>
      </c>
      <c r="T29" s="1">
        <v>0.1</v>
      </c>
      <c r="U29" s="1">
        <v>3.2</v>
      </c>
      <c r="V29" s="1">
        <v>4.4000000000000004</v>
      </c>
      <c r="W29" s="1">
        <v>0.6</v>
      </c>
      <c r="X29" s="1">
        <v>2.5</v>
      </c>
      <c r="Y29" s="1">
        <v>2.9</v>
      </c>
      <c r="Z29" s="1">
        <v>3.7</v>
      </c>
      <c r="AA29" s="1"/>
      <c r="AB29" s="1">
        <v>1.6</v>
      </c>
      <c r="AC29" s="1">
        <v>2.7</v>
      </c>
      <c r="AD29" s="1">
        <v>0</v>
      </c>
      <c r="AE29" s="1">
        <v>0</v>
      </c>
      <c r="AF29" s="1">
        <v>4</v>
      </c>
      <c r="AG29" s="1">
        <v>1.1000000000000001</v>
      </c>
      <c r="AH29" s="1">
        <v>20.3</v>
      </c>
      <c r="AI29" s="1">
        <v>6.9</v>
      </c>
      <c r="AJ29" s="1">
        <v>5.8</v>
      </c>
      <c r="AK29" s="1">
        <v>2.1</v>
      </c>
      <c r="AL29" s="1">
        <v>5</v>
      </c>
      <c r="AM29" s="1">
        <v>5.5</v>
      </c>
      <c r="AN29" s="1">
        <v>4.9000000000000004</v>
      </c>
      <c r="AO29" s="1">
        <v>5.4</v>
      </c>
      <c r="AP29" s="1">
        <v>4.0999999999999996</v>
      </c>
      <c r="AQ29" s="1">
        <v>4.7916666666666696</v>
      </c>
      <c r="AR29" s="1">
        <v>4.5</v>
      </c>
      <c r="AS29" s="1">
        <v>6.4285714285714297</v>
      </c>
      <c r="AT29" s="1" t="s">
        <v>305</v>
      </c>
      <c r="AU29" s="1" t="s">
        <v>98</v>
      </c>
      <c r="AV29" s="1" t="s">
        <v>105</v>
      </c>
      <c r="AW29" s="1"/>
      <c r="AX29" s="1" t="s">
        <v>102</v>
      </c>
      <c r="AY29" s="1" t="s">
        <v>98</v>
      </c>
      <c r="AZ29" s="1">
        <v>10</v>
      </c>
      <c r="BA29" s="1"/>
      <c r="BB29" s="1">
        <v>7</v>
      </c>
      <c r="BC29" s="1" t="s">
        <v>1432</v>
      </c>
      <c r="BD29" s="1" t="s">
        <v>1404</v>
      </c>
      <c r="BE29" s="1">
        <v>13.5387778979508</v>
      </c>
      <c r="BF29" s="1">
        <v>12.704003594721</v>
      </c>
      <c r="BG29" s="1">
        <v>12.421196443012199</v>
      </c>
      <c r="BH29" s="1">
        <v>15.9755511542748</v>
      </c>
      <c r="BI29">
        <v>15.1875582164446</v>
      </c>
      <c r="BJ29">
        <v>14.4577636623009</v>
      </c>
      <c r="BK29" t="s">
        <v>1405</v>
      </c>
      <c r="BL29" t="s">
        <v>1406</v>
      </c>
      <c r="BM29">
        <v>2351.625</v>
      </c>
      <c r="BN29">
        <v>-0.78799293783019997</v>
      </c>
      <c r="BO29">
        <v>3.5543547112625999</v>
      </c>
      <c r="BP29">
        <v>0</v>
      </c>
      <c r="BQ29">
        <v>10</v>
      </c>
      <c r="BR29">
        <v>10</v>
      </c>
      <c r="BS29" t="s">
        <v>1400</v>
      </c>
      <c r="BT29" t="s">
        <v>1401</v>
      </c>
      <c r="BU29" t="s">
        <v>1402</v>
      </c>
      <c r="CF29" t="s">
        <v>103</v>
      </c>
    </row>
    <row r="30" spans="1:111" x14ac:dyDescent="0.2">
      <c r="A30" s="3">
        <v>1</v>
      </c>
      <c r="B30" s="3" t="s">
        <v>307</v>
      </c>
      <c r="C30" s="3" t="s">
        <v>308</v>
      </c>
      <c r="D30" s="1"/>
      <c r="E30" s="1">
        <f t="shared" si="0"/>
        <v>10</v>
      </c>
      <c r="F30" s="1">
        <f t="shared" si="1"/>
        <v>10</v>
      </c>
      <c r="G30" s="1">
        <f t="shared" si="2"/>
        <v>10</v>
      </c>
      <c r="H30" s="1"/>
      <c r="I30" s="1">
        <v>28</v>
      </c>
      <c r="J30" s="1"/>
      <c r="K30" s="1"/>
      <c r="L30" s="1"/>
      <c r="M30" s="1"/>
      <c r="N30" s="1"/>
      <c r="O30" s="1">
        <v>2.9</v>
      </c>
      <c r="P30" s="1">
        <v>4.0999999999999996</v>
      </c>
      <c r="Q30" s="1">
        <v>10</v>
      </c>
      <c r="R30" s="1"/>
      <c r="S30" s="1">
        <v>13.7</v>
      </c>
      <c r="T30" s="1">
        <v>10</v>
      </c>
      <c r="U30" s="1">
        <v>6.8</v>
      </c>
      <c r="V30" s="1">
        <v>3.8</v>
      </c>
      <c r="W30" s="1">
        <v>0.4</v>
      </c>
      <c r="X30" s="1">
        <v>2.1</v>
      </c>
      <c r="Y30" s="1">
        <v>4.4000000000000004</v>
      </c>
      <c r="Z30" s="1">
        <v>10</v>
      </c>
      <c r="AA30" s="1">
        <v>9.6999999999999993</v>
      </c>
      <c r="AB30" s="1">
        <v>6.6</v>
      </c>
      <c r="AC30" s="1">
        <v>8.8000000000000007</v>
      </c>
      <c r="AD30" s="1">
        <v>40</v>
      </c>
      <c r="AE30" s="1">
        <v>10</v>
      </c>
      <c r="AF30" s="1">
        <v>3</v>
      </c>
      <c r="AG30" s="1">
        <v>0.6</v>
      </c>
      <c r="AH30" s="1">
        <v>23.1</v>
      </c>
      <c r="AI30" s="1">
        <v>8.6999999999999993</v>
      </c>
      <c r="AJ30" s="1">
        <v>6</v>
      </c>
      <c r="AK30" s="1">
        <v>2.2000000000000002</v>
      </c>
      <c r="AL30" s="1">
        <v>5</v>
      </c>
      <c r="AM30" s="1">
        <v>7.7</v>
      </c>
      <c r="AN30" s="1">
        <v>5.9</v>
      </c>
      <c r="AO30" s="1">
        <v>7.3</v>
      </c>
      <c r="AP30" s="1">
        <v>5.9</v>
      </c>
      <c r="AQ30" s="1">
        <v>10</v>
      </c>
      <c r="AR30" s="1">
        <v>9.1999999999999993</v>
      </c>
      <c r="AS30" s="1">
        <v>10</v>
      </c>
      <c r="AT30" s="1" t="s">
        <v>311</v>
      </c>
      <c r="AU30" s="1" t="s">
        <v>100</v>
      </c>
      <c r="AV30" s="1" t="s">
        <v>105</v>
      </c>
      <c r="AW30" s="1"/>
      <c r="AX30" s="1" t="s">
        <v>137</v>
      </c>
      <c r="AY30" s="1" t="s">
        <v>100</v>
      </c>
      <c r="AZ30" s="1">
        <v>7</v>
      </c>
      <c r="BA30" s="1"/>
      <c r="BB30" s="1">
        <v>0</v>
      </c>
      <c r="BC30" s="1" t="s">
        <v>1433</v>
      </c>
      <c r="BD30" s="1" t="s">
        <v>1404</v>
      </c>
      <c r="BE30" s="1">
        <v>71.629215801080406</v>
      </c>
      <c r="BF30" s="1">
        <v>71.106854825096903</v>
      </c>
      <c r="BG30" s="1">
        <v>70.743509705304604</v>
      </c>
      <c r="BH30" s="1">
        <v>71.629215308284202</v>
      </c>
      <c r="BI30">
        <v>71.4080458222017</v>
      </c>
      <c r="BJ30">
        <v>70.798435730814901</v>
      </c>
      <c r="BK30" t="s">
        <v>1405</v>
      </c>
      <c r="BL30" t="s">
        <v>1406</v>
      </c>
      <c r="BM30">
        <v>4829.7640000000001</v>
      </c>
      <c r="BN30">
        <v>-0.221169486082502</v>
      </c>
      <c r="BO30">
        <v>0.88570560297959799</v>
      </c>
      <c r="BP30">
        <v>0</v>
      </c>
      <c r="BQ30">
        <v>2.9523520099319902</v>
      </c>
      <c r="BR30">
        <v>2.9523520099319902</v>
      </c>
      <c r="BS30" t="s">
        <v>1400</v>
      </c>
      <c r="BT30" t="s">
        <v>1401</v>
      </c>
      <c r="BU30" t="s">
        <v>1402</v>
      </c>
      <c r="CF30" t="s">
        <v>103</v>
      </c>
      <c r="CM30">
        <v>81.955703735351605</v>
      </c>
      <c r="CS30">
        <v>23.1442680358887</v>
      </c>
      <c r="CV30">
        <v>20.5749206542969</v>
      </c>
      <c r="CX30">
        <v>30.9463500976562</v>
      </c>
      <c r="DC30">
        <v>8.2299682617187493</v>
      </c>
      <c r="DF30">
        <v>8.2299682617187493</v>
      </c>
      <c r="DG30">
        <v>10</v>
      </c>
    </row>
    <row r="31" spans="1:111" x14ac:dyDescent="0.2">
      <c r="A31" s="3">
        <v>1</v>
      </c>
      <c r="B31" s="3" t="s">
        <v>314</v>
      </c>
      <c r="C31" s="3" t="s">
        <v>315</v>
      </c>
      <c r="D31" s="1"/>
      <c r="E31" s="1">
        <f t="shared" si="0"/>
        <v>1.9999999999999991</v>
      </c>
      <c r="F31" s="1">
        <f t="shared" si="1"/>
        <v>0.57142857142857095</v>
      </c>
      <c r="G31" s="1">
        <f t="shared" si="2"/>
        <v>7</v>
      </c>
      <c r="H31" s="1"/>
      <c r="I31" s="1">
        <v>29</v>
      </c>
      <c r="J31" s="1"/>
      <c r="K31" s="1"/>
      <c r="L31" s="1"/>
      <c r="M31" s="1"/>
      <c r="N31" s="1"/>
      <c r="O31" s="1">
        <v>2</v>
      </c>
      <c r="P31" s="1">
        <v>8.1</v>
      </c>
      <c r="Q31" s="1">
        <v>0</v>
      </c>
      <c r="R31" s="1">
        <v>1.2</v>
      </c>
      <c r="S31" s="1">
        <v>0.5</v>
      </c>
      <c r="T31" s="1">
        <v>0.5</v>
      </c>
      <c r="U31" s="1">
        <v>2.4</v>
      </c>
      <c r="V31" s="1">
        <v>2.8</v>
      </c>
      <c r="W31" s="1">
        <v>1.2</v>
      </c>
      <c r="X31" s="1">
        <v>2</v>
      </c>
      <c r="Y31" s="1">
        <v>2.2000000000000002</v>
      </c>
      <c r="Z31" s="1">
        <v>0</v>
      </c>
      <c r="AA31" s="1"/>
      <c r="AB31" s="1">
        <v>0.1</v>
      </c>
      <c r="AC31" s="1">
        <v>0</v>
      </c>
      <c r="AD31" s="1">
        <v>0</v>
      </c>
      <c r="AE31" s="1">
        <v>0</v>
      </c>
      <c r="AF31" s="1">
        <v>17</v>
      </c>
      <c r="AG31" s="1">
        <v>8.3000000000000007</v>
      </c>
      <c r="AH31" s="1">
        <v>9.8000000000000007</v>
      </c>
      <c r="AI31" s="1">
        <v>0</v>
      </c>
      <c r="AJ31" s="1">
        <v>7.6</v>
      </c>
      <c r="AK31" s="1">
        <v>3.1</v>
      </c>
      <c r="AL31" s="1">
        <v>3</v>
      </c>
      <c r="AM31" s="1">
        <v>0.1</v>
      </c>
      <c r="AN31" s="1">
        <v>1.6</v>
      </c>
      <c r="AO31" s="1">
        <v>0.8</v>
      </c>
      <c r="AP31" s="1">
        <v>1.5</v>
      </c>
      <c r="AQ31" s="1">
        <v>0</v>
      </c>
      <c r="AR31" s="1">
        <v>0.4</v>
      </c>
      <c r="AS31" s="1">
        <v>0.57142857142857095</v>
      </c>
      <c r="AT31" s="1" t="s">
        <v>318</v>
      </c>
      <c r="AU31" s="1" t="s">
        <v>98</v>
      </c>
      <c r="AV31" s="1" t="s">
        <v>319</v>
      </c>
      <c r="AW31" s="1" t="s">
        <v>100</v>
      </c>
      <c r="AX31" s="1" t="s">
        <v>183</v>
      </c>
      <c r="AY31" s="1" t="s">
        <v>96</v>
      </c>
      <c r="AZ31" s="1">
        <v>10</v>
      </c>
      <c r="BA31" s="1">
        <v>7</v>
      </c>
      <c r="BB31" s="1">
        <v>3</v>
      </c>
      <c r="BC31" s="1"/>
      <c r="BD31" s="1"/>
      <c r="BE31" s="1"/>
      <c r="BF31" s="1"/>
      <c r="BG31" s="1"/>
      <c r="BH31" s="1"/>
      <c r="BS31" t="s">
        <v>1400</v>
      </c>
      <c r="BT31" t="s">
        <v>1401</v>
      </c>
      <c r="BU31" t="s">
        <v>1402</v>
      </c>
      <c r="BW31">
        <v>6.3419999999999996</v>
      </c>
      <c r="BX31">
        <v>5.8330000000000002</v>
      </c>
      <c r="BY31">
        <v>5.6669999999999998</v>
      </c>
      <c r="BZ31">
        <v>9.7479999999999993</v>
      </c>
      <c r="CA31">
        <v>7.9219999999999997</v>
      </c>
      <c r="CB31">
        <v>6.9349999999999996</v>
      </c>
      <c r="CC31">
        <v>6.6379999999999999</v>
      </c>
      <c r="CD31">
        <v>6.5430000000000001</v>
      </c>
      <c r="CE31">
        <v>6.5129999999999999</v>
      </c>
      <c r="CF31" t="s">
        <v>1434</v>
      </c>
      <c r="CG31">
        <v>-1.8260000000000001</v>
      </c>
      <c r="CH31">
        <v>4.0810000000000004</v>
      </c>
      <c r="CI31">
        <v>0</v>
      </c>
      <c r="CJ31">
        <v>10</v>
      </c>
      <c r="CK31">
        <v>10</v>
      </c>
    </row>
    <row r="32" spans="1:111" x14ac:dyDescent="0.2">
      <c r="A32" s="3">
        <v>1</v>
      </c>
      <c r="B32" s="3" t="s">
        <v>320</v>
      </c>
      <c r="C32" s="3" t="s">
        <v>321</v>
      </c>
      <c r="D32" s="1"/>
      <c r="E32" s="1">
        <f t="shared" si="0"/>
        <v>0.42857142857142899</v>
      </c>
      <c r="F32" s="1">
        <f t="shared" si="1"/>
        <v>0.42857142857142899</v>
      </c>
      <c r="G32" s="1">
        <f t="shared" si="2"/>
        <v>0</v>
      </c>
      <c r="H32" s="1"/>
      <c r="I32" s="1">
        <v>30</v>
      </c>
      <c r="J32" s="1"/>
      <c r="K32" s="1"/>
      <c r="L32" s="1"/>
      <c r="M32" s="1"/>
      <c r="N32" s="1"/>
      <c r="O32" s="1">
        <v>7.8</v>
      </c>
      <c r="P32" s="1">
        <v>7.4</v>
      </c>
      <c r="Q32" s="1"/>
      <c r="R32" s="1"/>
      <c r="S32" s="1">
        <v>1.4</v>
      </c>
      <c r="T32" s="1">
        <v>1.4</v>
      </c>
      <c r="U32" s="1">
        <v>5.5</v>
      </c>
      <c r="V32" s="1">
        <v>6.9</v>
      </c>
      <c r="W32" s="1">
        <v>10</v>
      </c>
      <c r="X32" s="1">
        <v>8.5</v>
      </c>
      <c r="Y32" s="1">
        <v>7</v>
      </c>
      <c r="Z32" s="1">
        <v>0</v>
      </c>
      <c r="AA32" s="1"/>
      <c r="AB32" s="1">
        <v>0</v>
      </c>
      <c r="AC32" s="1">
        <v>0</v>
      </c>
      <c r="AD32" s="1">
        <v>0</v>
      </c>
      <c r="AE32" s="1">
        <v>0</v>
      </c>
      <c r="AF32" s="1">
        <v>19</v>
      </c>
      <c r="AG32" s="1">
        <v>9.4</v>
      </c>
      <c r="AH32" s="1">
        <v>8.6</v>
      </c>
      <c r="AI32" s="1">
        <v>0</v>
      </c>
      <c r="AJ32" s="1">
        <v>5.7</v>
      </c>
      <c r="AK32" s="1">
        <v>2.1</v>
      </c>
      <c r="AL32" s="1">
        <v>3</v>
      </c>
      <c r="AM32" s="1">
        <v>0.1</v>
      </c>
      <c r="AN32" s="1">
        <v>1.3</v>
      </c>
      <c r="AO32" s="1">
        <v>0.7</v>
      </c>
      <c r="AP32" s="1">
        <v>3.8</v>
      </c>
      <c r="AQ32" s="1">
        <v>3.5416666666666701</v>
      </c>
      <c r="AR32" s="1">
        <v>0.3</v>
      </c>
      <c r="AS32" s="1">
        <v>0.42857142857142899</v>
      </c>
      <c r="AT32" s="1" t="s">
        <v>323</v>
      </c>
      <c r="AU32" s="1" t="s">
        <v>98</v>
      </c>
      <c r="AV32" s="1" t="s">
        <v>324</v>
      </c>
      <c r="AW32" s="1" t="s">
        <v>96</v>
      </c>
      <c r="AX32" s="1" t="s">
        <v>183</v>
      </c>
      <c r="AY32" s="1" t="s">
        <v>96</v>
      </c>
      <c r="AZ32" s="1">
        <v>10</v>
      </c>
      <c r="BA32" s="1">
        <v>0</v>
      </c>
      <c r="BB32" s="1">
        <v>3</v>
      </c>
      <c r="BC32" s="1"/>
      <c r="BD32" s="1"/>
      <c r="BE32" s="1"/>
      <c r="BF32" s="1"/>
      <c r="BG32" s="1"/>
      <c r="BH32" s="1"/>
      <c r="BS32" t="s">
        <v>1400</v>
      </c>
      <c r="BT32" t="s">
        <v>1401</v>
      </c>
      <c r="BU32" t="s">
        <v>1402</v>
      </c>
      <c r="BW32">
        <v>3.0880000000000001</v>
      </c>
      <c r="BX32">
        <v>2.5470000000000002</v>
      </c>
      <c r="BY32">
        <v>2.306</v>
      </c>
      <c r="BZ32">
        <v>3.2109999999999999</v>
      </c>
      <c r="CA32">
        <v>3.55</v>
      </c>
      <c r="CB32">
        <v>3.4</v>
      </c>
      <c r="CC32">
        <v>3.2</v>
      </c>
      <c r="CD32">
        <v>3</v>
      </c>
      <c r="CE32">
        <v>3</v>
      </c>
      <c r="CF32" t="s">
        <v>1435</v>
      </c>
      <c r="CG32">
        <v>0.33900000000000002</v>
      </c>
      <c r="CH32">
        <v>0.90500000000000003</v>
      </c>
      <c r="CI32">
        <v>3.39</v>
      </c>
      <c r="CJ32">
        <v>3.0166666666666702</v>
      </c>
      <c r="CK32">
        <v>3.39</v>
      </c>
    </row>
    <row r="33" spans="1:111" x14ac:dyDescent="0.2">
      <c r="A33" s="3">
        <v>1</v>
      </c>
      <c r="B33" s="3" t="s">
        <v>325</v>
      </c>
      <c r="C33" s="3" t="s">
        <v>326</v>
      </c>
      <c r="D33" s="1"/>
      <c r="E33" s="1">
        <f t="shared" si="0"/>
        <v>4.1231056256176615</v>
      </c>
      <c r="F33" s="1">
        <f t="shared" si="1"/>
        <v>2.4285714285714302</v>
      </c>
      <c r="G33" s="1">
        <f t="shared" si="2"/>
        <v>7</v>
      </c>
      <c r="H33" s="1"/>
      <c r="I33" s="1">
        <v>31</v>
      </c>
      <c r="J33" s="1">
        <v>87.722474270000006</v>
      </c>
      <c r="K33" s="1">
        <v>15.26222355</v>
      </c>
      <c r="L33" s="1">
        <v>10</v>
      </c>
      <c r="M33" s="1">
        <v>2.5</v>
      </c>
      <c r="N33" s="1">
        <v>10</v>
      </c>
      <c r="O33" s="1">
        <v>4.7</v>
      </c>
      <c r="P33" s="1">
        <v>8.8000000000000007</v>
      </c>
      <c r="Q33" s="1">
        <v>1</v>
      </c>
      <c r="R33" s="1"/>
      <c r="S33" s="1">
        <v>0.1</v>
      </c>
      <c r="T33" s="1">
        <v>0.1</v>
      </c>
      <c r="U33" s="1">
        <v>3.7</v>
      </c>
      <c r="V33" s="1">
        <v>4.7</v>
      </c>
      <c r="W33" s="1">
        <v>1.9</v>
      </c>
      <c r="X33" s="1">
        <v>3.3</v>
      </c>
      <c r="Y33" s="1">
        <v>3.5</v>
      </c>
      <c r="Z33" s="1">
        <v>1.1000000000000001</v>
      </c>
      <c r="AA33" s="1"/>
      <c r="AB33" s="1">
        <v>0</v>
      </c>
      <c r="AC33" s="1">
        <v>0.6</v>
      </c>
      <c r="AD33" s="1">
        <v>0</v>
      </c>
      <c r="AE33" s="1">
        <v>0</v>
      </c>
      <c r="AF33" s="1">
        <v>12</v>
      </c>
      <c r="AG33" s="1">
        <v>5.6</v>
      </c>
      <c r="AH33" s="1">
        <v>12.4</v>
      </c>
      <c r="AI33" s="1">
        <v>1.6</v>
      </c>
      <c r="AJ33" s="1">
        <v>8.6</v>
      </c>
      <c r="AK33" s="1">
        <v>3.7</v>
      </c>
      <c r="AL33" s="1">
        <v>3</v>
      </c>
      <c r="AM33" s="1">
        <v>0.3</v>
      </c>
      <c r="AN33" s="1">
        <v>2.2000000000000002</v>
      </c>
      <c r="AO33" s="1">
        <v>4.2</v>
      </c>
      <c r="AP33" s="1">
        <v>3.9</v>
      </c>
      <c r="AQ33" s="1">
        <v>3.9583333333333299</v>
      </c>
      <c r="AR33" s="1">
        <v>1.7</v>
      </c>
      <c r="AS33" s="1">
        <v>2.4285714285714302</v>
      </c>
      <c r="AT33" s="1" t="s">
        <v>328</v>
      </c>
      <c r="AU33" s="1" t="s">
        <v>98</v>
      </c>
      <c r="AV33" s="1" t="s">
        <v>329</v>
      </c>
      <c r="AW33" s="1" t="s">
        <v>100</v>
      </c>
      <c r="AX33" s="1" t="s">
        <v>183</v>
      </c>
      <c r="AY33" s="1" t="s">
        <v>96</v>
      </c>
      <c r="AZ33" s="1">
        <v>10</v>
      </c>
      <c r="BA33" s="1">
        <v>7</v>
      </c>
      <c r="BB33" s="1">
        <v>3</v>
      </c>
      <c r="BC33" s="1" t="s">
        <v>1436</v>
      </c>
      <c r="BD33" s="1" t="s">
        <v>1404</v>
      </c>
      <c r="BE33" s="1">
        <v>0.28759121651198499</v>
      </c>
      <c r="BF33" s="1">
        <v>0.27670615383116898</v>
      </c>
      <c r="BG33" s="1">
        <v>0.27732132220873501</v>
      </c>
      <c r="BH33" s="1">
        <v>2.4065614770511699E-2</v>
      </c>
      <c r="BI33">
        <v>2.1787210000000001E-2</v>
      </c>
      <c r="BJ33">
        <v>2.1018249999999999E-2</v>
      </c>
      <c r="BK33" t="s">
        <v>1405</v>
      </c>
      <c r="BL33" t="s">
        <v>1408</v>
      </c>
      <c r="BM33">
        <v>19116.208999999999</v>
      </c>
      <c r="BN33">
        <v>-2.2784047705116999E-3</v>
      </c>
      <c r="BO33">
        <v>-0.25325570743822301</v>
      </c>
      <c r="BP33">
        <v>0</v>
      </c>
      <c r="BQ33">
        <v>0</v>
      </c>
      <c r="BR33">
        <v>0</v>
      </c>
      <c r="BS33" t="s">
        <v>1400</v>
      </c>
      <c r="BT33" t="s">
        <v>1401</v>
      </c>
      <c r="BU33" t="s">
        <v>1402</v>
      </c>
      <c r="BW33">
        <v>6.9649999999999999</v>
      </c>
      <c r="BX33">
        <v>7.3769999999999998</v>
      </c>
      <c r="BY33">
        <v>7.2229999999999999</v>
      </c>
      <c r="BZ33">
        <v>11.441000000000001</v>
      </c>
      <c r="CA33">
        <v>10.196</v>
      </c>
      <c r="CB33">
        <v>9.0960000000000001</v>
      </c>
      <c r="CC33">
        <v>8.157</v>
      </c>
      <c r="CD33">
        <v>7.4770000000000003</v>
      </c>
      <c r="CE33">
        <v>7.0750000000000002</v>
      </c>
      <c r="CF33" t="s">
        <v>1437</v>
      </c>
      <c r="CG33">
        <v>-1.2450000000000001</v>
      </c>
      <c r="CH33">
        <v>4.218</v>
      </c>
      <c r="CI33">
        <v>0</v>
      </c>
      <c r="CJ33">
        <v>10</v>
      </c>
      <c r="CK33">
        <v>10</v>
      </c>
      <c r="CL33">
        <v>10</v>
      </c>
      <c r="CM33">
        <v>46.599803924560497</v>
      </c>
      <c r="CO33">
        <v>97.820983886718807</v>
      </c>
      <c r="CR33">
        <v>77.883148193359403</v>
      </c>
      <c r="CS33">
        <v>5.0448136329650897</v>
      </c>
      <c r="CV33">
        <v>4.0733942985534703</v>
      </c>
      <c r="CX33">
        <v>0.70142793655395497</v>
      </c>
      <c r="CY33">
        <v>6.80513620376587</v>
      </c>
      <c r="DB33">
        <v>1.0895080566406199</v>
      </c>
      <c r="DC33">
        <v>1.62935771942139</v>
      </c>
      <c r="DE33">
        <v>1.3610272407531701</v>
      </c>
      <c r="DF33">
        <v>1.3599643389384</v>
      </c>
      <c r="DG33">
        <v>1.94280619848342</v>
      </c>
    </row>
    <row r="34" spans="1:111" x14ac:dyDescent="0.2">
      <c r="A34" s="3">
        <v>1</v>
      </c>
      <c r="B34" s="3" t="s">
        <v>331</v>
      </c>
      <c r="C34" s="3" t="s">
        <v>332</v>
      </c>
      <c r="D34" s="1"/>
      <c r="E34" s="1">
        <f t="shared" si="0"/>
        <v>3.71428571428571</v>
      </c>
      <c r="F34" s="1">
        <f t="shared" si="1"/>
        <v>3.71428571428571</v>
      </c>
      <c r="G34" s="1">
        <f t="shared" si="2"/>
        <v>0</v>
      </c>
      <c r="H34" s="1"/>
      <c r="I34" s="1">
        <v>32</v>
      </c>
      <c r="J34" s="1">
        <v>63.053000709999999</v>
      </c>
      <c r="K34" s="1">
        <v>36.829963050000003</v>
      </c>
      <c r="L34" s="1">
        <v>7.5</v>
      </c>
      <c r="M34" s="1">
        <v>7</v>
      </c>
      <c r="N34" s="1">
        <v>7.5</v>
      </c>
      <c r="O34" s="1">
        <v>7.2</v>
      </c>
      <c r="P34" s="1">
        <v>5.9</v>
      </c>
      <c r="Q34" s="1">
        <v>2.8</v>
      </c>
      <c r="R34" s="1"/>
      <c r="S34" s="1">
        <v>0</v>
      </c>
      <c r="T34" s="1">
        <v>0</v>
      </c>
      <c r="U34" s="1">
        <v>4</v>
      </c>
      <c r="V34" s="1">
        <v>3</v>
      </c>
      <c r="W34" s="1">
        <v>1</v>
      </c>
      <c r="X34" s="1">
        <v>2</v>
      </c>
      <c r="Y34" s="1">
        <v>3</v>
      </c>
      <c r="Z34" s="1">
        <v>3</v>
      </c>
      <c r="AA34" s="1">
        <v>5</v>
      </c>
      <c r="AB34" s="1">
        <v>0.1</v>
      </c>
      <c r="AC34" s="1">
        <v>2.7</v>
      </c>
      <c r="AD34" s="1">
        <v>0</v>
      </c>
      <c r="AE34" s="1">
        <v>0</v>
      </c>
      <c r="AF34" s="1">
        <v>11</v>
      </c>
      <c r="AG34" s="1">
        <v>5</v>
      </c>
      <c r="AH34" s="1">
        <v>17</v>
      </c>
      <c r="AI34" s="1">
        <v>4.7</v>
      </c>
      <c r="AJ34" s="1">
        <v>9.1999999999999993</v>
      </c>
      <c r="AK34" s="1">
        <v>4</v>
      </c>
      <c r="AL34" s="1">
        <v>4</v>
      </c>
      <c r="AM34" s="1">
        <v>1.1000000000000001</v>
      </c>
      <c r="AN34" s="1">
        <v>3.5</v>
      </c>
      <c r="AO34" s="1">
        <v>4.5</v>
      </c>
      <c r="AP34" s="1">
        <v>3.8</v>
      </c>
      <c r="AQ34" s="1">
        <v>3.5416666666666701</v>
      </c>
      <c r="AR34" s="1">
        <v>2.6</v>
      </c>
      <c r="AS34" s="1">
        <v>3.71428571428571</v>
      </c>
      <c r="AT34" s="1" t="s">
        <v>335</v>
      </c>
      <c r="AU34" s="1" t="s">
        <v>96</v>
      </c>
      <c r="AV34" s="1" t="s">
        <v>225</v>
      </c>
      <c r="AW34" s="1" t="s">
        <v>96</v>
      </c>
      <c r="AX34" s="1" t="s">
        <v>137</v>
      </c>
      <c r="AY34" s="1" t="s">
        <v>100</v>
      </c>
      <c r="AZ34" s="1">
        <v>0</v>
      </c>
      <c r="BA34" s="1">
        <v>0</v>
      </c>
      <c r="BB34" s="1">
        <v>0</v>
      </c>
      <c r="BC34" s="1" t="s">
        <v>1438</v>
      </c>
      <c r="BD34" s="1" t="s">
        <v>1404</v>
      </c>
      <c r="BE34" s="1">
        <v>0.42220503879999999</v>
      </c>
      <c r="BF34" s="1">
        <v>0.34258108560575301</v>
      </c>
      <c r="BG34" s="1">
        <v>0.28383570662329899</v>
      </c>
      <c r="BH34" s="1">
        <v>0.26529286097983401</v>
      </c>
      <c r="BI34">
        <v>0.21104809806477201</v>
      </c>
      <c r="BJ34">
        <v>0.18176852899825899</v>
      </c>
      <c r="BK34" t="s">
        <v>1405</v>
      </c>
      <c r="BL34" t="s">
        <v>1439</v>
      </c>
      <c r="BM34">
        <v>1439323.774</v>
      </c>
      <c r="BN34">
        <v>-5.4244762915062E-2</v>
      </c>
      <c r="BO34">
        <v>-1.8542845643464999E-2</v>
      </c>
      <c r="BP34">
        <v>0</v>
      </c>
      <c r="BQ34">
        <v>0</v>
      </c>
      <c r="BR34">
        <v>0</v>
      </c>
      <c r="BS34" t="s">
        <v>1400</v>
      </c>
      <c r="BT34" t="s">
        <v>1401</v>
      </c>
      <c r="BU34" t="s">
        <v>1402</v>
      </c>
      <c r="BW34">
        <v>3.9</v>
      </c>
      <c r="BX34">
        <v>3.8</v>
      </c>
      <c r="BY34">
        <v>3.62</v>
      </c>
      <c r="BZ34">
        <v>3.8</v>
      </c>
      <c r="CA34">
        <v>3.64</v>
      </c>
      <c r="CB34">
        <v>3.6</v>
      </c>
      <c r="CC34">
        <v>3.54</v>
      </c>
      <c r="CD34">
        <v>3.53</v>
      </c>
      <c r="CE34">
        <v>3.51</v>
      </c>
      <c r="CF34" t="s">
        <v>1440</v>
      </c>
      <c r="CG34">
        <v>-0.16</v>
      </c>
      <c r="CH34">
        <v>0.18</v>
      </c>
      <c r="CI34">
        <v>0</v>
      </c>
      <c r="CJ34">
        <v>0.6</v>
      </c>
      <c r="CK34">
        <v>0.6</v>
      </c>
      <c r="CL34">
        <v>0</v>
      </c>
    </row>
    <row r="35" spans="1:111" x14ac:dyDescent="0.2">
      <c r="A35" s="3">
        <v>1</v>
      </c>
      <c r="B35" s="3" t="s">
        <v>337</v>
      </c>
      <c r="C35" s="3" t="s">
        <v>338</v>
      </c>
      <c r="D35" s="1"/>
      <c r="E35" s="1">
        <f t="shared" ref="E35:E66" si="3">IFERROR(GEOMEAN(F35, G35), MAX(F35, G35))</f>
        <v>8.5714285714285694</v>
      </c>
      <c r="F35" s="1">
        <f t="shared" ref="F35:F66" si="4">MAX(AS35)</f>
        <v>8.5714285714285694</v>
      </c>
      <c r="G35" s="1">
        <f t="shared" ref="G35:G66" si="5">MAX(BA35, DG35)</f>
        <v>0</v>
      </c>
      <c r="H35" s="1"/>
      <c r="I35" s="1">
        <v>33</v>
      </c>
      <c r="J35" s="1">
        <v>32.862669799999999</v>
      </c>
      <c r="K35" s="1">
        <v>47.543190150000001</v>
      </c>
      <c r="L35" s="1">
        <v>3.8</v>
      </c>
      <c r="M35" s="1">
        <v>9.1999999999999993</v>
      </c>
      <c r="N35" s="1">
        <v>3.8</v>
      </c>
      <c r="O35" s="1">
        <v>6.3</v>
      </c>
      <c r="P35" s="1">
        <v>5.0999999999999996</v>
      </c>
      <c r="Q35" s="1">
        <v>6.6</v>
      </c>
      <c r="R35" s="1">
        <v>7.7</v>
      </c>
      <c r="S35" s="1">
        <v>1.2</v>
      </c>
      <c r="T35" s="1">
        <v>1.2</v>
      </c>
      <c r="U35" s="1">
        <v>5.4</v>
      </c>
      <c r="V35" s="1">
        <v>6.4</v>
      </c>
      <c r="W35" s="1">
        <v>0.9</v>
      </c>
      <c r="X35" s="1">
        <v>3.7</v>
      </c>
      <c r="Y35" s="1">
        <v>4.5</v>
      </c>
      <c r="Z35" s="1">
        <v>8.1999999999999993</v>
      </c>
      <c r="AA35" s="1">
        <v>8.8000000000000007</v>
      </c>
      <c r="AB35" s="1">
        <v>2.8</v>
      </c>
      <c r="AC35" s="1">
        <v>6.6</v>
      </c>
      <c r="AD35" s="1">
        <v>0.2</v>
      </c>
      <c r="AE35" s="1">
        <v>0.1</v>
      </c>
      <c r="AF35" s="1">
        <v>3</v>
      </c>
      <c r="AG35" s="1">
        <v>0.6</v>
      </c>
      <c r="AH35" s="1">
        <v>29.1</v>
      </c>
      <c r="AI35" s="1">
        <v>10</v>
      </c>
      <c r="AJ35" s="1">
        <v>2.4</v>
      </c>
      <c r="AK35" s="1">
        <v>0.2</v>
      </c>
      <c r="AL35" s="1">
        <v>8</v>
      </c>
      <c r="AM35" s="1">
        <v>2.7</v>
      </c>
      <c r="AN35" s="1">
        <v>5.2</v>
      </c>
      <c r="AO35" s="1">
        <v>5.2</v>
      </c>
      <c r="AP35" s="1">
        <v>4.9000000000000004</v>
      </c>
      <c r="AQ35" s="1">
        <v>8.125</v>
      </c>
      <c r="AR35" s="1">
        <v>6</v>
      </c>
      <c r="AS35" s="1">
        <v>8.5714285714285694</v>
      </c>
      <c r="AT35" s="1" t="s">
        <v>245</v>
      </c>
      <c r="AU35" s="1" t="s">
        <v>96</v>
      </c>
      <c r="AV35" s="1" t="s">
        <v>105</v>
      </c>
      <c r="AW35" s="1"/>
      <c r="AX35" s="1" t="s">
        <v>137</v>
      </c>
      <c r="AY35" s="1" t="s">
        <v>100</v>
      </c>
      <c r="AZ35" s="1">
        <v>0</v>
      </c>
      <c r="BA35" s="1"/>
      <c r="BB35" s="1">
        <v>0</v>
      </c>
      <c r="BC35" s="1" t="s">
        <v>1441</v>
      </c>
      <c r="BD35" s="1" t="s">
        <v>1404</v>
      </c>
      <c r="BE35" s="1">
        <v>27.8592640441647</v>
      </c>
      <c r="BF35" s="1">
        <v>27.011803825493999</v>
      </c>
      <c r="BG35" s="1">
        <v>26.168398782014801</v>
      </c>
      <c r="BH35" s="1">
        <v>26.3006502304825</v>
      </c>
      <c r="BI35">
        <v>25.834256877536198</v>
      </c>
      <c r="BJ35">
        <v>25.2825474987355</v>
      </c>
      <c r="BK35" t="s">
        <v>1405</v>
      </c>
      <c r="BL35" t="s">
        <v>1406</v>
      </c>
      <c r="BM35">
        <v>26378.275000000001</v>
      </c>
      <c r="BN35">
        <v>-0.46639335294630202</v>
      </c>
      <c r="BO35">
        <v>0.13225144846769901</v>
      </c>
      <c r="BP35">
        <v>0</v>
      </c>
      <c r="BQ35">
        <v>0.44083816155899502</v>
      </c>
      <c r="BR35">
        <v>0.44083816155899502</v>
      </c>
      <c r="BS35" t="s">
        <v>1400</v>
      </c>
      <c r="BT35" t="s">
        <v>1401</v>
      </c>
      <c r="BU35" t="s">
        <v>1402</v>
      </c>
      <c r="CF35" t="s">
        <v>103</v>
      </c>
    </row>
    <row r="36" spans="1:111" x14ac:dyDescent="0.2">
      <c r="A36" s="3">
        <v>1</v>
      </c>
      <c r="B36" s="3" t="s">
        <v>343</v>
      </c>
      <c r="C36" s="3" t="s">
        <v>344</v>
      </c>
      <c r="D36" s="1"/>
      <c r="E36" s="1">
        <f t="shared" si="3"/>
        <v>8.4285714285714306</v>
      </c>
      <c r="F36" s="1">
        <f t="shared" si="4"/>
        <v>8.4285714285714306</v>
      </c>
      <c r="G36" s="1">
        <f t="shared" si="5"/>
        <v>0</v>
      </c>
      <c r="H36" s="1"/>
      <c r="I36" s="1">
        <v>34</v>
      </c>
      <c r="J36" s="1">
        <v>5.0134491959999998</v>
      </c>
      <c r="K36" s="1">
        <v>3.1276125220000002</v>
      </c>
      <c r="L36" s="1">
        <v>0.4</v>
      </c>
      <c r="M36" s="1">
        <v>0</v>
      </c>
      <c r="N36" s="1">
        <v>0.4</v>
      </c>
      <c r="O36" s="1">
        <v>5.8</v>
      </c>
      <c r="P36" s="1">
        <v>5.6</v>
      </c>
      <c r="Q36" s="1">
        <v>2.4</v>
      </c>
      <c r="R36" s="1">
        <v>7.5</v>
      </c>
      <c r="S36" s="1">
        <v>4.2</v>
      </c>
      <c r="T36" s="1">
        <v>4.2</v>
      </c>
      <c r="U36" s="1">
        <v>5.0999999999999996</v>
      </c>
      <c r="V36" s="1">
        <v>6.3</v>
      </c>
      <c r="W36" s="1">
        <v>0.7</v>
      </c>
      <c r="X36" s="1">
        <v>3.5</v>
      </c>
      <c r="Y36" s="1">
        <v>4.3</v>
      </c>
      <c r="Z36" s="1">
        <v>6.9</v>
      </c>
      <c r="AA36" s="1">
        <v>8.9</v>
      </c>
      <c r="AB36" s="1">
        <v>2.4</v>
      </c>
      <c r="AC36" s="1">
        <v>6.1</v>
      </c>
      <c r="AD36" s="1">
        <v>1.9</v>
      </c>
      <c r="AE36" s="1">
        <v>1</v>
      </c>
      <c r="AF36" s="1">
        <v>3</v>
      </c>
      <c r="AG36" s="1">
        <v>0.6</v>
      </c>
      <c r="AH36" s="1">
        <v>21.6</v>
      </c>
      <c r="AI36" s="1">
        <v>7.7</v>
      </c>
      <c r="AJ36" s="1">
        <v>6</v>
      </c>
      <c r="AK36" s="1">
        <v>2.2000000000000002</v>
      </c>
      <c r="AL36" s="1">
        <v>8</v>
      </c>
      <c r="AM36" s="1">
        <v>3.5</v>
      </c>
      <c r="AN36" s="1">
        <v>5.4</v>
      </c>
      <c r="AO36" s="1">
        <v>3.9</v>
      </c>
      <c r="AP36" s="1">
        <v>4.0999999999999996</v>
      </c>
      <c r="AQ36" s="1">
        <v>4.7916666666666696</v>
      </c>
      <c r="AR36" s="1">
        <v>5.9</v>
      </c>
      <c r="AS36" s="1">
        <v>8.4285714285714306</v>
      </c>
      <c r="AT36" s="1" t="s">
        <v>347</v>
      </c>
      <c r="AU36" s="1" t="s">
        <v>98</v>
      </c>
      <c r="AV36" s="1" t="s">
        <v>105</v>
      </c>
      <c r="AW36" s="1"/>
      <c r="AX36" s="1" t="s">
        <v>102</v>
      </c>
      <c r="AY36" s="1" t="s">
        <v>98</v>
      </c>
      <c r="AZ36" s="1">
        <v>10</v>
      </c>
      <c r="BA36" s="1"/>
      <c r="BB36" s="1">
        <v>7</v>
      </c>
      <c r="BC36" s="1" t="s">
        <v>1442</v>
      </c>
      <c r="BD36" s="1" t="s">
        <v>1404</v>
      </c>
      <c r="BE36" s="1">
        <v>24.8977693164335</v>
      </c>
      <c r="BF36" s="1">
        <v>24.624014914217199</v>
      </c>
      <c r="BG36" s="1">
        <v>24.4329967019729</v>
      </c>
      <c r="BH36" s="1">
        <v>25.321218916277399</v>
      </c>
      <c r="BI36">
        <v>25.2464842435203</v>
      </c>
      <c r="BJ36">
        <v>25.118118411693299</v>
      </c>
      <c r="BK36" t="s">
        <v>1405</v>
      </c>
      <c r="BL36" t="s">
        <v>1406</v>
      </c>
      <c r="BM36">
        <v>26545.864000000001</v>
      </c>
      <c r="BN36">
        <v>-7.4734672757099205E-2</v>
      </c>
      <c r="BO36">
        <v>0.88822221430449799</v>
      </c>
      <c r="BP36">
        <v>0</v>
      </c>
      <c r="BQ36">
        <v>2.9607407143483302</v>
      </c>
      <c r="BR36">
        <v>2.9607407143483302</v>
      </c>
      <c r="BS36" t="s">
        <v>1400</v>
      </c>
      <c r="BT36" t="s">
        <v>1401</v>
      </c>
      <c r="BU36" t="s">
        <v>1402</v>
      </c>
      <c r="CF36" t="s">
        <v>103</v>
      </c>
    </row>
    <row r="37" spans="1:111" x14ac:dyDescent="0.2">
      <c r="A37" s="3">
        <v>1</v>
      </c>
      <c r="B37" s="3" t="s">
        <v>352</v>
      </c>
      <c r="C37" s="3" t="s">
        <v>353</v>
      </c>
      <c r="D37" s="1"/>
      <c r="E37" s="1">
        <f t="shared" si="3"/>
        <v>9.5714285714285694</v>
      </c>
      <c r="F37" s="1">
        <f t="shared" si="4"/>
        <v>9.5714285714285694</v>
      </c>
      <c r="G37" s="1">
        <f t="shared" si="5"/>
        <v>0</v>
      </c>
      <c r="H37" s="1"/>
      <c r="I37" s="1">
        <v>35</v>
      </c>
      <c r="J37" s="1"/>
      <c r="K37" s="1"/>
      <c r="L37" s="1"/>
      <c r="M37" s="1"/>
      <c r="N37" s="1"/>
      <c r="O37" s="1">
        <v>5.2</v>
      </c>
      <c r="P37" s="1">
        <v>4.4000000000000004</v>
      </c>
      <c r="Q37" s="1">
        <v>8.8000000000000007</v>
      </c>
      <c r="R37" s="1">
        <v>8.3000000000000007</v>
      </c>
      <c r="S37" s="1">
        <v>4.2</v>
      </c>
      <c r="T37" s="1">
        <v>4.2</v>
      </c>
      <c r="U37" s="1">
        <v>6.2</v>
      </c>
      <c r="V37" s="1">
        <v>5.2</v>
      </c>
      <c r="W37" s="1">
        <v>0.7</v>
      </c>
      <c r="X37" s="1">
        <v>3</v>
      </c>
      <c r="Y37" s="1">
        <v>4.5999999999999996</v>
      </c>
      <c r="Z37" s="1">
        <v>8.9</v>
      </c>
      <c r="AA37" s="1">
        <v>9.5</v>
      </c>
      <c r="AB37" s="1">
        <v>0.3</v>
      </c>
      <c r="AC37" s="1">
        <v>6.2</v>
      </c>
      <c r="AD37" s="1">
        <v>15.1</v>
      </c>
      <c r="AE37" s="1">
        <v>7.5</v>
      </c>
      <c r="AF37" s="1">
        <v>3</v>
      </c>
      <c r="AG37" s="1">
        <v>0.6</v>
      </c>
      <c r="AH37" s="1">
        <v>19.399999999999999</v>
      </c>
      <c r="AI37" s="1">
        <v>6.3</v>
      </c>
      <c r="AJ37" s="1">
        <v>6</v>
      </c>
      <c r="AK37" s="1">
        <v>2.2000000000000002</v>
      </c>
      <c r="AL37" s="1">
        <v>5</v>
      </c>
      <c r="AM37" s="1">
        <v>5.9</v>
      </c>
      <c r="AN37" s="1">
        <v>4.9000000000000004</v>
      </c>
      <c r="AO37" s="1">
        <v>5.5</v>
      </c>
      <c r="AP37" s="1">
        <v>5.0999999999999996</v>
      </c>
      <c r="AQ37" s="1">
        <v>8.9583333333333304</v>
      </c>
      <c r="AR37" s="1">
        <v>6.7</v>
      </c>
      <c r="AS37" s="1">
        <v>9.5714285714285694</v>
      </c>
      <c r="AT37" s="1" t="s">
        <v>356</v>
      </c>
      <c r="AU37" s="1" t="s">
        <v>98</v>
      </c>
      <c r="AV37" s="1" t="s">
        <v>105</v>
      </c>
      <c r="AW37" s="1"/>
      <c r="AX37" s="1" t="s">
        <v>102</v>
      </c>
      <c r="AY37" s="1" t="s">
        <v>98</v>
      </c>
      <c r="AZ37" s="1">
        <v>10</v>
      </c>
      <c r="BA37" s="1"/>
      <c r="BB37" s="1">
        <v>7</v>
      </c>
      <c r="BC37" s="1" t="s">
        <v>1443</v>
      </c>
      <c r="BD37" s="1" t="s">
        <v>1404</v>
      </c>
      <c r="BE37" s="1">
        <v>73.593853788429101</v>
      </c>
      <c r="BF37" s="1">
        <v>72.973593280396202</v>
      </c>
      <c r="BG37" s="1">
        <v>72.604484835981694</v>
      </c>
      <c r="BH37" s="1">
        <v>74.055274878522297</v>
      </c>
      <c r="BI37">
        <v>73.965599275345198</v>
      </c>
      <c r="BJ37">
        <v>73.647260760369093</v>
      </c>
      <c r="BK37" t="s">
        <v>1405</v>
      </c>
      <c r="BL37" t="s">
        <v>1406</v>
      </c>
      <c r="BM37">
        <v>89561.403999999995</v>
      </c>
      <c r="BN37">
        <v>-8.9675603177099106E-2</v>
      </c>
      <c r="BO37">
        <v>1.4507900425406</v>
      </c>
      <c r="BP37">
        <v>0</v>
      </c>
      <c r="BQ37">
        <v>4.8359668084686804</v>
      </c>
      <c r="BR37">
        <v>4.8359668084686804</v>
      </c>
      <c r="BS37" t="s">
        <v>1400</v>
      </c>
      <c r="BT37" t="s">
        <v>1401</v>
      </c>
      <c r="BU37" t="s">
        <v>1402</v>
      </c>
      <c r="CF37" t="s">
        <v>103</v>
      </c>
    </row>
    <row r="38" spans="1:111" x14ac:dyDescent="0.2">
      <c r="A38" s="3">
        <v>1</v>
      </c>
      <c r="B38" s="3" t="s">
        <v>360</v>
      </c>
      <c r="C38" s="3" t="s">
        <v>361</v>
      </c>
      <c r="D38" s="1"/>
      <c r="E38" s="1">
        <f t="shared" si="3"/>
        <v>7.5714285714285703</v>
      </c>
      <c r="F38" s="1">
        <f t="shared" si="4"/>
        <v>7.5714285714285703</v>
      </c>
      <c r="G38" s="1">
        <f t="shared" si="5"/>
        <v>0</v>
      </c>
      <c r="H38" s="1"/>
      <c r="I38" s="1">
        <v>36</v>
      </c>
      <c r="J38" s="1"/>
      <c r="K38" s="1"/>
      <c r="L38" s="1"/>
      <c r="M38" s="1"/>
      <c r="N38" s="1"/>
      <c r="O38" s="1">
        <v>4</v>
      </c>
      <c r="P38" s="1">
        <v>6.7</v>
      </c>
      <c r="Q38" s="1">
        <v>5.3</v>
      </c>
      <c r="R38" s="1">
        <v>5.8</v>
      </c>
      <c r="S38" s="1">
        <v>3</v>
      </c>
      <c r="T38" s="1">
        <v>3</v>
      </c>
      <c r="U38" s="1">
        <v>5</v>
      </c>
      <c r="V38" s="1">
        <v>3.1</v>
      </c>
      <c r="W38" s="1">
        <v>0.1</v>
      </c>
      <c r="X38" s="1">
        <v>1.6</v>
      </c>
      <c r="Y38" s="1">
        <v>3.3</v>
      </c>
      <c r="Z38" s="1">
        <v>5.9</v>
      </c>
      <c r="AA38" s="1">
        <v>8.5</v>
      </c>
      <c r="AB38" s="1">
        <v>0.3</v>
      </c>
      <c r="AC38" s="1">
        <v>4.9000000000000004</v>
      </c>
      <c r="AD38" s="1">
        <v>0</v>
      </c>
      <c r="AE38" s="1">
        <v>0</v>
      </c>
      <c r="AF38" s="1">
        <v>3</v>
      </c>
      <c r="AG38" s="1">
        <v>0.6</v>
      </c>
      <c r="AH38" s="1">
        <v>16.7</v>
      </c>
      <c r="AI38" s="1">
        <v>4.5</v>
      </c>
      <c r="AJ38" s="1">
        <v>6</v>
      </c>
      <c r="AK38" s="1">
        <v>2.2000000000000002</v>
      </c>
      <c r="AL38" s="1">
        <v>5</v>
      </c>
      <c r="AM38" s="1">
        <v>6.8</v>
      </c>
      <c r="AN38" s="1">
        <v>4.5999999999999996</v>
      </c>
      <c r="AO38" s="1">
        <v>4.8</v>
      </c>
      <c r="AP38" s="1">
        <v>4</v>
      </c>
      <c r="AQ38" s="1">
        <v>4.375</v>
      </c>
      <c r="AR38" s="1">
        <v>5.3</v>
      </c>
      <c r="AS38" s="1">
        <v>7.5714285714285703</v>
      </c>
      <c r="AT38" s="1" t="s">
        <v>364</v>
      </c>
      <c r="AU38" s="1" t="s">
        <v>98</v>
      </c>
      <c r="AV38" s="1" t="s">
        <v>105</v>
      </c>
      <c r="AW38" s="1"/>
      <c r="AX38" s="1" t="s">
        <v>102</v>
      </c>
      <c r="AY38" s="1" t="s">
        <v>98</v>
      </c>
      <c r="AZ38" s="1">
        <v>10</v>
      </c>
      <c r="BA38" s="1"/>
      <c r="BB38" s="1">
        <v>7</v>
      </c>
      <c r="BC38" s="1" t="s">
        <v>1444</v>
      </c>
      <c r="BD38" s="1" t="s">
        <v>1404</v>
      </c>
      <c r="BE38" s="1">
        <v>39.195891491897797</v>
      </c>
      <c r="BF38" s="1">
        <v>39.469275635643598</v>
      </c>
      <c r="BG38" s="1">
        <v>40.863365106258001</v>
      </c>
      <c r="BH38" s="1">
        <v>43.068945183730399</v>
      </c>
      <c r="BI38">
        <v>44.052420112679201</v>
      </c>
      <c r="BJ38">
        <v>46.777285983539599</v>
      </c>
      <c r="BK38" t="s">
        <v>1405</v>
      </c>
      <c r="BL38" t="s">
        <v>1406</v>
      </c>
      <c r="BM38">
        <v>5518.0919999999996</v>
      </c>
      <c r="BN38">
        <v>0.98347492894880195</v>
      </c>
      <c r="BO38">
        <v>2.2055800774723999</v>
      </c>
      <c r="BP38">
        <v>9.8347492894880197</v>
      </c>
      <c r="BQ38">
        <v>7.3519335915746602</v>
      </c>
      <c r="BR38">
        <v>9.8347492894880197</v>
      </c>
      <c r="BS38" t="s">
        <v>1400</v>
      </c>
      <c r="BT38" t="s">
        <v>1401</v>
      </c>
      <c r="BU38" t="s">
        <v>1402</v>
      </c>
      <c r="CF38" t="s">
        <v>103</v>
      </c>
    </row>
    <row r="39" spans="1:111" x14ac:dyDescent="0.2">
      <c r="A39" s="3">
        <v>1</v>
      </c>
      <c r="B39" s="3" t="s">
        <v>365</v>
      </c>
      <c r="C39" s="3" t="s">
        <v>366</v>
      </c>
      <c r="D39" s="1"/>
      <c r="E39" s="1">
        <f t="shared" si="3"/>
        <v>6.082762530298222</v>
      </c>
      <c r="F39" s="1">
        <f t="shared" si="4"/>
        <v>5.28571428571429</v>
      </c>
      <c r="G39" s="1">
        <f t="shared" si="5"/>
        <v>7</v>
      </c>
      <c r="H39" s="1"/>
      <c r="I39" s="1">
        <v>37</v>
      </c>
      <c r="J39" s="1">
        <v>65.676681400000007</v>
      </c>
      <c r="K39" s="1">
        <v>25.2968467</v>
      </c>
      <c r="L39" s="1">
        <v>7.8</v>
      </c>
      <c r="M39" s="1">
        <v>4.5999999999999996</v>
      </c>
      <c r="N39" s="1">
        <v>7.8</v>
      </c>
      <c r="O39" s="1">
        <v>5.5</v>
      </c>
      <c r="P39" s="1">
        <v>8.1</v>
      </c>
      <c r="Q39" s="1">
        <v>3.1</v>
      </c>
      <c r="R39" s="1">
        <v>3.8</v>
      </c>
      <c r="S39" s="1">
        <v>11.5</v>
      </c>
      <c r="T39" s="1">
        <v>10</v>
      </c>
      <c r="U39" s="1">
        <v>6.1</v>
      </c>
      <c r="V39" s="1">
        <v>0.8</v>
      </c>
      <c r="W39" s="1">
        <v>1</v>
      </c>
      <c r="X39" s="1">
        <v>0.9</v>
      </c>
      <c r="Y39" s="1">
        <v>3.5</v>
      </c>
      <c r="Z39" s="1">
        <v>3.1</v>
      </c>
      <c r="AA39" s="1">
        <v>4.9000000000000004</v>
      </c>
      <c r="AB39" s="1">
        <v>0.4</v>
      </c>
      <c r="AC39" s="1">
        <v>2.8</v>
      </c>
      <c r="AD39" s="1">
        <v>0.6</v>
      </c>
      <c r="AE39" s="1">
        <v>0.3</v>
      </c>
      <c r="AF39" s="1">
        <v>8</v>
      </c>
      <c r="AG39" s="1">
        <v>3.3</v>
      </c>
      <c r="AH39" s="1">
        <v>15.8</v>
      </c>
      <c r="AI39" s="1">
        <v>3.9</v>
      </c>
      <c r="AJ39" s="1">
        <v>7.4</v>
      </c>
      <c r="AK39" s="1">
        <v>3</v>
      </c>
      <c r="AL39" s="1">
        <v>5</v>
      </c>
      <c r="AM39" s="1">
        <v>0.6</v>
      </c>
      <c r="AN39" s="1">
        <v>3.1</v>
      </c>
      <c r="AO39" s="1">
        <v>4.5999999999999996</v>
      </c>
      <c r="AP39" s="1">
        <v>4</v>
      </c>
      <c r="AQ39" s="1">
        <v>4.375</v>
      </c>
      <c r="AR39" s="1">
        <v>3.7</v>
      </c>
      <c r="AS39" s="1">
        <v>5.28571428571429</v>
      </c>
      <c r="AT39" s="1" t="s">
        <v>369</v>
      </c>
      <c r="AU39" s="1" t="s">
        <v>98</v>
      </c>
      <c r="AV39" s="1" t="s">
        <v>370</v>
      </c>
      <c r="AW39" s="1" t="s">
        <v>100</v>
      </c>
      <c r="AX39" s="1" t="s">
        <v>137</v>
      </c>
      <c r="AY39" s="1" t="s">
        <v>100</v>
      </c>
      <c r="AZ39" s="1">
        <v>10</v>
      </c>
      <c r="BA39" s="1">
        <v>7</v>
      </c>
      <c r="BB39" s="1">
        <v>0</v>
      </c>
      <c r="BC39" s="1" t="s">
        <v>1445</v>
      </c>
      <c r="BD39" s="1" t="s">
        <v>1404</v>
      </c>
      <c r="BE39" s="1">
        <v>4.02763746495219</v>
      </c>
      <c r="BF39" s="1">
        <v>4.1875578987648199</v>
      </c>
      <c r="BG39" s="1">
        <v>3.67237328929034</v>
      </c>
      <c r="BH39" s="1">
        <v>7.9030954812988004</v>
      </c>
      <c r="BI39">
        <v>4.3411173129201499</v>
      </c>
      <c r="BJ39">
        <v>2.45353680745517</v>
      </c>
      <c r="BK39" t="s">
        <v>1405</v>
      </c>
      <c r="BL39" t="s">
        <v>1408</v>
      </c>
      <c r="BM39">
        <v>50882.883999999998</v>
      </c>
      <c r="BN39">
        <v>-3.56197816837865</v>
      </c>
      <c r="BO39">
        <v>4.2307221920084599</v>
      </c>
      <c r="BP39">
        <v>0</v>
      </c>
      <c r="BQ39">
        <v>10</v>
      </c>
      <c r="BR39">
        <v>10</v>
      </c>
      <c r="BS39" t="s">
        <v>1400</v>
      </c>
      <c r="BT39" t="s">
        <v>1401</v>
      </c>
      <c r="BU39" t="s">
        <v>1402</v>
      </c>
      <c r="BW39">
        <v>9.3670000000000009</v>
      </c>
      <c r="BX39">
        <v>9.6829999999999998</v>
      </c>
      <c r="BY39">
        <v>10.516999999999999</v>
      </c>
      <c r="BZ39">
        <v>17.289000000000001</v>
      </c>
      <c r="CA39">
        <v>15.836</v>
      </c>
      <c r="CB39">
        <v>14.614000000000001</v>
      </c>
      <c r="CC39">
        <v>13.454000000000001</v>
      </c>
      <c r="CD39">
        <v>12.47</v>
      </c>
      <c r="CE39">
        <v>11.744</v>
      </c>
      <c r="CF39" t="s">
        <v>1446</v>
      </c>
      <c r="CG39">
        <v>-1.4530000000000001</v>
      </c>
      <c r="CH39">
        <v>6.7720000000000002</v>
      </c>
      <c r="CI39">
        <v>0</v>
      </c>
      <c r="CJ39">
        <v>10</v>
      </c>
      <c r="CK39">
        <v>10</v>
      </c>
      <c r="CL39">
        <v>10</v>
      </c>
      <c r="CM39">
        <v>42.153800964355497</v>
      </c>
      <c r="CO39">
        <v>94.345153808593807</v>
      </c>
      <c r="CR39">
        <v>54.316795349121101</v>
      </c>
      <c r="CS39">
        <v>6.2623643875122097</v>
      </c>
      <c r="CV39">
        <v>11.1337032318115</v>
      </c>
      <c r="CX39">
        <v>2.7797908782959002</v>
      </c>
      <c r="CY39">
        <v>32.241363525390597</v>
      </c>
      <c r="DB39">
        <v>2.8274230957031201</v>
      </c>
      <c r="DC39">
        <v>4.4534812927246099</v>
      </c>
      <c r="DE39">
        <v>6.4482727050781197</v>
      </c>
      <c r="DF39">
        <v>4.5763923645019497</v>
      </c>
      <c r="DG39">
        <v>6.5377033778599296</v>
      </c>
    </row>
    <row r="40" spans="1:111" x14ac:dyDescent="0.2">
      <c r="A40" s="3">
        <v>1</v>
      </c>
      <c r="B40" s="3" t="s">
        <v>373</v>
      </c>
      <c r="C40" s="3" t="s">
        <v>374</v>
      </c>
      <c r="D40" s="1"/>
      <c r="E40" s="1">
        <f t="shared" si="3"/>
        <v>8.71428571428571</v>
      </c>
      <c r="F40" s="1">
        <f t="shared" si="4"/>
        <v>8.71428571428571</v>
      </c>
      <c r="G40" s="1">
        <f t="shared" si="5"/>
        <v>0</v>
      </c>
      <c r="H40" s="1"/>
      <c r="I40" s="1">
        <v>38</v>
      </c>
      <c r="J40" s="1">
        <v>1.9828757189999999</v>
      </c>
      <c r="K40" s="1">
        <v>13.224220710000001</v>
      </c>
      <c r="L40" s="1">
        <v>0</v>
      </c>
      <c r="M40" s="1">
        <v>2.1</v>
      </c>
      <c r="N40" s="1">
        <v>0</v>
      </c>
      <c r="O40" s="1">
        <v>8.8000000000000007</v>
      </c>
      <c r="P40" s="1">
        <v>2.9</v>
      </c>
      <c r="Q40" s="1">
        <v>7.7</v>
      </c>
      <c r="R40" s="1">
        <v>8.4</v>
      </c>
      <c r="S40" s="1">
        <v>0</v>
      </c>
      <c r="T40" s="1">
        <v>0</v>
      </c>
      <c r="U40" s="1">
        <v>5.6</v>
      </c>
      <c r="V40" s="1">
        <v>5.8</v>
      </c>
      <c r="W40" s="1">
        <v>3.6</v>
      </c>
      <c r="X40" s="1">
        <v>4.7</v>
      </c>
      <c r="Y40" s="1">
        <v>5.0999999999999996</v>
      </c>
      <c r="Z40" s="1">
        <v>7.9</v>
      </c>
      <c r="AA40" s="1">
        <v>8.1999999999999993</v>
      </c>
      <c r="AB40" s="1">
        <v>1.8</v>
      </c>
      <c r="AC40" s="1">
        <v>6</v>
      </c>
      <c r="AD40" s="1">
        <v>0</v>
      </c>
      <c r="AE40" s="1">
        <v>0</v>
      </c>
      <c r="AF40" s="1">
        <v>3</v>
      </c>
      <c r="AG40" s="1">
        <v>0.6</v>
      </c>
      <c r="AH40" s="1">
        <v>22.9</v>
      </c>
      <c r="AI40" s="1">
        <v>8.6</v>
      </c>
      <c r="AJ40" s="1">
        <v>12.3</v>
      </c>
      <c r="AK40" s="1">
        <v>5.7</v>
      </c>
      <c r="AL40" s="1">
        <v>5</v>
      </c>
      <c r="AM40" s="1">
        <v>0.6</v>
      </c>
      <c r="AN40" s="1">
        <v>5</v>
      </c>
      <c r="AO40" s="1">
        <v>3.6</v>
      </c>
      <c r="AP40" s="1">
        <v>4.4000000000000004</v>
      </c>
      <c r="AQ40" s="1">
        <v>6.0416666666666696</v>
      </c>
      <c r="AR40" s="1">
        <v>6.1</v>
      </c>
      <c r="AS40" s="1">
        <v>8.71428571428571</v>
      </c>
      <c r="AT40" s="1" t="s">
        <v>376</v>
      </c>
      <c r="AU40" s="1" t="s">
        <v>98</v>
      </c>
      <c r="AV40" s="1" t="s">
        <v>105</v>
      </c>
      <c r="AW40" s="1"/>
      <c r="AX40" s="1" t="s">
        <v>105</v>
      </c>
      <c r="AY40" s="1"/>
      <c r="AZ40" s="1">
        <v>10</v>
      </c>
      <c r="BA40" s="1"/>
      <c r="BB40" s="1"/>
      <c r="BC40" s="1" t="s">
        <v>1447</v>
      </c>
      <c r="BD40" s="1" t="s">
        <v>1404</v>
      </c>
      <c r="BE40" s="1">
        <v>18.670016780633901</v>
      </c>
      <c r="BF40" s="1">
        <v>18.4171229355834</v>
      </c>
      <c r="BG40" s="1">
        <v>18.5645875561992</v>
      </c>
      <c r="BH40" s="1">
        <v>19.642154099657802</v>
      </c>
      <c r="BI40">
        <v>19.208067731583501</v>
      </c>
      <c r="BJ40">
        <v>18.766680558859299</v>
      </c>
      <c r="BK40" t="s">
        <v>1405</v>
      </c>
      <c r="BL40" t="s">
        <v>1406</v>
      </c>
      <c r="BM40">
        <v>869.59500000000003</v>
      </c>
      <c r="BN40">
        <v>-0.43408636807430101</v>
      </c>
      <c r="BO40">
        <v>1.0775665434585999</v>
      </c>
      <c r="BP40">
        <v>0</v>
      </c>
      <c r="BQ40">
        <v>3.5918884781953402</v>
      </c>
      <c r="BR40">
        <v>3.5918884781953402</v>
      </c>
      <c r="BS40" t="s">
        <v>1400</v>
      </c>
      <c r="BT40" t="s">
        <v>1401</v>
      </c>
      <c r="BU40" t="s">
        <v>1402</v>
      </c>
      <c r="CF40" t="s">
        <v>103</v>
      </c>
    </row>
    <row r="41" spans="1:111" x14ac:dyDescent="0.2">
      <c r="A41" s="3">
        <v>1</v>
      </c>
      <c r="B41" s="3" t="s">
        <v>377</v>
      </c>
      <c r="C41" s="3" t="s">
        <v>378</v>
      </c>
      <c r="D41" s="1"/>
      <c r="E41" s="1">
        <f t="shared" si="3"/>
        <v>6.8556546004010421</v>
      </c>
      <c r="F41" s="1">
        <f t="shared" si="4"/>
        <v>6.71428571428571</v>
      </c>
      <c r="G41" s="1">
        <f t="shared" si="5"/>
        <v>7</v>
      </c>
      <c r="H41" s="1"/>
      <c r="I41" s="1">
        <v>39</v>
      </c>
      <c r="J41" s="1">
        <v>29.67964624</v>
      </c>
      <c r="K41" s="1">
        <v>14.737623279999999</v>
      </c>
      <c r="L41" s="1">
        <v>3.4</v>
      </c>
      <c r="M41" s="1">
        <v>2.4</v>
      </c>
      <c r="N41" s="1">
        <v>3.4</v>
      </c>
      <c r="O41" s="1">
        <v>7.1</v>
      </c>
      <c r="P41" s="1">
        <v>6.6</v>
      </c>
      <c r="Q41" s="1"/>
      <c r="R41" s="1"/>
      <c r="S41" s="1">
        <v>0</v>
      </c>
      <c r="T41" s="1">
        <v>0</v>
      </c>
      <c r="U41" s="1">
        <v>4.5999999999999996</v>
      </c>
      <c r="V41" s="1">
        <v>3.6</v>
      </c>
      <c r="W41" s="1">
        <v>5.9</v>
      </c>
      <c r="X41" s="1">
        <v>4.8</v>
      </c>
      <c r="Y41" s="1">
        <v>4.7</v>
      </c>
      <c r="Z41" s="1">
        <v>4.9000000000000004</v>
      </c>
      <c r="AA41" s="1"/>
      <c r="AB41" s="1">
        <v>0.3</v>
      </c>
      <c r="AC41" s="1">
        <v>2.6</v>
      </c>
      <c r="AD41" s="1">
        <v>0</v>
      </c>
      <c r="AE41" s="1">
        <v>0</v>
      </c>
      <c r="AF41" s="1">
        <v>5</v>
      </c>
      <c r="AG41" s="1">
        <v>1.7</v>
      </c>
      <c r="AH41" s="1">
        <v>17.2</v>
      </c>
      <c r="AI41" s="1">
        <v>4.8</v>
      </c>
      <c r="AJ41" s="1">
        <v>2.4</v>
      </c>
      <c r="AK41" s="1">
        <v>0.2</v>
      </c>
      <c r="AL41" s="1">
        <v>3</v>
      </c>
      <c r="AM41" s="1">
        <v>2.4</v>
      </c>
      <c r="AN41" s="1">
        <v>2.6</v>
      </c>
      <c r="AO41" s="1">
        <v>2.9</v>
      </c>
      <c r="AP41" s="1">
        <v>3.8</v>
      </c>
      <c r="AQ41" s="1">
        <v>3.5416666666666701</v>
      </c>
      <c r="AR41" s="1">
        <v>4.7</v>
      </c>
      <c r="AS41" s="1">
        <v>6.71428571428571</v>
      </c>
      <c r="AT41" s="1" t="s">
        <v>381</v>
      </c>
      <c r="AU41" s="1" t="s">
        <v>98</v>
      </c>
      <c r="AV41" s="1" t="s">
        <v>382</v>
      </c>
      <c r="AW41" s="1" t="s">
        <v>100</v>
      </c>
      <c r="AX41" s="1" t="s">
        <v>137</v>
      </c>
      <c r="AY41" s="1" t="s">
        <v>100</v>
      </c>
      <c r="AZ41" s="1">
        <v>10</v>
      </c>
      <c r="BA41" s="1">
        <v>7</v>
      </c>
      <c r="BB41" s="1">
        <v>0</v>
      </c>
      <c r="BC41" s="1" t="s">
        <v>1448</v>
      </c>
      <c r="BD41" s="1" t="s">
        <v>1404</v>
      </c>
      <c r="BE41" s="1">
        <v>2.4087473224095102</v>
      </c>
      <c r="BF41" s="1">
        <v>1.6918545471236099</v>
      </c>
      <c r="BG41" s="1">
        <v>1.26525127525305</v>
      </c>
      <c r="BH41" s="1">
        <v>1.9711090605347299</v>
      </c>
      <c r="BI41">
        <v>1.38446590438669</v>
      </c>
      <c r="BJ41">
        <v>1.1103995447773201</v>
      </c>
      <c r="BK41" t="s">
        <v>1405</v>
      </c>
      <c r="BL41" t="s">
        <v>1406</v>
      </c>
      <c r="BM41">
        <v>555.98800000000006</v>
      </c>
      <c r="BN41">
        <v>-0.58664315614803997</v>
      </c>
      <c r="BO41">
        <v>0.70585778528167997</v>
      </c>
      <c r="BP41">
        <v>0</v>
      </c>
      <c r="BQ41">
        <v>2.35285928427226</v>
      </c>
      <c r="BR41">
        <v>2.35285928427226</v>
      </c>
      <c r="BS41" t="s">
        <v>1400</v>
      </c>
      <c r="BT41" t="s">
        <v>1401</v>
      </c>
      <c r="BU41" t="s">
        <v>1402</v>
      </c>
      <c r="BW41">
        <v>12.2</v>
      </c>
      <c r="BX41">
        <v>12.2</v>
      </c>
      <c r="BY41">
        <v>8.5</v>
      </c>
      <c r="BZ41">
        <v>8.5</v>
      </c>
      <c r="CA41">
        <v>8.5</v>
      </c>
      <c r="CB41">
        <v>8.5</v>
      </c>
      <c r="CC41">
        <v>8.5</v>
      </c>
      <c r="CD41">
        <v>8.5</v>
      </c>
      <c r="CE41">
        <v>8.5</v>
      </c>
      <c r="CF41" t="s">
        <v>103</v>
      </c>
      <c r="CG41">
        <v>0</v>
      </c>
      <c r="CH41">
        <v>0</v>
      </c>
      <c r="CI41">
        <v>0</v>
      </c>
      <c r="CJ41">
        <v>0</v>
      </c>
      <c r="CK41">
        <v>0</v>
      </c>
    </row>
    <row r="42" spans="1:111" x14ac:dyDescent="0.2">
      <c r="A42" s="3">
        <v>1</v>
      </c>
      <c r="B42" s="3" t="s">
        <v>383</v>
      </c>
      <c r="C42" s="3" t="s">
        <v>384</v>
      </c>
      <c r="D42" s="1"/>
      <c r="E42" s="1">
        <f t="shared" si="3"/>
        <v>5.7321150422111034</v>
      </c>
      <c r="F42" s="1">
        <f t="shared" si="4"/>
        <v>3.2857142857142798</v>
      </c>
      <c r="G42" s="1">
        <f t="shared" si="5"/>
        <v>10</v>
      </c>
      <c r="H42" s="1"/>
      <c r="I42" s="1">
        <v>40</v>
      </c>
      <c r="J42" s="1">
        <v>66.63602779</v>
      </c>
      <c r="K42" s="1">
        <v>28.580486820000001</v>
      </c>
      <c r="L42" s="1">
        <v>7.9</v>
      </c>
      <c r="M42" s="1">
        <v>5.3</v>
      </c>
      <c r="N42" s="1">
        <v>7.9</v>
      </c>
      <c r="O42" s="1">
        <v>6.6</v>
      </c>
      <c r="P42" s="1">
        <v>7.9</v>
      </c>
      <c r="Q42" s="1">
        <v>0.4</v>
      </c>
      <c r="R42" s="1">
        <v>3.7</v>
      </c>
      <c r="S42" s="1">
        <v>0.7</v>
      </c>
      <c r="T42" s="1">
        <v>0.7</v>
      </c>
      <c r="U42" s="1">
        <v>3.9</v>
      </c>
      <c r="V42" s="1">
        <v>4.3</v>
      </c>
      <c r="W42" s="1">
        <v>4.4000000000000004</v>
      </c>
      <c r="X42" s="1">
        <v>4.4000000000000004</v>
      </c>
      <c r="Y42" s="1">
        <v>4.0999999999999996</v>
      </c>
      <c r="Z42" s="1">
        <v>2.1</v>
      </c>
      <c r="AA42" s="1"/>
      <c r="AB42" s="1">
        <v>0.1</v>
      </c>
      <c r="AC42" s="1">
        <v>1.1000000000000001</v>
      </c>
      <c r="AD42" s="1">
        <v>0</v>
      </c>
      <c r="AE42" s="1">
        <v>0</v>
      </c>
      <c r="AF42" s="1">
        <v>10</v>
      </c>
      <c r="AG42" s="1">
        <v>4.4000000000000004</v>
      </c>
      <c r="AH42" s="1">
        <v>11.5</v>
      </c>
      <c r="AI42" s="1">
        <v>1</v>
      </c>
      <c r="AJ42" s="1">
        <v>9.1</v>
      </c>
      <c r="AK42" s="1">
        <v>3.9</v>
      </c>
      <c r="AL42" s="1">
        <v>3</v>
      </c>
      <c r="AM42" s="1">
        <v>0.2</v>
      </c>
      <c r="AN42" s="1">
        <v>2</v>
      </c>
      <c r="AO42" s="1">
        <v>3.7</v>
      </c>
      <c r="AP42" s="1">
        <v>3.9</v>
      </c>
      <c r="AQ42" s="1">
        <v>3.9583333333333299</v>
      </c>
      <c r="AR42" s="1">
        <v>2.2999999999999998</v>
      </c>
      <c r="AS42" s="1">
        <v>3.2857142857142798</v>
      </c>
      <c r="AT42" s="1" t="s">
        <v>387</v>
      </c>
      <c r="AU42" s="1" t="s">
        <v>98</v>
      </c>
      <c r="AV42" s="1" t="s">
        <v>388</v>
      </c>
      <c r="AW42" s="1" t="s">
        <v>98</v>
      </c>
      <c r="AX42" s="1" t="s">
        <v>137</v>
      </c>
      <c r="AY42" s="1" t="s">
        <v>100</v>
      </c>
      <c r="AZ42" s="1">
        <v>10</v>
      </c>
      <c r="BA42" s="1">
        <v>10</v>
      </c>
      <c r="BB42" s="1">
        <v>0</v>
      </c>
      <c r="BC42" s="1" t="s">
        <v>1449</v>
      </c>
      <c r="BD42" s="1" t="s">
        <v>1404</v>
      </c>
      <c r="BE42" s="1">
        <v>1.05794122719885</v>
      </c>
      <c r="BF42" s="1">
        <v>1.4555995549345799</v>
      </c>
      <c r="BG42" s="1">
        <v>1.4289501147120001</v>
      </c>
      <c r="BH42" s="1">
        <v>2.11</v>
      </c>
      <c r="BI42">
        <v>1.19</v>
      </c>
      <c r="BJ42">
        <v>1.0900000000000001</v>
      </c>
      <c r="BK42" t="s">
        <v>1405</v>
      </c>
      <c r="BL42" t="s">
        <v>1408</v>
      </c>
      <c r="BM42">
        <v>5094.1139999999996</v>
      </c>
      <c r="BN42">
        <v>-0.92</v>
      </c>
      <c r="BO42">
        <v>0.68104988528800003</v>
      </c>
      <c r="BP42">
        <v>0</v>
      </c>
      <c r="BQ42">
        <v>2.2701662842933299</v>
      </c>
      <c r="BR42">
        <v>2.2701662842933299</v>
      </c>
      <c r="BS42" t="s">
        <v>1400</v>
      </c>
      <c r="BT42" t="s">
        <v>1401</v>
      </c>
      <c r="BU42" t="s">
        <v>1402</v>
      </c>
      <c r="BW42">
        <v>9.2929999999999993</v>
      </c>
      <c r="BX42">
        <v>11.951000000000001</v>
      </c>
      <c r="BY42">
        <v>12.417</v>
      </c>
      <c r="BZ42">
        <v>22</v>
      </c>
      <c r="CA42">
        <v>18.5</v>
      </c>
      <c r="CB42">
        <v>15.5</v>
      </c>
      <c r="CC42">
        <v>12</v>
      </c>
      <c r="CD42">
        <v>10.5</v>
      </c>
      <c r="CE42">
        <v>9.5</v>
      </c>
      <c r="CF42" t="s">
        <v>1450</v>
      </c>
      <c r="CG42">
        <v>-3.5</v>
      </c>
      <c r="CH42">
        <v>9.5830000000000002</v>
      </c>
      <c r="CI42">
        <v>0</v>
      </c>
      <c r="CJ42">
        <v>10</v>
      </c>
      <c r="CK42">
        <v>10</v>
      </c>
      <c r="CL42">
        <v>10</v>
      </c>
      <c r="CM42">
        <v>55.205039978027301</v>
      </c>
      <c r="CO42">
        <v>95.012260437011705</v>
      </c>
      <c r="CR42">
        <v>60.231555938720703</v>
      </c>
      <c r="CS42">
        <v>5.0801839828491202</v>
      </c>
      <c r="CV42">
        <v>6.4335985183715803</v>
      </c>
      <c r="CX42">
        <v>2.5819833278656001</v>
      </c>
      <c r="CY42">
        <v>14.442152023315399</v>
      </c>
      <c r="DB42">
        <v>2.4938697814941402</v>
      </c>
      <c r="DC42">
        <v>2.57343940734863</v>
      </c>
      <c r="DE42">
        <v>2.8884304046630902</v>
      </c>
      <c r="DF42">
        <v>2.6519131978352899</v>
      </c>
      <c r="DG42">
        <v>3.7884474254789802</v>
      </c>
    </row>
    <row r="43" spans="1:111" x14ac:dyDescent="0.2">
      <c r="A43" s="3">
        <v>1</v>
      </c>
      <c r="B43" s="3" t="s">
        <v>390</v>
      </c>
      <c r="C43" s="3" t="s">
        <v>391</v>
      </c>
      <c r="D43" s="1"/>
      <c r="E43" s="1">
        <f t="shared" si="3"/>
        <v>3.1428571428571401</v>
      </c>
      <c r="F43" s="1">
        <f t="shared" si="4"/>
        <v>3.1428571428571401</v>
      </c>
      <c r="G43" s="1">
        <f t="shared" si="5"/>
        <v>0</v>
      </c>
      <c r="H43" s="1"/>
      <c r="I43" s="1">
        <v>41</v>
      </c>
      <c r="J43" s="1"/>
      <c r="K43" s="1"/>
      <c r="L43" s="1"/>
      <c r="M43" s="1"/>
      <c r="N43" s="1"/>
      <c r="O43" s="1">
        <v>6.8</v>
      </c>
      <c r="P43" s="1">
        <v>7.7</v>
      </c>
      <c r="Q43" s="1">
        <v>0.7</v>
      </c>
      <c r="R43" s="1"/>
      <c r="S43" s="1">
        <v>0</v>
      </c>
      <c r="T43" s="1">
        <v>0</v>
      </c>
      <c r="U43" s="1">
        <v>3.8</v>
      </c>
      <c r="V43" s="1">
        <v>6.3</v>
      </c>
      <c r="W43" s="1">
        <v>6.3</v>
      </c>
      <c r="X43" s="1">
        <v>6.3</v>
      </c>
      <c r="Y43" s="1">
        <v>5.0999999999999996</v>
      </c>
      <c r="Z43" s="1">
        <v>2.5</v>
      </c>
      <c r="AA43" s="1"/>
      <c r="AB43" s="1"/>
      <c r="AC43" s="1">
        <v>2.5</v>
      </c>
      <c r="AD43" s="1">
        <v>0</v>
      </c>
      <c r="AE43" s="1">
        <v>0</v>
      </c>
      <c r="AF43" s="1">
        <v>15</v>
      </c>
      <c r="AG43" s="1">
        <v>7.2</v>
      </c>
      <c r="AH43" s="1">
        <v>16.399999999999999</v>
      </c>
      <c r="AI43" s="1">
        <v>4.3</v>
      </c>
      <c r="AJ43" s="1">
        <v>9.6</v>
      </c>
      <c r="AK43" s="1">
        <v>4.2</v>
      </c>
      <c r="AL43" s="1">
        <v>3</v>
      </c>
      <c r="AM43" s="1">
        <v>0.1</v>
      </c>
      <c r="AN43" s="1">
        <v>2.9</v>
      </c>
      <c r="AO43" s="1">
        <v>2.7</v>
      </c>
      <c r="AP43" s="1">
        <v>3.9</v>
      </c>
      <c r="AQ43" s="1">
        <v>3.9583333333333299</v>
      </c>
      <c r="AR43" s="1">
        <v>2.2000000000000002</v>
      </c>
      <c r="AS43" s="1">
        <v>3.1428571428571401</v>
      </c>
      <c r="AT43" s="1" t="s">
        <v>105</v>
      </c>
      <c r="AU43" s="1"/>
      <c r="AV43" s="1" t="s">
        <v>105</v>
      </c>
      <c r="AW43" s="1"/>
      <c r="AX43" s="1" t="s">
        <v>102</v>
      </c>
      <c r="AY43" s="1" t="s">
        <v>98</v>
      </c>
      <c r="AZ43" s="1"/>
      <c r="BA43" s="1"/>
      <c r="BB43" s="1">
        <v>7</v>
      </c>
      <c r="BC43" s="1"/>
      <c r="BD43" s="1"/>
      <c r="BE43" s="1"/>
      <c r="BF43" s="1"/>
      <c r="BG43" s="1"/>
      <c r="BH43" s="1"/>
    </row>
    <row r="44" spans="1:111" x14ac:dyDescent="0.2">
      <c r="A44" s="3">
        <v>1</v>
      </c>
      <c r="B44" s="3" t="s">
        <v>394</v>
      </c>
      <c r="C44" s="3" t="s">
        <v>395</v>
      </c>
      <c r="D44" s="1"/>
      <c r="E44" s="1">
        <f t="shared" si="3"/>
        <v>2.6457513110645907</v>
      </c>
      <c r="F44" s="1">
        <f t="shared" si="4"/>
        <v>1</v>
      </c>
      <c r="G44" s="1">
        <f t="shared" si="5"/>
        <v>7</v>
      </c>
      <c r="H44" s="1"/>
      <c r="I44" s="1">
        <v>42</v>
      </c>
      <c r="J44" s="1"/>
      <c r="K44" s="1"/>
      <c r="L44" s="1"/>
      <c r="M44" s="1"/>
      <c r="N44" s="1"/>
      <c r="O44" s="1">
        <v>7</v>
      </c>
      <c r="P44" s="1">
        <v>6.7</v>
      </c>
      <c r="Q44" s="1"/>
      <c r="R44" s="1">
        <v>1.9</v>
      </c>
      <c r="S44" s="1">
        <v>20.8</v>
      </c>
      <c r="T44" s="1">
        <v>10</v>
      </c>
      <c r="U44" s="1">
        <v>6.4</v>
      </c>
      <c r="V44" s="1">
        <v>5.2</v>
      </c>
      <c r="W44" s="1">
        <v>10</v>
      </c>
      <c r="X44" s="1">
        <v>7.6</v>
      </c>
      <c r="Y44" s="1">
        <v>7</v>
      </c>
      <c r="Z44" s="1">
        <v>0.6</v>
      </c>
      <c r="AA44" s="1"/>
      <c r="AB44" s="1">
        <v>0</v>
      </c>
      <c r="AC44" s="1">
        <v>0.3</v>
      </c>
      <c r="AD44" s="1">
        <v>0</v>
      </c>
      <c r="AE44" s="1">
        <v>0</v>
      </c>
      <c r="AF44" s="1">
        <v>14</v>
      </c>
      <c r="AG44" s="1">
        <v>6.7</v>
      </c>
      <c r="AH44" s="1">
        <v>11.3</v>
      </c>
      <c r="AI44" s="1">
        <v>0.9</v>
      </c>
      <c r="AJ44" s="1">
        <v>9</v>
      </c>
      <c r="AK44" s="1">
        <v>3.9</v>
      </c>
      <c r="AL44" s="1">
        <v>3</v>
      </c>
      <c r="AM44" s="1">
        <v>0.1</v>
      </c>
      <c r="AN44" s="1">
        <v>2</v>
      </c>
      <c r="AO44" s="1">
        <v>1.1000000000000001</v>
      </c>
      <c r="AP44" s="1">
        <v>4.0999999999999996</v>
      </c>
      <c r="AQ44" s="1">
        <v>4.7916666666666696</v>
      </c>
      <c r="AR44" s="1">
        <v>0.7</v>
      </c>
      <c r="AS44" s="1">
        <v>1</v>
      </c>
      <c r="AT44" s="1" t="s">
        <v>398</v>
      </c>
      <c r="AU44" s="1" t="s">
        <v>98</v>
      </c>
      <c r="AV44" s="1" t="s">
        <v>272</v>
      </c>
      <c r="AW44" s="1" t="s">
        <v>100</v>
      </c>
      <c r="AX44" s="1" t="s">
        <v>183</v>
      </c>
      <c r="AY44" s="1" t="s">
        <v>96</v>
      </c>
      <c r="AZ44" s="1">
        <v>10</v>
      </c>
      <c r="BA44" s="1">
        <v>7</v>
      </c>
      <c r="BB44" s="1">
        <v>3</v>
      </c>
      <c r="BC44" s="1"/>
      <c r="BD44" s="1"/>
      <c r="BE44" s="1"/>
      <c r="BF44" s="1"/>
      <c r="BG44" s="1"/>
      <c r="BH44" s="1"/>
      <c r="BS44" t="s">
        <v>1400</v>
      </c>
      <c r="BT44" t="s">
        <v>1401</v>
      </c>
      <c r="BU44" t="s">
        <v>1402</v>
      </c>
      <c r="BW44">
        <v>11.05</v>
      </c>
      <c r="BX44">
        <v>8.35</v>
      </c>
      <c r="BY44">
        <v>7.0750000000000002</v>
      </c>
      <c r="BZ44">
        <v>8.0030000000000001</v>
      </c>
      <c r="CA44">
        <v>7</v>
      </c>
      <c r="CB44">
        <v>6.4470000000000001</v>
      </c>
      <c r="CC44">
        <v>5.891</v>
      </c>
      <c r="CD44">
        <v>5.3310000000000004</v>
      </c>
      <c r="CE44">
        <v>5.1429999999999998</v>
      </c>
      <c r="CF44" t="s">
        <v>1451</v>
      </c>
      <c r="CG44">
        <v>-1.0029999999999999</v>
      </c>
      <c r="CH44">
        <v>0.92800000000000005</v>
      </c>
      <c r="CI44">
        <v>0</v>
      </c>
      <c r="CJ44">
        <v>3.0933333333333302</v>
      </c>
      <c r="CK44">
        <v>3.0933333333333302</v>
      </c>
    </row>
    <row r="45" spans="1:111" x14ac:dyDescent="0.2">
      <c r="A45" s="3">
        <v>1</v>
      </c>
      <c r="B45" s="3" t="s">
        <v>401</v>
      </c>
      <c r="C45" s="3" t="s">
        <v>402</v>
      </c>
      <c r="D45" s="1"/>
      <c r="E45" s="1">
        <f t="shared" si="3"/>
        <v>0.57142857142857095</v>
      </c>
      <c r="F45" s="1">
        <f t="shared" si="4"/>
        <v>0.57142857142857095</v>
      </c>
      <c r="G45" s="1">
        <f t="shared" si="5"/>
        <v>0</v>
      </c>
      <c r="H45" s="1"/>
      <c r="I45" s="1">
        <v>43</v>
      </c>
      <c r="J45" s="1"/>
      <c r="K45" s="1"/>
      <c r="L45" s="1"/>
      <c r="M45" s="1"/>
      <c r="N45" s="1"/>
      <c r="O45" s="1">
        <v>7.1</v>
      </c>
      <c r="P45" s="1">
        <v>7.4</v>
      </c>
      <c r="Q45" s="1"/>
      <c r="R45" s="1">
        <v>1</v>
      </c>
      <c r="S45" s="1">
        <v>0</v>
      </c>
      <c r="T45" s="1">
        <v>0</v>
      </c>
      <c r="U45" s="1">
        <v>3.9</v>
      </c>
      <c r="V45" s="1">
        <v>6.2</v>
      </c>
      <c r="W45" s="1">
        <v>10</v>
      </c>
      <c r="X45" s="1">
        <v>8.1</v>
      </c>
      <c r="Y45" s="1">
        <v>6</v>
      </c>
      <c r="Z45" s="1">
        <v>0.2</v>
      </c>
      <c r="AA45" s="1"/>
      <c r="AB45" s="1">
        <v>0</v>
      </c>
      <c r="AC45" s="1">
        <v>0.1</v>
      </c>
      <c r="AD45" s="1">
        <v>0</v>
      </c>
      <c r="AE45" s="1">
        <v>0</v>
      </c>
      <c r="AF45" s="1">
        <v>19</v>
      </c>
      <c r="AG45" s="1">
        <v>9.4</v>
      </c>
      <c r="AH45" s="1">
        <v>15</v>
      </c>
      <c r="AI45" s="1">
        <v>3.3</v>
      </c>
      <c r="AJ45" s="1">
        <v>7</v>
      </c>
      <c r="AK45" s="1">
        <v>2.8</v>
      </c>
      <c r="AL45" s="1">
        <v>6</v>
      </c>
      <c r="AM45" s="1">
        <v>0.1</v>
      </c>
      <c r="AN45" s="1">
        <v>3.1</v>
      </c>
      <c r="AO45" s="1">
        <v>1.6</v>
      </c>
      <c r="AP45" s="1">
        <v>3.8</v>
      </c>
      <c r="AQ45" s="1">
        <v>3.5416666666666701</v>
      </c>
      <c r="AR45" s="1">
        <v>0.4</v>
      </c>
      <c r="AS45" s="1">
        <v>0.57142857142857095</v>
      </c>
      <c r="AT45" s="1" t="s">
        <v>250</v>
      </c>
      <c r="AU45" s="1" t="s">
        <v>98</v>
      </c>
      <c r="AV45" s="1" t="s">
        <v>404</v>
      </c>
      <c r="AW45" s="1" t="s">
        <v>96</v>
      </c>
      <c r="AX45" s="1" t="s">
        <v>183</v>
      </c>
      <c r="AY45" s="1" t="s">
        <v>96</v>
      </c>
      <c r="AZ45" s="1">
        <v>10</v>
      </c>
      <c r="BA45" s="1">
        <v>0</v>
      </c>
      <c r="BB45" s="1">
        <v>3</v>
      </c>
      <c r="BC45" s="1"/>
      <c r="BD45" s="1"/>
      <c r="BE45" s="1"/>
      <c r="BF45" s="1"/>
      <c r="BG45" s="1"/>
      <c r="BH45" s="1"/>
      <c r="BS45" t="s">
        <v>1400</v>
      </c>
      <c r="BT45" t="s">
        <v>1401</v>
      </c>
      <c r="BU45" t="s">
        <v>1402</v>
      </c>
      <c r="BW45">
        <v>2.89</v>
      </c>
      <c r="BX45">
        <v>2.2429999999999999</v>
      </c>
      <c r="BY45">
        <v>2.0009999999999999</v>
      </c>
      <c r="BZ45">
        <v>3.1</v>
      </c>
      <c r="CA45">
        <v>3.4</v>
      </c>
      <c r="CB45">
        <v>3.2</v>
      </c>
      <c r="CC45">
        <v>3</v>
      </c>
      <c r="CD45">
        <v>2.8</v>
      </c>
      <c r="CE45">
        <v>2.8</v>
      </c>
      <c r="CF45" t="s">
        <v>1452</v>
      </c>
      <c r="CG45">
        <v>0.3</v>
      </c>
      <c r="CH45">
        <v>1.099</v>
      </c>
      <c r="CI45">
        <v>3</v>
      </c>
      <c r="CJ45">
        <v>3.66333333333333</v>
      </c>
      <c r="CK45">
        <v>3.66333333333333</v>
      </c>
    </row>
    <row r="46" spans="1:111" x14ac:dyDescent="0.2">
      <c r="A46" s="3">
        <v>1</v>
      </c>
      <c r="B46" s="3" t="s">
        <v>406</v>
      </c>
      <c r="C46" s="3" t="s">
        <v>407</v>
      </c>
      <c r="D46" s="1"/>
      <c r="E46" s="1">
        <f t="shared" si="3"/>
        <v>0.57142857142857095</v>
      </c>
      <c r="F46" s="1">
        <f t="shared" si="4"/>
        <v>0.57142857142857095</v>
      </c>
      <c r="G46" s="1">
        <f t="shared" si="5"/>
        <v>0</v>
      </c>
      <c r="H46" s="1"/>
      <c r="I46" s="1">
        <v>44</v>
      </c>
      <c r="J46" s="1"/>
      <c r="K46" s="1"/>
      <c r="L46" s="1"/>
      <c r="M46" s="1"/>
      <c r="N46" s="1"/>
      <c r="O46" s="1">
        <v>7.9</v>
      </c>
      <c r="P46" s="1">
        <v>7.7</v>
      </c>
      <c r="Q46" s="1">
        <v>0</v>
      </c>
      <c r="R46" s="1">
        <v>0.3</v>
      </c>
      <c r="S46" s="1">
        <v>1.7</v>
      </c>
      <c r="T46" s="1">
        <v>1.7</v>
      </c>
      <c r="U46" s="1">
        <v>3.5</v>
      </c>
      <c r="V46" s="1">
        <v>6.6</v>
      </c>
      <c r="W46" s="1">
        <v>10</v>
      </c>
      <c r="X46" s="1">
        <v>8.3000000000000007</v>
      </c>
      <c r="Y46" s="1">
        <v>5.9</v>
      </c>
      <c r="Z46" s="1">
        <v>0</v>
      </c>
      <c r="AA46" s="1"/>
      <c r="AB46" s="1">
        <v>0</v>
      </c>
      <c r="AC46" s="1">
        <v>0</v>
      </c>
      <c r="AD46" s="1">
        <v>0</v>
      </c>
      <c r="AE46" s="1">
        <v>0</v>
      </c>
      <c r="AF46" s="1">
        <v>21</v>
      </c>
      <c r="AG46" s="1">
        <v>10</v>
      </c>
      <c r="AH46" s="1">
        <v>12.1</v>
      </c>
      <c r="AI46" s="1">
        <v>1.4</v>
      </c>
      <c r="AJ46" s="1">
        <v>10.4</v>
      </c>
      <c r="AK46" s="1">
        <v>4.7</v>
      </c>
      <c r="AL46" s="1">
        <v>3</v>
      </c>
      <c r="AM46" s="1">
        <v>0.1</v>
      </c>
      <c r="AN46" s="1">
        <v>2.2999999999999998</v>
      </c>
      <c r="AO46" s="1">
        <v>1.2</v>
      </c>
      <c r="AP46" s="1">
        <v>3.5</v>
      </c>
      <c r="AQ46" s="1">
        <v>2.2916666666666701</v>
      </c>
      <c r="AR46" s="1">
        <v>0.4</v>
      </c>
      <c r="AS46" s="1">
        <v>0.57142857142857095</v>
      </c>
      <c r="AT46" s="1" t="s">
        <v>328</v>
      </c>
      <c r="AU46" s="1" t="s">
        <v>98</v>
      </c>
      <c r="AV46" s="1" t="s">
        <v>410</v>
      </c>
      <c r="AW46" s="1" t="s">
        <v>96</v>
      </c>
      <c r="AX46" s="1" t="s">
        <v>183</v>
      </c>
      <c r="AY46" s="1" t="s">
        <v>96</v>
      </c>
      <c r="AZ46" s="1">
        <v>10</v>
      </c>
      <c r="BA46" s="1">
        <v>0</v>
      </c>
      <c r="BB46" s="1">
        <v>3</v>
      </c>
      <c r="BC46" s="1"/>
      <c r="BD46" s="1"/>
      <c r="BE46" s="1"/>
      <c r="BF46" s="1"/>
      <c r="BG46" s="1"/>
      <c r="BH46" s="1"/>
      <c r="BS46" t="s">
        <v>1400</v>
      </c>
      <c r="BT46" t="s">
        <v>1401</v>
      </c>
      <c r="BU46" t="s">
        <v>1402</v>
      </c>
      <c r="BW46">
        <v>3.758</v>
      </c>
      <c r="BX46">
        <v>3.4169999999999998</v>
      </c>
      <c r="BY46">
        <v>3.133</v>
      </c>
      <c r="BZ46">
        <v>4.2670000000000003</v>
      </c>
      <c r="CA46">
        <v>4.2300000000000004</v>
      </c>
      <c r="CB46">
        <v>3.7490000000000001</v>
      </c>
      <c r="CC46">
        <v>3.5510000000000002</v>
      </c>
      <c r="CD46">
        <v>3.4540000000000002</v>
      </c>
      <c r="CE46">
        <v>3.363</v>
      </c>
      <c r="CF46" t="s">
        <v>1453</v>
      </c>
      <c r="CG46">
        <v>-3.6999999999999901E-2</v>
      </c>
      <c r="CH46">
        <v>1.1339999999999999</v>
      </c>
      <c r="CI46">
        <v>0</v>
      </c>
      <c r="CJ46">
        <v>3.78</v>
      </c>
      <c r="CK46">
        <v>3.78</v>
      </c>
    </row>
    <row r="47" spans="1:111" x14ac:dyDescent="0.2">
      <c r="A47" s="3">
        <v>1</v>
      </c>
      <c r="B47" s="3" t="s">
        <v>412</v>
      </c>
      <c r="C47" s="3" t="s">
        <v>413</v>
      </c>
      <c r="D47" s="1"/>
      <c r="E47" s="1">
        <f t="shared" si="3"/>
        <v>8.5799861524246204</v>
      </c>
      <c r="F47" s="1">
        <f t="shared" si="4"/>
        <v>8.2857142857142794</v>
      </c>
      <c r="G47" s="1">
        <f t="shared" si="5"/>
        <v>8.8847092522515201</v>
      </c>
      <c r="H47" s="1"/>
      <c r="I47" s="1">
        <v>45</v>
      </c>
      <c r="J47" s="1">
        <v>20.941941480000001</v>
      </c>
      <c r="K47" s="1">
        <v>28.953433780000001</v>
      </c>
      <c r="L47" s="1">
        <v>2.2999999999999998</v>
      </c>
      <c r="M47" s="1">
        <v>5.3</v>
      </c>
      <c r="N47" s="1">
        <v>2.2999999999999998</v>
      </c>
      <c r="O47" s="1">
        <v>5.4</v>
      </c>
      <c r="P47" s="1">
        <v>7.8</v>
      </c>
      <c r="Q47" s="1">
        <v>7.3</v>
      </c>
      <c r="R47" s="1"/>
      <c r="S47" s="1">
        <v>2.9</v>
      </c>
      <c r="T47" s="1">
        <v>2.9</v>
      </c>
      <c r="U47" s="1">
        <v>5.9</v>
      </c>
      <c r="V47" s="1">
        <v>9.6</v>
      </c>
      <c r="W47" s="1">
        <v>1</v>
      </c>
      <c r="X47" s="1">
        <v>5.3</v>
      </c>
      <c r="Y47" s="1">
        <v>5.6</v>
      </c>
      <c r="Z47" s="1">
        <v>8.5</v>
      </c>
      <c r="AA47" s="1"/>
      <c r="AB47" s="1">
        <v>1.7</v>
      </c>
      <c r="AC47" s="1">
        <v>5.0999999999999996</v>
      </c>
      <c r="AD47" s="1">
        <v>15.4</v>
      </c>
      <c r="AE47" s="1">
        <v>7.7</v>
      </c>
      <c r="AF47" s="1">
        <v>5</v>
      </c>
      <c r="AG47" s="1">
        <v>1.7</v>
      </c>
      <c r="AH47" s="1">
        <v>19.600000000000001</v>
      </c>
      <c r="AI47" s="1">
        <v>6.4</v>
      </c>
      <c r="AJ47" s="1">
        <v>5.0999999999999996</v>
      </c>
      <c r="AK47" s="1">
        <v>1.7</v>
      </c>
      <c r="AL47" s="1">
        <v>7</v>
      </c>
      <c r="AM47" s="1">
        <v>4.9000000000000004</v>
      </c>
      <c r="AN47" s="1">
        <v>5</v>
      </c>
      <c r="AO47" s="1">
        <v>4.0999999999999996</v>
      </c>
      <c r="AP47" s="1">
        <v>4.9000000000000004</v>
      </c>
      <c r="AQ47" s="1">
        <v>8.125</v>
      </c>
      <c r="AR47" s="1">
        <v>5.8</v>
      </c>
      <c r="AS47" s="1">
        <v>8.2857142857142794</v>
      </c>
      <c r="AT47" s="1" t="s">
        <v>311</v>
      </c>
      <c r="AU47" s="1" t="s">
        <v>98</v>
      </c>
      <c r="AV47" s="1" t="s">
        <v>105</v>
      </c>
      <c r="AW47" s="1"/>
      <c r="AX47" s="1" t="s">
        <v>137</v>
      </c>
      <c r="AY47" s="1" t="s">
        <v>100</v>
      </c>
      <c r="AZ47" s="1">
        <v>10</v>
      </c>
      <c r="BA47" s="1"/>
      <c r="BB47" s="1">
        <v>0</v>
      </c>
      <c r="BC47" s="1" t="s">
        <v>1454</v>
      </c>
      <c r="BD47" s="1" t="s">
        <v>1404</v>
      </c>
      <c r="BE47" s="1">
        <v>17.006991729398599</v>
      </c>
      <c r="BF47" s="1">
        <v>15.6228389074471</v>
      </c>
      <c r="BG47" s="1">
        <v>14.5487339059134</v>
      </c>
      <c r="BH47" s="1">
        <v>15.3247939823818</v>
      </c>
      <c r="BI47">
        <v>14.137446021801299</v>
      </c>
      <c r="BJ47">
        <v>13.2041413839695</v>
      </c>
      <c r="BK47" t="s">
        <v>1405</v>
      </c>
      <c r="BL47" t="s">
        <v>1455</v>
      </c>
      <c r="BM47">
        <v>988.00199999999995</v>
      </c>
      <c r="BN47">
        <v>-1.1873479605805</v>
      </c>
      <c r="BO47">
        <v>0.77606007646840103</v>
      </c>
      <c r="BP47">
        <v>0</v>
      </c>
      <c r="BQ47">
        <v>2.5868669215613398</v>
      </c>
      <c r="BR47">
        <v>2.5868669215613398</v>
      </c>
      <c r="BS47" t="s">
        <v>1400</v>
      </c>
      <c r="BT47" t="s">
        <v>1401</v>
      </c>
      <c r="BU47" t="s">
        <v>1402</v>
      </c>
      <c r="CF47" t="s">
        <v>103</v>
      </c>
      <c r="CM47">
        <v>58.578239440917997</v>
      </c>
      <c r="CN47">
        <v>26.807832717895501</v>
      </c>
      <c r="CO47">
        <v>83.682044982910199</v>
      </c>
      <c r="CS47">
        <v>8.7507152557372994</v>
      </c>
      <c r="CT47">
        <v>16.495506286621101</v>
      </c>
      <c r="CW47">
        <v>41.4699096679688</v>
      </c>
      <c r="DA47">
        <v>5.3615665435790998</v>
      </c>
      <c r="DB47">
        <v>8.1589775085449201</v>
      </c>
      <c r="DD47">
        <v>5.13734537760417</v>
      </c>
      <c r="DF47">
        <v>6.2192964765760603</v>
      </c>
      <c r="DG47">
        <v>8.8847092522515201</v>
      </c>
    </row>
    <row r="48" spans="1:111" x14ac:dyDescent="0.2">
      <c r="A48" s="3">
        <v>1</v>
      </c>
      <c r="B48" s="3" t="s">
        <v>416</v>
      </c>
      <c r="C48" s="3" t="s">
        <v>417</v>
      </c>
      <c r="D48" s="1"/>
      <c r="E48" s="1">
        <f t="shared" si="3"/>
        <v>4.71428571428571</v>
      </c>
      <c r="F48" s="1">
        <f t="shared" si="4"/>
        <v>4.71428571428571</v>
      </c>
      <c r="G48" s="1">
        <f t="shared" si="5"/>
        <v>0</v>
      </c>
      <c r="H48" s="1"/>
      <c r="I48" s="1">
        <v>46</v>
      </c>
      <c r="J48" s="1">
        <v>20.839745319999999</v>
      </c>
      <c r="K48" s="1">
        <v>28.876211399999999</v>
      </c>
      <c r="L48" s="1">
        <v>2.2999999999999998</v>
      </c>
      <c r="M48" s="1">
        <v>5.3</v>
      </c>
      <c r="N48" s="1">
        <v>2.2999999999999998</v>
      </c>
      <c r="O48" s="1">
        <v>6.6</v>
      </c>
      <c r="P48" s="1">
        <v>7</v>
      </c>
      <c r="Q48" s="1"/>
      <c r="R48" s="1"/>
      <c r="S48" s="1">
        <v>0</v>
      </c>
      <c r="T48" s="1">
        <v>0</v>
      </c>
      <c r="U48" s="1">
        <v>4.5</v>
      </c>
      <c r="V48" s="1">
        <v>5.3</v>
      </c>
      <c r="W48" s="1">
        <v>10</v>
      </c>
      <c r="X48" s="1">
        <v>7.7</v>
      </c>
      <c r="Y48" s="1">
        <v>6.1</v>
      </c>
      <c r="Z48" s="1">
        <v>3.7</v>
      </c>
      <c r="AA48" s="1"/>
      <c r="AB48" s="1"/>
      <c r="AC48" s="1">
        <v>3.7</v>
      </c>
      <c r="AD48" s="1">
        <v>0</v>
      </c>
      <c r="AE48" s="1">
        <v>0</v>
      </c>
      <c r="AF48" s="1"/>
      <c r="AG48" s="1"/>
      <c r="AH48" s="1"/>
      <c r="AI48" s="1"/>
      <c r="AJ48" s="1">
        <v>11.6</v>
      </c>
      <c r="AK48" s="1">
        <v>5.3</v>
      </c>
      <c r="AL48" s="1">
        <v>4</v>
      </c>
      <c r="AM48" s="1">
        <v>0</v>
      </c>
      <c r="AN48" s="1">
        <v>3.1</v>
      </c>
      <c r="AO48" s="1">
        <v>3</v>
      </c>
      <c r="AP48" s="1">
        <v>4.5999999999999996</v>
      </c>
      <c r="AQ48" s="1">
        <v>6.875</v>
      </c>
      <c r="AR48" s="1">
        <v>3.3</v>
      </c>
      <c r="AS48" s="1">
        <v>4.71428571428571</v>
      </c>
      <c r="AT48" s="1" t="s">
        <v>420</v>
      </c>
      <c r="AU48" s="1" t="s">
        <v>98</v>
      </c>
      <c r="AV48" s="1" t="s">
        <v>105</v>
      </c>
      <c r="AW48" s="1"/>
      <c r="AX48" s="1" t="s">
        <v>137</v>
      </c>
      <c r="AY48" s="1" t="s">
        <v>100</v>
      </c>
      <c r="AZ48" s="1">
        <v>10</v>
      </c>
      <c r="BA48" s="1"/>
      <c r="BB48" s="1">
        <v>0</v>
      </c>
      <c r="BC48" s="1"/>
      <c r="BD48" s="1"/>
      <c r="BE48" s="1"/>
      <c r="BF48" s="1"/>
      <c r="BG48" s="1"/>
      <c r="BH48" s="1"/>
      <c r="BS48" t="s">
        <v>1400</v>
      </c>
      <c r="BT48" t="s">
        <v>1401</v>
      </c>
      <c r="BU48" t="s">
        <v>1402</v>
      </c>
      <c r="CF48" t="s">
        <v>103</v>
      </c>
    </row>
    <row r="49" spans="1:111" x14ac:dyDescent="0.2">
      <c r="A49" s="3">
        <v>1</v>
      </c>
      <c r="B49" s="3" t="s">
        <v>421</v>
      </c>
      <c r="C49" s="3" t="s">
        <v>422</v>
      </c>
      <c r="D49" s="1"/>
      <c r="E49" s="1">
        <f t="shared" si="3"/>
        <v>1.4142135623730956</v>
      </c>
      <c r="F49" s="1">
        <f t="shared" si="4"/>
        <v>0.28571428571428598</v>
      </c>
      <c r="G49" s="1">
        <f t="shared" si="5"/>
        <v>7</v>
      </c>
      <c r="H49" s="1"/>
      <c r="I49" s="1">
        <v>47</v>
      </c>
      <c r="J49" s="1"/>
      <c r="K49" s="1"/>
      <c r="L49" s="1"/>
      <c r="M49" s="1"/>
      <c r="N49" s="1"/>
      <c r="O49" s="1">
        <v>7.1</v>
      </c>
      <c r="P49" s="1">
        <v>8.8000000000000007</v>
      </c>
      <c r="Q49" s="1">
        <v>0</v>
      </c>
      <c r="R49" s="1"/>
      <c r="S49" s="1">
        <v>0.7</v>
      </c>
      <c r="T49" s="1">
        <v>0.7</v>
      </c>
      <c r="U49" s="1">
        <v>4.2</v>
      </c>
      <c r="V49" s="1">
        <v>4.9000000000000004</v>
      </c>
      <c r="W49" s="1">
        <v>10</v>
      </c>
      <c r="X49" s="1">
        <v>7.5</v>
      </c>
      <c r="Y49" s="1">
        <v>5.8</v>
      </c>
      <c r="Z49" s="1">
        <v>0</v>
      </c>
      <c r="AA49" s="1"/>
      <c r="AB49" s="1">
        <v>0</v>
      </c>
      <c r="AC49" s="1">
        <v>0</v>
      </c>
      <c r="AD49" s="1">
        <v>0</v>
      </c>
      <c r="AE49" s="1">
        <v>0</v>
      </c>
      <c r="AF49" s="1">
        <v>20</v>
      </c>
      <c r="AG49" s="1">
        <v>10</v>
      </c>
      <c r="AH49" s="1">
        <v>11.3</v>
      </c>
      <c r="AI49" s="1">
        <v>0.9</v>
      </c>
      <c r="AJ49" s="1">
        <v>8.3000000000000007</v>
      </c>
      <c r="AK49" s="1">
        <v>3.5</v>
      </c>
      <c r="AL49" s="1">
        <v>3</v>
      </c>
      <c r="AM49" s="1">
        <v>0.1</v>
      </c>
      <c r="AN49" s="1">
        <v>1.9</v>
      </c>
      <c r="AO49" s="1">
        <v>0.9</v>
      </c>
      <c r="AP49" s="1">
        <v>3.4</v>
      </c>
      <c r="AQ49" s="1">
        <v>1.875</v>
      </c>
      <c r="AR49" s="1">
        <v>0.2</v>
      </c>
      <c r="AS49" s="1">
        <v>0.28571428571428598</v>
      </c>
      <c r="AT49" s="1" t="s">
        <v>161</v>
      </c>
      <c r="AU49" s="1" t="s">
        <v>98</v>
      </c>
      <c r="AV49" s="1" t="s">
        <v>425</v>
      </c>
      <c r="AW49" s="1" t="s">
        <v>100</v>
      </c>
      <c r="AX49" s="1" t="s">
        <v>183</v>
      </c>
      <c r="AY49" s="1" t="s">
        <v>96</v>
      </c>
      <c r="AZ49" s="1">
        <v>10</v>
      </c>
      <c r="BA49" s="1">
        <v>7</v>
      </c>
      <c r="BB49" s="1">
        <v>3</v>
      </c>
      <c r="BC49" s="1"/>
      <c r="BD49" s="1"/>
      <c r="BE49" s="1"/>
      <c r="BF49" s="1"/>
      <c r="BG49" s="1"/>
      <c r="BH49" s="1"/>
      <c r="BS49" t="s">
        <v>1400</v>
      </c>
      <c r="BT49" t="s">
        <v>1401</v>
      </c>
      <c r="BU49" t="s">
        <v>1402</v>
      </c>
      <c r="BW49">
        <v>5.8079999999999998</v>
      </c>
      <c r="BX49">
        <v>5.117</v>
      </c>
      <c r="BY49">
        <v>5.0419999999999998</v>
      </c>
      <c r="BZ49">
        <v>6.2</v>
      </c>
      <c r="CA49">
        <v>6</v>
      </c>
      <c r="CB49">
        <v>5.7</v>
      </c>
      <c r="CC49">
        <v>5.6</v>
      </c>
      <c r="CD49">
        <v>5.6</v>
      </c>
      <c r="CE49">
        <v>5.6</v>
      </c>
      <c r="CF49" t="s">
        <v>1456</v>
      </c>
      <c r="CG49">
        <v>-0.2</v>
      </c>
      <c r="CH49">
        <v>1.1579999999999999</v>
      </c>
      <c r="CI49">
        <v>0</v>
      </c>
      <c r="CJ49">
        <v>3.86</v>
      </c>
      <c r="CK49">
        <v>3.86</v>
      </c>
    </row>
    <row r="50" spans="1:111" x14ac:dyDescent="0.2">
      <c r="A50" s="3">
        <v>1</v>
      </c>
      <c r="B50" s="3" t="s">
        <v>427</v>
      </c>
      <c r="C50" s="3" t="s">
        <v>428</v>
      </c>
      <c r="D50" s="1"/>
      <c r="E50" s="1">
        <f t="shared" si="3"/>
        <v>5.9160797830996161</v>
      </c>
      <c r="F50" s="1">
        <f t="shared" si="4"/>
        <v>5</v>
      </c>
      <c r="G50" s="1">
        <f t="shared" si="5"/>
        <v>7</v>
      </c>
      <c r="H50" s="1"/>
      <c r="I50" s="1">
        <v>48</v>
      </c>
      <c r="J50" s="1">
        <v>34.534200869999999</v>
      </c>
      <c r="K50" s="1">
        <v>12.72058462</v>
      </c>
      <c r="L50" s="1">
        <v>4</v>
      </c>
      <c r="M50" s="1">
        <v>2</v>
      </c>
      <c r="N50" s="1">
        <v>4</v>
      </c>
      <c r="O50" s="1">
        <v>7.8</v>
      </c>
      <c r="P50" s="1">
        <v>8.1</v>
      </c>
      <c r="Q50" s="1">
        <v>1.6</v>
      </c>
      <c r="R50" s="1">
        <v>3.7</v>
      </c>
      <c r="S50" s="1">
        <v>0</v>
      </c>
      <c r="T50" s="1">
        <v>0</v>
      </c>
      <c r="U50" s="1">
        <v>4.2</v>
      </c>
      <c r="V50" s="1">
        <v>7</v>
      </c>
      <c r="W50" s="1">
        <v>6</v>
      </c>
      <c r="X50" s="1">
        <v>6.5</v>
      </c>
      <c r="Y50" s="1">
        <v>5.4</v>
      </c>
      <c r="Z50" s="1">
        <v>3.3</v>
      </c>
      <c r="AA50" s="1">
        <v>5.2</v>
      </c>
      <c r="AB50" s="1">
        <v>0.1</v>
      </c>
      <c r="AC50" s="1">
        <v>2.9</v>
      </c>
      <c r="AD50" s="1">
        <v>0</v>
      </c>
      <c r="AE50" s="1">
        <v>0</v>
      </c>
      <c r="AF50" s="1">
        <v>7</v>
      </c>
      <c r="AG50" s="1">
        <v>2.8</v>
      </c>
      <c r="AH50" s="1">
        <v>19</v>
      </c>
      <c r="AI50" s="1">
        <v>6</v>
      </c>
      <c r="AJ50" s="1">
        <v>8.6</v>
      </c>
      <c r="AK50" s="1">
        <v>3.7</v>
      </c>
      <c r="AL50" s="1">
        <v>5</v>
      </c>
      <c r="AM50" s="1">
        <v>0.8</v>
      </c>
      <c r="AN50" s="1">
        <v>3.9</v>
      </c>
      <c r="AO50" s="1">
        <v>3.6</v>
      </c>
      <c r="AP50" s="1">
        <v>4.5</v>
      </c>
      <c r="AQ50" s="1">
        <v>6.4583333333333304</v>
      </c>
      <c r="AR50" s="1">
        <v>3.5</v>
      </c>
      <c r="AS50" s="1">
        <v>5</v>
      </c>
      <c r="AT50" s="1" t="s">
        <v>328</v>
      </c>
      <c r="AU50" s="1" t="s">
        <v>98</v>
      </c>
      <c r="AV50" s="1" t="s">
        <v>431</v>
      </c>
      <c r="AW50" s="1" t="s">
        <v>100</v>
      </c>
      <c r="AX50" s="1" t="s">
        <v>137</v>
      </c>
      <c r="AY50" s="1" t="s">
        <v>100</v>
      </c>
      <c r="AZ50" s="1">
        <v>10</v>
      </c>
      <c r="BA50" s="1">
        <v>7</v>
      </c>
      <c r="BB50" s="1">
        <v>0</v>
      </c>
      <c r="BC50" s="1" t="s">
        <v>1457</v>
      </c>
      <c r="BD50" s="1" t="s">
        <v>1404</v>
      </c>
      <c r="BE50" s="1">
        <v>0.69195538353612596</v>
      </c>
      <c r="BF50" s="1">
        <v>0.43498518562570099</v>
      </c>
      <c r="BG50" s="1">
        <v>0.42237098506724502</v>
      </c>
      <c r="BH50" s="1">
        <v>0.47774298998248199</v>
      </c>
      <c r="BI50">
        <v>0.42237096385081802</v>
      </c>
      <c r="BJ50">
        <v>0.42237096385081802</v>
      </c>
      <c r="BK50" t="s">
        <v>1405</v>
      </c>
      <c r="BL50" t="s">
        <v>1408</v>
      </c>
      <c r="BM50">
        <v>10847.904</v>
      </c>
      <c r="BN50">
        <v>-5.5372026131663997E-2</v>
      </c>
      <c r="BO50">
        <v>5.5372004915237E-2</v>
      </c>
      <c r="BP50">
        <v>0</v>
      </c>
      <c r="BQ50">
        <v>0.18457334971745701</v>
      </c>
      <c r="BR50">
        <v>0.18457334971745701</v>
      </c>
      <c r="BS50" t="s">
        <v>1400</v>
      </c>
      <c r="BT50" t="s">
        <v>1401</v>
      </c>
      <c r="BU50" t="s">
        <v>1402</v>
      </c>
      <c r="BW50">
        <v>5.5090000000000003</v>
      </c>
      <c r="BX50">
        <v>5.6559999999999997</v>
      </c>
      <c r="BY50">
        <v>6.1669999999999998</v>
      </c>
      <c r="BZ50">
        <v>16</v>
      </c>
      <c r="CA50">
        <v>8</v>
      </c>
      <c r="CB50">
        <v>5.5</v>
      </c>
      <c r="CC50">
        <v>5.5</v>
      </c>
      <c r="CD50">
        <v>5.5</v>
      </c>
      <c r="CE50">
        <v>5.5</v>
      </c>
      <c r="CF50" t="s">
        <v>1458</v>
      </c>
      <c r="CG50">
        <v>-8</v>
      </c>
      <c r="CH50">
        <v>9.8330000000000002</v>
      </c>
      <c r="CI50">
        <v>0</v>
      </c>
      <c r="CJ50">
        <v>10</v>
      </c>
      <c r="CK50">
        <v>10</v>
      </c>
      <c r="CM50">
        <v>47.994571685791001</v>
      </c>
      <c r="CO50">
        <v>93.144790649414105</v>
      </c>
      <c r="CR50">
        <v>50.085075378417997</v>
      </c>
      <c r="CS50">
        <v>6.4027018547058097</v>
      </c>
      <c r="CV50">
        <v>6.3351645469665501</v>
      </c>
      <c r="CX50">
        <v>0.415686786174774</v>
      </c>
      <c r="CY50">
        <v>34.823410034179702</v>
      </c>
      <c r="DB50">
        <v>3.4276046752929701</v>
      </c>
      <c r="DC50">
        <v>2.5340658187866199</v>
      </c>
      <c r="DE50">
        <v>6.9646820068359396</v>
      </c>
      <c r="DF50">
        <v>4.3087841669718401</v>
      </c>
      <c r="DG50">
        <v>6.1554059528169196</v>
      </c>
    </row>
    <row r="51" spans="1:111" x14ac:dyDescent="0.2">
      <c r="A51" s="3">
        <v>1</v>
      </c>
      <c r="B51" s="3" t="s">
        <v>432</v>
      </c>
      <c r="C51" s="3" t="s">
        <v>433</v>
      </c>
      <c r="D51" s="1"/>
      <c r="E51" s="1">
        <f t="shared" si="3"/>
        <v>4.8989794855663575</v>
      </c>
      <c r="F51" s="1">
        <f t="shared" si="4"/>
        <v>3.4285714285714302</v>
      </c>
      <c r="G51" s="1">
        <f t="shared" si="5"/>
        <v>7</v>
      </c>
      <c r="H51" s="1"/>
      <c r="I51" s="1">
        <v>49</v>
      </c>
      <c r="J51" s="1"/>
      <c r="K51" s="1"/>
      <c r="L51" s="1"/>
      <c r="M51" s="1"/>
      <c r="N51" s="1"/>
      <c r="O51" s="1">
        <v>4.2</v>
      </c>
      <c r="P51" s="1">
        <v>7.3</v>
      </c>
      <c r="Q51" s="1"/>
      <c r="R51" s="1"/>
      <c r="S51" s="1">
        <v>0.2</v>
      </c>
      <c r="T51" s="1">
        <v>0.2</v>
      </c>
      <c r="U51" s="1">
        <v>3.9</v>
      </c>
      <c r="V51" s="1">
        <v>6</v>
      </c>
      <c r="W51" s="1">
        <v>0.4</v>
      </c>
      <c r="X51" s="1">
        <v>3.2</v>
      </c>
      <c r="Y51" s="1">
        <v>3.6</v>
      </c>
      <c r="Z51" s="1">
        <v>2.9</v>
      </c>
      <c r="AA51" s="1"/>
      <c r="AB51" s="1">
        <v>0.1</v>
      </c>
      <c r="AC51" s="1">
        <v>1.5</v>
      </c>
      <c r="AD51" s="1">
        <v>0</v>
      </c>
      <c r="AE51" s="1">
        <v>0</v>
      </c>
      <c r="AF51" s="1">
        <v>6</v>
      </c>
      <c r="AG51" s="1">
        <v>2.2000000000000002</v>
      </c>
      <c r="AH51" s="1">
        <v>14.2</v>
      </c>
      <c r="AI51" s="1">
        <v>2.8</v>
      </c>
      <c r="AJ51" s="1">
        <v>6.7</v>
      </c>
      <c r="AK51" s="1">
        <v>2.6</v>
      </c>
      <c r="AL51" s="1">
        <v>5</v>
      </c>
      <c r="AM51" s="1">
        <v>1.3</v>
      </c>
      <c r="AN51" s="1">
        <v>2.9</v>
      </c>
      <c r="AO51" s="1">
        <v>2.2000000000000002</v>
      </c>
      <c r="AP51" s="1">
        <v>2.9</v>
      </c>
      <c r="AQ51" s="1">
        <v>0</v>
      </c>
      <c r="AR51" s="1">
        <v>2.4</v>
      </c>
      <c r="AS51" s="1">
        <v>3.4285714285714302</v>
      </c>
      <c r="AT51" s="1" t="s">
        <v>387</v>
      </c>
      <c r="AU51" s="1" t="s">
        <v>98</v>
      </c>
      <c r="AV51" s="1" t="s">
        <v>435</v>
      </c>
      <c r="AW51" s="1" t="s">
        <v>100</v>
      </c>
      <c r="AX51" s="1" t="s">
        <v>102</v>
      </c>
      <c r="AY51" s="1" t="s">
        <v>98</v>
      </c>
      <c r="AZ51" s="1">
        <v>10</v>
      </c>
      <c r="BA51" s="1">
        <v>7</v>
      </c>
      <c r="BB51" s="1">
        <v>7</v>
      </c>
      <c r="BC51" s="1"/>
      <c r="BD51" s="1"/>
      <c r="BE51" s="1"/>
      <c r="BF51" s="1"/>
      <c r="BG51" s="1"/>
      <c r="BH51" s="1"/>
      <c r="BS51" t="s">
        <v>1400</v>
      </c>
      <c r="BT51" t="s">
        <v>1401</v>
      </c>
      <c r="BU51" t="s">
        <v>1402</v>
      </c>
      <c r="BW51">
        <v>11.709</v>
      </c>
      <c r="BX51">
        <v>11.731</v>
      </c>
      <c r="BY51">
        <v>11.382999999999999</v>
      </c>
      <c r="BZ51">
        <v>14.103</v>
      </c>
      <c r="CA51">
        <v>14.301</v>
      </c>
      <c r="CB51">
        <v>14.705</v>
      </c>
      <c r="CC51">
        <v>15.747</v>
      </c>
      <c r="CD51">
        <v>16.872</v>
      </c>
      <c r="CE51">
        <v>18.064</v>
      </c>
      <c r="CF51" t="s">
        <v>1459</v>
      </c>
      <c r="CG51">
        <v>0.19800000000000001</v>
      </c>
      <c r="CH51">
        <v>2.72</v>
      </c>
      <c r="CI51">
        <v>1.98</v>
      </c>
      <c r="CJ51">
        <v>9.06666666666667</v>
      </c>
      <c r="CK51">
        <v>9.06666666666667</v>
      </c>
    </row>
    <row r="52" spans="1:111" x14ac:dyDescent="0.2">
      <c r="A52" s="3">
        <v>1</v>
      </c>
      <c r="B52" s="3" t="s">
        <v>438</v>
      </c>
      <c r="C52" s="3" t="s">
        <v>439</v>
      </c>
      <c r="D52" s="1"/>
      <c r="E52" s="1">
        <f t="shared" si="3"/>
        <v>5.8309518948453025</v>
      </c>
      <c r="F52" s="1">
        <f t="shared" si="4"/>
        <v>4.8571428571428603</v>
      </c>
      <c r="G52" s="1">
        <f t="shared" si="5"/>
        <v>7</v>
      </c>
      <c r="H52" s="1"/>
      <c r="I52" s="1">
        <v>50</v>
      </c>
      <c r="J52" s="1">
        <v>72.575480889999994</v>
      </c>
      <c r="K52" s="1">
        <v>32.345768079999999</v>
      </c>
      <c r="L52" s="1">
        <v>8.6</v>
      </c>
      <c r="M52" s="1">
        <v>6</v>
      </c>
      <c r="N52" s="1">
        <v>8.6</v>
      </c>
      <c r="O52" s="1">
        <v>6.1</v>
      </c>
      <c r="P52" s="1">
        <v>6.4</v>
      </c>
      <c r="Q52" s="1">
        <v>2.2999999999999998</v>
      </c>
      <c r="R52" s="1">
        <v>4.4000000000000004</v>
      </c>
      <c r="S52" s="1">
        <v>0.7</v>
      </c>
      <c r="T52" s="1">
        <v>0.7</v>
      </c>
      <c r="U52" s="1">
        <v>4</v>
      </c>
      <c r="V52" s="1">
        <v>1.1000000000000001</v>
      </c>
      <c r="W52" s="1">
        <v>2.4</v>
      </c>
      <c r="X52" s="1">
        <v>1.8</v>
      </c>
      <c r="Y52" s="1">
        <v>2.9</v>
      </c>
      <c r="Z52" s="1">
        <v>3</v>
      </c>
      <c r="AA52" s="1">
        <v>4.3</v>
      </c>
      <c r="AB52" s="1">
        <v>0.3</v>
      </c>
      <c r="AC52" s="1">
        <v>2.5</v>
      </c>
      <c r="AD52" s="1">
        <v>0.1</v>
      </c>
      <c r="AE52" s="1">
        <v>0.1</v>
      </c>
      <c r="AF52" s="1">
        <v>7</v>
      </c>
      <c r="AG52" s="1">
        <v>2.8</v>
      </c>
      <c r="AH52" s="1">
        <v>13</v>
      </c>
      <c r="AI52" s="1">
        <v>2</v>
      </c>
      <c r="AJ52" s="1">
        <v>5.5</v>
      </c>
      <c r="AK52" s="1">
        <v>1.9</v>
      </c>
      <c r="AL52" s="1">
        <v>3</v>
      </c>
      <c r="AM52" s="1">
        <v>0.8</v>
      </c>
      <c r="AN52" s="1">
        <v>1.9</v>
      </c>
      <c r="AO52" s="1">
        <v>4.4000000000000004</v>
      </c>
      <c r="AP52" s="1">
        <v>3.6</v>
      </c>
      <c r="AQ52" s="1">
        <v>2.7083333333333299</v>
      </c>
      <c r="AR52" s="1">
        <v>3.4</v>
      </c>
      <c r="AS52" s="1">
        <v>4.8571428571428603</v>
      </c>
      <c r="AT52" s="1" t="s">
        <v>441</v>
      </c>
      <c r="AU52" s="1" t="s">
        <v>98</v>
      </c>
      <c r="AV52" s="1" t="s">
        <v>442</v>
      </c>
      <c r="AW52" s="1" t="s">
        <v>100</v>
      </c>
      <c r="AX52" s="1" t="s">
        <v>137</v>
      </c>
      <c r="AY52" s="1" t="s">
        <v>100</v>
      </c>
      <c r="AZ52" s="1">
        <v>10</v>
      </c>
      <c r="BA52" s="1">
        <v>7</v>
      </c>
      <c r="BB52" s="1">
        <v>0</v>
      </c>
      <c r="BC52" s="1" t="s">
        <v>1460</v>
      </c>
      <c r="BD52" s="1" t="s">
        <v>1404</v>
      </c>
      <c r="BE52" s="1">
        <v>3.2234150030426698</v>
      </c>
      <c r="BF52" s="1">
        <v>3.3263232401206699</v>
      </c>
      <c r="BG52" s="1">
        <v>3.4481435763266401</v>
      </c>
      <c r="BH52" s="1">
        <v>6.88</v>
      </c>
      <c r="BI52">
        <v>6.2</v>
      </c>
      <c r="BJ52">
        <v>5.72</v>
      </c>
      <c r="BK52" t="s">
        <v>1405</v>
      </c>
      <c r="BL52" t="s">
        <v>1408</v>
      </c>
      <c r="BM52">
        <v>17643.060000000001</v>
      </c>
      <c r="BN52">
        <v>-0.68</v>
      </c>
      <c r="BO52">
        <v>3.4318564236733602</v>
      </c>
      <c r="BP52">
        <v>0</v>
      </c>
      <c r="BQ52">
        <v>10</v>
      </c>
      <c r="BR52">
        <v>10</v>
      </c>
      <c r="BS52" t="s">
        <v>1400</v>
      </c>
      <c r="BT52" t="s">
        <v>1401</v>
      </c>
      <c r="BU52" t="s">
        <v>1402</v>
      </c>
      <c r="BW52">
        <v>4.62</v>
      </c>
      <c r="BX52">
        <v>3.69</v>
      </c>
      <c r="BY52">
        <v>3.84</v>
      </c>
      <c r="BZ52">
        <v>8.0739999999999998</v>
      </c>
      <c r="CA52">
        <v>5.6429999999999998</v>
      </c>
      <c r="CB52">
        <v>5.5140000000000002</v>
      </c>
      <c r="CC52">
        <v>5.19</v>
      </c>
      <c r="CD52">
        <v>4.7190000000000003</v>
      </c>
      <c r="CE52">
        <v>4.125</v>
      </c>
      <c r="CF52" t="s">
        <v>1461</v>
      </c>
      <c r="CG52">
        <v>-2.431</v>
      </c>
      <c r="CH52">
        <v>4.234</v>
      </c>
      <c r="CI52">
        <v>0</v>
      </c>
      <c r="CJ52">
        <v>10</v>
      </c>
      <c r="CK52">
        <v>10</v>
      </c>
      <c r="CL52">
        <v>0</v>
      </c>
      <c r="CM52">
        <v>52.937084197997997</v>
      </c>
      <c r="CO52">
        <v>94.632484436035199</v>
      </c>
      <c r="CR52">
        <v>48.5364379882812</v>
      </c>
      <c r="CS52">
        <v>6.4453268051147496</v>
      </c>
      <c r="CV52">
        <v>7.5211257934570304</v>
      </c>
      <c r="CX52">
        <v>1.56498515605927</v>
      </c>
      <c r="CY52">
        <v>28.515201568603501</v>
      </c>
      <c r="DB52">
        <v>2.6837577819824201</v>
      </c>
      <c r="DC52">
        <v>3.0084503173828101</v>
      </c>
      <c r="DE52">
        <v>5.7030403137206997</v>
      </c>
      <c r="DF52">
        <v>3.7984161376953098</v>
      </c>
      <c r="DG52">
        <v>5.4263087681361597</v>
      </c>
    </row>
    <row r="53" spans="1:111" x14ac:dyDescent="0.2">
      <c r="A53" s="3">
        <v>1</v>
      </c>
      <c r="B53" s="3" t="s">
        <v>443</v>
      </c>
      <c r="C53" s="3" t="s">
        <v>444</v>
      </c>
      <c r="D53" s="1"/>
      <c r="E53" s="1">
        <f t="shared" si="3"/>
        <v>6.7470972995184004</v>
      </c>
      <c r="F53" s="1">
        <f t="shared" si="4"/>
        <v>5</v>
      </c>
      <c r="G53" s="1">
        <f t="shared" si="5"/>
        <v>9.1046643938336995</v>
      </c>
      <c r="H53" s="1"/>
      <c r="I53" s="1">
        <v>51</v>
      </c>
      <c r="J53" s="1"/>
      <c r="K53" s="1"/>
      <c r="L53" s="1"/>
      <c r="M53" s="1"/>
      <c r="N53" s="1"/>
      <c r="O53" s="1">
        <v>6.7</v>
      </c>
      <c r="P53" s="1">
        <v>4.3</v>
      </c>
      <c r="Q53" s="1">
        <v>0.5</v>
      </c>
      <c r="R53" s="1">
        <v>5.3</v>
      </c>
      <c r="S53" s="1">
        <v>0.4</v>
      </c>
      <c r="T53" s="1">
        <v>0.4</v>
      </c>
      <c r="U53" s="1">
        <v>3.4</v>
      </c>
      <c r="V53" s="1">
        <v>7</v>
      </c>
      <c r="W53" s="1">
        <v>0.7</v>
      </c>
      <c r="X53" s="1">
        <v>3.9</v>
      </c>
      <c r="Y53" s="1">
        <v>3.6</v>
      </c>
      <c r="Z53" s="1">
        <v>4.0999999999999996</v>
      </c>
      <c r="AA53" s="1">
        <v>4.4000000000000004</v>
      </c>
      <c r="AB53" s="1">
        <v>0.3</v>
      </c>
      <c r="AC53" s="1">
        <v>2.9</v>
      </c>
      <c r="AD53" s="1">
        <v>0</v>
      </c>
      <c r="AE53" s="1">
        <v>0</v>
      </c>
      <c r="AF53" s="1">
        <v>5</v>
      </c>
      <c r="AG53" s="1">
        <v>1.7</v>
      </c>
      <c r="AH53" s="1">
        <v>27.7</v>
      </c>
      <c r="AI53" s="1">
        <v>10</v>
      </c>
      <c r="AJ53" s="1">
        <v>17.2</v>
      </c>
      <c r="AK53" s="1">
        <v>8.4</v>
      </c>
      <c r="AL53" s="1">
        <v>6</v>
      </c>
      <c r="AM53" s="1">
        <v>0.2</v>
      </c>
      <c r="AN53" s="1">
        <v>6.2</v>
      </c>
      <c r="AO53" s="1">
        <v>4.5</v>
      </c>
      <c r="AP53" s="1">
        <v>4.0999999999999996</v>
      </c>
      <c r="AQ53" s="1">
        <v>4.7916666666666696</v>
      </c>
      <c r="AR53" s="1">
        <v>3.5</v>
      </c>
      <c r="AS53" s="1">
        <v>5</v>
      </c>
      <c r="AT53" s="1" t="s">
        <v>436</v>
      </c>
      <c r="AU53" s="1" t="s">
        <v>96</v>
      </c>
      <c r="AV53" s="1" t="s">
        <v>446</v>
      </c>
      <c r="AW53" s="1" t="s">
        <v>100</v>
      </c>
      <c r="AX53" s="1" t="s">
        <v>137</v>
      </c>
      <c r="AY53" s="1" t="s">
        <v>100</v>
      </c>
      <c r="AZ53" s="1">
        <v>0</v>
      </c>
      <c r="BA53" s="1">
        <v>7</v>
      </c>
      <c r="BB53" s="1">
        <v>0</v>
      </c>
      <c r="BC53" s="1" t="s">
        <v>1462</v>
      </c>
      <c r="BD53" s="1" t="s">
        <v>1404</v>
      </c>
      <c r="BE53" s="1">
        <v>3.8059647951479798</v>
      </c>
      <c r="BF53" s="1">
        <v>3.9019468291610599</v>
      </c>
      <c r="BG53" s="1">
        <v>4.1174286440695802</v>
      </c>
      <c r="BH53" s="1">
        <v>4.2969302204584299</v>
      </c>
      <c r="BI53">
        <v>4.3905619853385902</v>
      </c>
      <c r="BJ53">
        <v>4.1961178379468898</v>
      </c>
      <c r="BK53" t="s">
        <v>1405</v>
      </c>
      <c r="BL53" t="s">
        <v>1455</v>
      </c>
      <c r="BM53">
        <v>102334.40300000001</v>
      </c>
      <c r="BN53">
        <v>9.3631764880160298E-2</v>
      </c>
      <c r="BO53">
        <v>0.17950157638885</v>
      </c>
      <c r="BP53">
        <v>0.93631764880160295</v>
      </c>
      <c r="BQ53">
        <v>0.59833858796283201</v>
      </c>
      <c r="BR53">
        <v>0.93631764880160295</v>
      </c>
      <c r="BS53" t="s">
        <v>1400</v>
      </c>
      <c r="BT53" t="s">
        <v>1401</v>
      </c>
      <c r="BU53" t="s">
        <v>1402</v>
      </c>
      <c r="BW53">
        <v>12.244999999999999</v>
      </c>
      <c r="BX53">
        <v>10.932</v>
      </c>
      <c r="BY53">
        <v>8.6120000000000001</v>
      </c>
      <c r="BZ53">
        <v>8.2959999999999994</v>
      </c>
      <c r="CA53">
        <v>9.6639999999999997</v>
      </c>
      <c r="CB53">
        <v>9.6869999999999994</v>
      </c>
      <c r="CC53">
        <v>9.51</v>
      </c>
      <c r="CD53">
        <v>9.33</v>
      </c>
      <c r="CE53">
        <v>8.9830000000000005</v>
      </c>
      <c r="CF53" t="s">
        <v>1463</v>
      </c>
      <c r="CG53">
        <v>1.3680000000000001</v>
      </c>
      <c r="CH53">
        <v>-0.316000000000001</v>
      </c>
      <c r="CI53">
        <v>10</v>
      </c>
      <c r="CJ53">
        <v>0</v>
      </c>
      <c r="CK53">
        <v>10</v>
      </c>
      <c r="CL53">
        <v>7</v>
      </c>
      <c r="CM53">
        <v>59.242485046386697</v>
      </c>
      <c r="CN53">
        <v>40.757514953613303</v>
      </c>
      <c r="CO53">
        <v>98.063415527343807</v>
      </c>
      <c r="CS53">
        <v>58.844440460205099</v>
      </c>
      <c r="CW53">
        <v>2.1857726573944101</v>
      </c>
      <c r="DA53">
        <v>8.1515029907226602</v>
      </c>
      <c r="DB53">
        <v>0.968292236328125</v>
      </c>
      <c r="DD53">
        <v>10</v>
      </c>
      <c r="DF53">
        <v>6.37326507568359</v>
      </c>
      <c r="DG53">
        <v>9.1046643938336995</v>
      </c>
    </row>
    <row r="54" spans="1:111" x14ac:dyDescent="0.2">
      <c r="A54" s="3">
        <v>1</v>
      </c>
      <c r="B54" s="3" t="s">
        <v>449</v>
      </c>
      <c r="C54" s="3" t="s">
        <v>450</v>
      </c>
      <c r="D54" s="1"/>
      <c r="E54" s="1">
        <f t="shared" si="3"/>
        <v>9</v>
      </c>
      <c r="F54" s="1">
        <f t="shared" si="4"/>
        <v>9</v>
      </c>
      <c r="G54" s="1">
        <f t="shared" si="5"/>
        <v>0</v>
      </c>
      <c r="H54" s="1"/>
      <c r="I54" s="1">
        <v>52</v>
      </c>
      <c r="J54" s="1"/>
      <c r="K54" s="1"/>
      <c r="L54" s="1"/>
      <c r="M54" s="1"/>
      <c r="N54" s="1"/>
      <c r="O54" s="1">
        <v>5.0999999999999996</v>
      </c>
      <c r="P54" s="1"/>
      <c r="Q54" s="1"/>
      <c r="R54" s="1"/>
      <c r="S54" s="1">
        <v>0.1</v>
      </c>
      <c r="T54" s="1">
        <v>0.1</v>
      </c>
      <c r="U54" s="1">
        <v>2.6</v>
      </c>
      <c r="V54" s="1">
        <v>4.0999999999999996</v>
      </c>
      <c r="W54" s="1">
        <v>0.4</v>
      </c>
      <c r="X54" s="1">
        <v>2.2999999999999998</v>
      </c>
      <c r="Y54" s="1">
        <v>2.4</v>
      </c>
      <c r="Z54" s="1">
        <v>9.1999999999999993</v>
      </c>
      <c r="AA54" s="1"/>
      <c r="AB54" s="1"/>
      <c r="AC54" s="1">
        <v>9.1999999999999993</v>
      </c>
      <c r="AD54" s="1">
        <v>0</v>
      </c>
      <c r="AE54" s="1">
        <v>0</v>
      </c>
      <c r="AF54" s="1"/>
      <c r="AG54" s="1"/>
      <c r="AH54" s="1">
        <v>23.9</v>
      </c>
      <c r="AI54" s="1">
        <v>9.3000000000000007</v>
      </c>
      <c r="AJ54" s="1">
        <v>5.0999999999999996</v>
      </c>
      <c r="AK54" s="1">
        <v>1.7</v>
      </c>
      <c r="AL54" s="1">
        <v>6</v>
      </c>
      <c r="AM54" s="1">
        <v>1.2</v>
      </c>
      <c r="AN54" s="1">
        <v>4.5999999999999996</v>
      </c>
      <c r="AO54" s="1">
        <v>6.9</v>
      </c>
      <c r="AP54" s="1">
        <v>4.7</v>
      </c>
      <c r="AQ54" s="1">
        <v>7.2916666666666696</v>
      </c>
      <c r="AR54" s="1">
        <v>6.3</v>
      </c>
      <c r="AS54" s="1">
        <v>9</v>
      </c>
      <c r="AT54" s="1" t="s">
        <v>399</v>
      </c>
      <c r="AU54" s="1" t="s">
        <v>100</v>
      </c>
      <c r="AV54" s="1" t="s">
        <v>105</v>
      </c>
      <c r="AW54" s="1"/>
      <c r="AX54" s="1" t="s">
        <v>102</v>
      </c>
      <c r="AY54" s="1" t="s">
        <v>98</v>
      </c>
      <c r="AZ54" s="1">
        <v>7</v>
      </c>
      <c r="BA54" s="1"/>
      <c r="BB54" s="1">
        <v>7</v>
      </c>
      <c r="BC54" s="1"/>
      <c r="BD54" s="1"/>
      <c r="BE54" s="1"/>
      <c r="BF54" s="1"/>
      <c r="BG54" s="1"/>
      <c r="BH54" s="1"/>
      <c r="BS54" t="s">
        <v>1400</v>
      </c>
      <c r="BT54" t="s">
        <v>1401</v>
      </c>
      <c r="BU54" t="s">
        <v>1402</v>
      </c>
      <c r="CF54" t="s">
        <v>103</v>
      </c>
    </row>
    <row r="55" spans="1:111" x14ac:dyDescent="0.2">
      <c r="A55" s="3">
        <v>1</v>
      </c>
      <c r="B55" s="3" t="s">
        <v>453</v>
      </c>
      <c r="C55" s="3" t="s">
        <v>454</v>
      </c>
      <c r="D55" s="1"/>
      <c r="E55" s="1">
        <f t="shared" si="3"/>
        <v>2.2360679774997894</v>
      </c>
      <c r="F55" s="1">
        <f t="shared" si="4"/>
        <v>0.71428571428571397</v>
      </c>
      <c r="G55" s="1">
        <f t="shared" si="5"/>
        <v>7</v>
      </c>
      <c r="H55" s="1"/>
      <c r="I55" s="1">
        <v>53</v>
      </c>
      <c r="J55" s="1"/>
      <c r="K55" s="1"/>
      <c r="L55" s="1"/>
      <c r="M55" s="1"/>
      <c r="N55" s="1"/>
      <c r="O55" s="1">
        <v>6.6</v>
      </c>
      <c r="P55" s="1">
        <v>8</v>
      </c>
      <c r="Q55" s="1">
        <v>0.9</v>
      </c>
      <c r="R55" s="1">
        <v>1.7</v>
      </c>
      <c r="S55" s="1">
        <v>0.2</v>
      </c>
      <c r="T55" s="1">
        <v>0.2</v>
      </c>
      <c r="U55" s="1">
        <v>3.5</v>
      </c>
      <c r="V55" s="1">
        <v>3.7</v>
      </c>
      <c r="W55" s="1">
        <v>10</v>
      </c>
      <c r="X55" s="1">
        <v>6.9</v>
      </c>
      <c r="Y55" s="1">
        <v>5.2</v>
      </c>
      <c r="Z55" s="1">
        <v>0.2</v>
      </c>
      <c r="AA55" s="1"/>
      <c r="AB55" s="1">
        <v>0.1</v>
      </c>
      <c r="AC55" s="1">
        <v>0.1</v>
      </c>
      <c r="AD55" s="1">
        <v>0</v>
      </c>
      <c r="AE55" s="1">
        <v>0</v>
      </c>
      <c r="AF55" s="1">
        <v>19</v>
      </c>
      <c r="AG55" s="1">
        <v>9.4</v>
      </c>
      <c r="AH55" s="1">
        <v>9.9</v>
      </c>
      <c r="AI55" s="1">
        <v>0</v>
      </c>
      <c r="AJ55" s="1">
        <v>6.9</v>
      </c>
      <c r="AK55" s="1">
        <v>2.7</v>
      </c>
      <c r="AL55" s="1">
        <v>3</v>
      </c>
      <c r="AM55" s="1">
        <v>0.2</v>
      </c>
      <c r="AN55" s="1">
        <v>1.5</v>
      </c>
      <c r="AO55" s="1">
        <v>0.8</v>
      </c>
      <c r="AP55" s="1">
        <v>3</v>
      </c>
      <c r="AQ55" s="1">
        <v>0.20833333333333201</v>
      </c>
      <c r="AR55" s="1">
        <v>0.5</v>
      </c>
      <c r="AS55" s="1">
        <v>0.71428571428571397</v>
      </c>
      <c r="AT55" s="1" t="s">
        <v>456</v>
      </c>
      <c r="AU55" s="1" t="s">
        <v>98</v>
      </c>
      <c r="AV55" s="1" t="s">
        <v>457</v>
      </c>
      <c r="AW55" s="1" t="s">
        <v>100</v>
      </c>
      <c r="AX55" s="1" t="s">
        <v>183</v>
      </c>
      <c r="AY55" s="1" t="s">
        <v>96</v>
      </c>
      <c r="AZ55" s="1">
        <v>10</v>
      </c>
      <c r="BA55" s="1">
        <v>7</v>
      </c>
      <c r="BB55" s="1">
        <v>3</v>
      </c>
      <c r="BC55" s="1"/>
      <c r="BD55" s="1"/>
      <c r="BE55" s="1"/>
      <c r="BF55" s="1"/>
      <c r="BG55" s="1"/>
      <c r="BH55" s="1"/>
      <c r="BS55" t="s">
        <v>1400</v>
      </c>
      <c r="BT55" t="s">
        <v>1401</v>
      </c>
      <c r="BU55" t="s">
        <v>1402</v>
      </c>
      <c r="BW55">
        <v>17.225000000000001</v>
      </c>
      <c r="BX55">
        <v>15.255000000000001</v>
      </c>
      <c r="BY55">
        <v>14.105</v>
      </c>
      <c r="BZ55">
        <v>16.805</v>
      </c>
      <c r="CA55">
        <v>16.791</v>
      </c>
      <c r="CB55">
        <v>15.659000000000001</v>
      </c>
      <c r="CC55">
        <v>14.882999999999999</v>
      </c>
      <c r="CD55">
        <v>14.372999999999999</v>
      </c>
      <c r="CE55">
        <v>14.247</v>
      </c>
      <c r="CF55" t="s">
        <v>1176</v>
      </c>
      <c r="CG55">
        <v>-1.3999999999999299E-2</v>
      </c>
      <c r="CH55">
        <v>2.7</v>
      </c>
      <c r="CI55">
        <v>0</v>
      </c>
      <c r="CJ55">
        <v>9</v>
      </c>
      <c r="CK55">
        <v>9</v>
      </c>
    </row>
    <row r="56" spans="1:111" x14ac:dyDescent="0.2">
      <c r="A56" s="3">
        <v>1</v>
      </c>
      <c r="B56" s="3" t="s">
        <v>459</v>
      </c>
      <c r="C56" s="3" t="s">
        <v>460</v>
      </c>
      <c r="D56" s="1"/>
      <c r="E56" s="1">
        <f t="shared" si="3"/>
        <v>2.4494897427831765</v>
      </c>
      <c r="F56" s="1">
        <f t="shared" si="4"/>
        <v>0.85714285714285599</v>
      </c>
      <c r="G56" s="1">
        <f t="shared" si="5"/>
        <v>7</v>
      </c>
      <c r="H56" s="1"/>
      <c r="I56" s="1">
        <v>54</v>
      </c>
      <c r="J56" s="1"/>
      <c r="K56" s="1"/>
      <c r="L56" s="1"/>
      <c r="M56" s="1"/>
      <c r="N56" s="1"/>
      <c r="O56" s="1">
        <v>4.9000000000000004</v>
      </c>
      <c r="P56" s="1">
        <v>6.9</v>
      </c>
      <c r="Q56" s="1"/>
      <c r="R56" s="1">
        <v>0.7</v>
      </c>
      <c r="S56" s="1">
        <v>0</v>
      </c>
      <c r="T56" s="1">
        <v>0</v>
      </c>
      <c r="U56" s="1">
        <v>3.1</v>
      </c>
      <c r="V56" s="1">
        <v>3.2</v>
      </c>
      <c r="W56" s="1">
        <v>10</v>
      </c>
      <c r="X56" s="1">
        <v>6.6</v>
      </c>
      <c r="Y56" s="1">
        <v>4.9000000000000004</v>
      </c>
      <c r="Z56" s="1">
        <v>0.6</v>
      </c>
      <c r="AA56" s="1"/>
      <c r="AB56" s="1">
        <v>0</v>
      </c>
      <c r="AC56" s="1">
        <v>0.3</v>
      </c>
      <c r="AD56" s="1">
        <v>0</v>
      </c>
      <c r="AE56" s="1">
        <v>0</v>
      </c>
      <c r="AF56" s="1">
        <v>20</v>
      </c>
      <c r="AG56" s="1">
        <v>10</v>
      </c>
      <c r="AH56" s="1">
        <v>17</v>
      </c>
      <c r="AI56" s="1">
        <v>4.7</v>
      </c>
      <c r="AJ56" s="1">
        <v>4.2</v>
      </c>
      <c r="AK56" s="1">
        <v>1.2</v>
      </c>
      <c r="AL56" s="1">
        <v>4</v>
      </c>
      <c r="AM56" s="1">
        <v>0.3</v>
      </c>
      <c r="AN56" s="1">
        <v>2.6</v>
      </c>
      <c r="AO56" s="1">
        <v>1.4</v>
      </c>
      <c r="AP56" s="1">
        <v>3.1</v>
      </c>
      <c r="AQ56" s="1">
        <v>0.625</v>
      </c>
      <c r="AR56" s="1">
        <v>0.6</v>
      </c>
      <c r="AS56" s="1">
        <v>0.85714285714285599</v>
      </c>
      <c r="AT56" s="1" t="s">
        <v>462</v>
      </c>
      <c r="AU56" s="1" t="s">
        <v>98</v>
      </c>
      <c r="AV56" s="1" t="s">
        <v>463</v>
      </c>
      <c r="AW56" s="1" t="s">
        <v>100</v>
      </c>
      <c r="AX56" s="1" t="s">
        <v>102</v>
      </c>
      <c r="AY56" s="1" t="s">
        <v>98</v>
      </c>
      <c r="AZ56" s="1">
        <v>10</v>
      </c>
      <c r="BA56" s="1">
        <v>7</v>
      </c>
      <c r="BB56" s="1">
        <v>7</v>
      </c>
      <c r="BC56" s="1"/>
      <c r="BD56" s="1"/>
      <c r="BE56" s="1"/>
      <c r="BF56" s="1"/>
      <c r="BG56" s="1"/>
      <c r="BH56" s="1"/>
      <c r="BS56" t="s">
        <v>1400</v>
      </c>
      <c r="BT56" t="s">
        <v>1401</v>
      </c>
      <c r="BU56" t="s">
        <v>1402</v>
      </c>
      <c r="BW56">
        <v>5.7629999999999999</v>
      </c>
      <c r="BX56">
        <v>5.3710000000000004</v>
      </c>
      <c r="BY56">
        <v>4.4480000000000004</v>
      </c>
      <c r="BZ56">
        <v>7.8</v>
      </c>
      <c r="CA56">
        <v>6.109</v>
      </c>
      <c r="CB56">
        <v>5</v>
      </c>
      <c r="CC56">
        <v>4.9660000000000002</v>
      </c>
      <c r="CD56">
        <v>4.9660000000000002</v>
      </c>
      <c r="CE56">
        <v>4.9660000000000002</v>
      </c>
      <c r="CF56" t="s">
        <v>1464</v>
      </c>
      <c r="CG56">
        <v>-1.6910000000000001</v>
      </c>
      <c r="CH56">
        <v>3.3519999999999999</v>
      </c>
      <c r="CI56">
        <v>0</v>
      </c>
      <c r="CJ56">
        <v>10</v>
      </c>
      <c r="CK56">
        <v>10</v>
      </c>
    </row>
    <row r="57" spans="1:111" x14ac:dyDescent="0.2">
      <c r="A57" s="3">
        <v>1</v>
      </c>
      <c r="B57" s="3" t="s">
        <v>465</v>
      </c>
      <c r="C57" s="3" t="s">
        <v>466</v>
      </c>
      <c r="D57" s="1"/>
      <c r="E57" s="1">
        <f t="shared" si="3"/>
        <v>9.4868329805051381</v>
      </c>
      <c r="F57" s="1">
        <f t="shared" si="4"/>
        <v>9</v>
      </c>
      <c r="G57" s="1">
        <f t="shared" si="5"/>
        <v>10</v>
      </c>
      <c r="H57" s="1"/>
      <c r="I57" s="1">
        <v>55</v>
      </c>
      <c r="J57" s="1">
        <v>13.247948510000001</v>
      </c>
      <c r="K57" s="1"/>
      <c r="L57" s="1">
        <v>1.4</v>
      </c>
      <c r="M57" s="1"/>
      <c r="N57" s="1">
        <v>1.4</v>
      </c>
      <c r="O57" s="1">
        <v>6.8</v>
      </c>
      <c r="P57" s="1">
        <v>2.1</v>
      </c>
      <c r="Q57" s="1">
        <v>7.3</v>
      </c>
      <c r="R57" s="1">
        <v>6.5</v>
      </c>
      <c r="S57" s="1">
        <v>2.7</v>
      </c>
      <c r="T57" s="1">
        <v>2.7</v>
      </c>
      <c r="U57" s="1">
        <v>5.0999999999999996</v>
      </c>
      <c r="V57" s="1">
        <v>2.7</v>
      </c>
      <c r="W57" s="1">
        <v>0.7</v>
      </c>
      <c r="X57" s="1">
        <v>1.7</v>
      </c>
      <c r="Y57" s="1">
        <v>3.4</v>
      </c>
      <c r="Z57" s="1">
        <v>8.6999999999999993</v>
      </c>
      <c r="AA57" s="1">
        <v>10</v>
      </c>
      <c r="AB57" s="1">
        <v>3.1</v>
      </c>
      <c r="AC57" s="1">
        <v>7.3</v>
      </c>
      <c r="AD57" s="1">
        <v>7.2</v>
      </c>
      <c r="AE57" s="1">
        <v>3.6</v>
      </c>
      <c r="AF57" s="1">
        <v>4</v>
      </c>
      <c r="AG57" s="1">
        <v>1.1000000000000001</v>
      </c>
      <c r="AH57" s="1">
        <v>18.3</v>
      </c>
      <c r="AI57" s="1">
        <v>5.5</v>
      </c>
      <c r="AJ57" s="1">
        <v>4.3</v>
      </c>
      <c r="AK57" s="1">
        <v>1.3</v>
      </c>
      <c r="AL57" s="1">
        <v>6</v>
      </c>
      <c r="AM57" s="1">
        <v>3</v>
      </c>
      <c r="AN57" s="1">
        <v>4</v>
      </c>
      <c r="AO57" s="1">
        <v>4.2</v>
      </c>
      <c r="AP57" s="1">
        <v>3.8</v>
      </c>
      <c r="AQ57" s="1">
        <v>3.5416666666666701</v>
      </c>
      <c r="AR57" s="1">
        <v>6.3</v>
      </c>
      <c r="AS57" s="1">
        <v>9</v>
      </c>
      <c r="AT57" s="1" t="s">
        <v>335</v>
      </c>
      <c r="AU57" s="1" t="s">
        <v>96</v>
      </c>
      <c r="AV57" s="1" t="s">
        <v>105</v>
      </c>
      <c r="AW57" s="1"/>
      <c r="AX57" s="1" t="s">
        <v>102</v>
      </c>
      <c r="AY57" s="1" t="s">
        <v>98</v>
      </c>
      <c r="AZ57" s="1">
        <v>0</v>
      </c>
      <c r="BA57" s="1"/>
      <c r="BB57" s="1">
        <v>7</v>
      </c>
      <c r="BC57" s="1" t="s">
        <v>1465</v>
      </c>
      <c r="BD57" s="1" t="s">
        <v>1404</v>
      </c>
      <c r="BE57" s="1">
        <v>30.005705916483802</v>
      </c>
      <c r="BF57" s="1">
        <v>29.031680335458901</v>
      </c>
      <c r="BG57" s="1">
        <v>27.848509573307101</v>
      </c>
      <c r="BH57" s="1">
        <v>27.707321158649201</v>
      </c>
      <c r="BI57">
        <v>27.4918030698535</v>
      </c>
      <c r="BJ57">
        <v>26.436679183189199</v>
      </c>
      <c r="BK57" t="s">
        <v>1405</v>
      </c>
      <c r="BL57" t="s">
        <v>1406</v>
      </c>
      <c r="BM57">
        <v>114963.583</v>
      </c>
      <c r="BN57">
        <v>-0.215518088795701</v>
      </c>
      <c r="BO57">
        <v>-0.141188414657901</v>
      </c>
      <c r="BP57">
        <v>0</v>
      </c>
      <c r="BQ57">
        <v>0</v>
      </c>
      <c r="BR57">
        <v>0</v>
      </c>
      <c r="BS57" t="s">
        <v>1400</v>
      </c>
      <c r="BT57" t="s">
        <v>1401</v>
      </c>
      <c r="BU57" t="s">
        <v>1402</v>
      </c>
      <c r="CF57" t="s">
        <v>103</v>
      </c>
      <c r="CM57">
        <v>86.3916015625</v>
      </c>
      <c r="CO57">
        <v>81.715324401855497</v>
      </c>
      <c r="CP57">
        <v>25.5778102874756</v>
      </c>
      <c r="CQ57">
        <v>0.34950307011604298</v>
      </c>
      <c r="CT57">
        <v>15.8589544296265</v>
      </c>
      <c r="CU57">
        <v>34.051116943359403</v>
      </c>
      <c r="CV57">
        <v>6.5882639884948704</v>
      </c>
      <c r="CW57">
        <v>0.46144014596939098</v>
      </c>
      <c r="CX57">
        <v>0.36923471093177801</v>
      </c>
      <c r="CY57">
        <v>35.0536499023438</v>
      </c>
      <c r="CZ57">
        <v>50.698722839355497</v>
      </c>
      <c r="DB57">
        <v>9.1423377990722692</v>
      </c>
      <c r="DC57">
        <v>2.6353055953979498</v>
      </c>
      <c r="DD57">
        <v>10</v>
      </c>
      <c r="DE57">
        <v>7.0107299804687502</v>
      </c>
      <c r="DF57">
        <v>7.19709334373474</v>
      </c>
      <c r="DG57">
        <v>10</v>
      </c>
    </row>
    <row r="58" spans="1:111" x14ac:dyDescent="0.2">
      <c r="A58" s="3">
        <v>1</v>
      </c>
      <c r="B58" s="3" t="s">
        <v>471</v>
      </c>
      <c r="C58" s="3" t="s">
        <v>472</v>
      </c>
      <c r="D58" s="1"/>
      <c r="E58" s="1">
        <f t="shared" si="3"/>
        <v>1.4142135623730956</v>
      </c>
      <c r="F58" s="1">
        <f t="shared" si="4"/>
        <v>0.28571428571428598</v>
      </c>
      <c r="G58" s="1">
        <f t="shared" si="5"/>
        <v>7</v>
      </c>
      <c r="H58" s="1"/>
      <c r="I58" s="1">
        <v>56</v>
      </c>
      <c r="J58" s="1"/>
      <c r="K58" s="1"/>
      <c r="L58" s="1"/>
      <c r="M58" s="1"/>
      <c r="N58" s="1"/>
      <c r="O58" s="1">
        <v>4.2</v>
      </c>
      <c r="P58" s="1">
        <v>8.5</v>
      </c>
      <c r="Q58" s="1"/>
      <c r="R58" s="1">
        <v>0.2</v>
      </c>
      <c r="S58" s="1">
        <v>0.5</v>
      </c>
      <c r="T58" s="1">
        <v>0.5</v>
      </c>
      <c r="U58" s="1">
        <v>3.4</v>
      </c>
      <c r="V58" s="1">
        <v>5.5</v>
      </c>
      <c r="W58" s="1">
        <v>8.5</v>
      </c>
      <c r="X58" s="1">
        <v>7</v>
      </c>
      <c r="Y58" s="1">
        <v>5.2</v>
      </c>
      <c r="Z58" s="1">
        <v>0</v>
      </c>
      <c r="AA58" s="1"/>
      <c r="AB58" s="1">
        <v>0</v>
      </c>
      <c r="AC58" s="1">
        <v>0</v>
      </c>
      <c r="AD58" s="1">
        <v>0</v>
      </c>
      <c r="AE58" s="1">
        <v>0</v>
      </c>
      <c r="AF58" s="1">
        <v>22</v>
      </c>
      <c r="AG58" s="1">
        <v>10</v>
      </c>
      <c r="AH58" s="1">
        <v>10.199999999999999</v>
      </c>
      <c r="AI58" s="1">
        <v>0.1</v>
      </c>
      <c r="AJ58" s="1">
        <v>5.6</v>
      </c>
      <c r="AK58" s="1">
        <v>2</v>
      </c>
      <c r="AL58" s="1">
        <v>3</v>
      </c>
      <c r="AM58" s="1">
        <v>0.1</v>
      </c>
      <c r="AN58" s="1">
        <v>1.3</v>
      </c>
      <c r="AO58" s="1">
        <v>0.7</v>
      </c>
      <c r="AP58" s="1">
        <v>2.9</v>
      </c>
      <c r="AQ58" s="1">
        <v>0</v>
      </c>
      <c r="AR58" s="1">
        <v>0.2</v>
      </c>
      <c r="AS58" s="1">
        <v>0.28571428571428598</v>
      </c>
      <c r="AT58" s="1" t="s">
        <v>122</v>
      </c>
      <c r="AU58" s="1" t="s">
        <v>98</v>
      </c>
      <c r="AV58" s="1" t="s">
        <v>475</v>
      </c>
      <c r="AW58" s="1" t="s">
        <v>100</v>
      </c>
      <c r="AX58" s="1" t="s">
        <v>183</v>
      </c>
      <c r="AY58" s="1" t="s">
        <v>96</v>
      </c>
      <c r="AZ58" s="1">
        <v>10</v>
      </c>
      <c r="BA58" s="1">
        <v>7</v>
      </c>
      <c r="BB58" s="1">
        <v>3</v>
      </c>
      <c r="BC58" s="1"/>
      <c r="BD58" s="1"/>
      <c r="BE58" s="1"/>
      <c r="BF58" s="1"/>
      <c r="BG58" s="1"/>
      <c r="BH58" s="1"/>
      <c r="BS58" t="s">
        <v>1400</v>
      </c>
      <c r="BT58" t="s">
        <v>1401</v>
      </c>
      <c r="BU58" t="s">
        <v>1402</v>
      </c>
      <c r="BW58">
        <v>8.8249999999999993</v>
      </c>
      <c r="BX58">
        <v>7.4249999999999998</v>
      </c>
      <c r="BY58">
        <v>6.8330000000000002</v>
      </c>
      <c r="BZ58">
        <v>8.4179999999999993</v>
      </c>
      <c r="CA58">
        <v>8.5630000000000006</v>
      </c>
      <c r="CB58">
        <v>7.74</v>
      </c>
      <c r="CC58">
        <v>7.14</v>
      </c>
      <c r="CD58">
        <v>6.64</v>
      </c>
      <c r="CE58">
        <v>6.54</v>
      </c>
      <c r="CF58" t="s">
        <v>1466</v>
      </c>
      <c r="CG58">
        <v>0.14500000000000099</v>
      </c>
      <c r="CH58">
        <v>1.585</v>
      </c>
      <c r="CI58">
        <v>1.4500000000000099</v>
      </c>
      <c r="CJ58">
        <v>5.2833333333333297</v>
      </c>
      <c r="CK58">
        <v>5.2833333333333297</v>
      </c>
    </row>
    <row r="59" spans="1:111" x14ac:dyDescent="0.2">
      <c r="A59" s="3">
        <v>1</v>
      </c>
      <c r="B59" s="3" t="s">
        <v>476</v>
      </c>
      <c r="C59" s="3" t="s">
        <v>477</v>
      </c>
      <c r="D59" s="1"/>
      <c r="E59" s="1">
        <f t="shared" si="3"/>
        <v>5.8309518948453025</v>
      </c>
      <c r="F59" s="1">
        <f t="shared" si="4"/>
        <v>4.8571428571428603</v>
      </c>
      <c r="G59" s="1">
        <f t="shared" si="5"/>
        <v>7</v>
      </c>
      <c r="H59" s="1"/>
      <c r="I59" s="1">
        <v>57</v>
      </c>
      <c r="J59" s="1">
        <v>14.33352232</v>
      </c>
      <c r="K59" s="1">
        <v>24.19741947</v>
      </c>
      <c r="L59" s="1">
        <v>1.5</v>
      </c>
      <c r="M59" s="1">
        <v>4.4000000000000004</v>
      </c>
      <c r="N59" s="1">
        <v>1.5</v>
      </c>
      <c r="O59" s="1">
        <v>5.6</v>
      </c>
      <c r="P59" s="1">
        <v>5.6</v>
      </c>
      <c r="Q59" s="1">
        <v>1.2</v>
      </c>
      <c r="R59" s="1">
        <v>7</v>
      </c>
      <c r="S59" s="1">
        <v>0</v>
      </c>
      <c r="T59" s="1">
        <v>0</v>
      </c>
      <c r="U59" s="1">
        <v>3.9</v>
      </c>
      <c r="V59" s="1">
        <v>4.3</v>
      </c>
      <c r="W59" s="1">
        <v>1.8</v>
      </c>
      <c r="X59" s="1">
        <v>3.1</v>
      </c>
      <c r="Y59" s="1">
        <v>3.5</v>
      </c>
      <c r="Z59" s="1">
        <v>3.2</v>
      </c>
      <c r="AA59" s="1"/>
      <c r="AB59" s="1">
        <v>0.1</v>
      </c>
      <c r="AC59" s="1">
        <v>1.7</v>
      </c>
      <c r="AD59" s="1">
        <v>0</v>
      </c>
      <c r="AE59" s="1">
        <v>0</v>
      </c>
      <c r="AF59" s="1">
        <v>5</v>
      </c>
      <c r="AG59" s="1">
        <v>1.7</v>
      </c>
      <c r="AH59" s="1">
        <v>30.6</v>
      </c>
      <c r="AI59" s="1">
        <v>10</v>
      </c>
      <c r="AJ59" s="1">
        <v>14.7</v>
      </c>
      <c r="AK59" s="1">
        <v>7.1</v>
      </c>
      <c r="AL59" s="1">
        <v>4</v>
      </c>
      <c r="AM59" s="1">
        <v>0.9</v>
      </c>
      <c r="AN59" s="1">
        <v>5.5</v>
      </c>
      <c r="AO59" s="1">
        <v>2.9</v>
      </c>
      <c r="AP59" s="1">
        <v>3.2</v>
      </c>
      <c r="AQ59" s="1">
        <v>1.0416666666666701</v>
      </c>
      <c r="AR59" s="1">
        <v>3.4</v>
      </c>
      <c r="AS59" s="1">
        <v>4.8571428571428603</v>
      </c>
      <c r="AT59" s="1" t="s">
        <v>479</v>
      </c>
      <c r="AU59" s="1" t="s">
        <v>98</v>
      </c>
      <c r="AV59" s="1" t="s">
        <v>279</v>
      </c>
      <c r="AW59" s="1" t="s">
        <v>100</v>
      </c>
      <c r="AX59" s="1" t="s">
        <v>137</v>
      </c>
      <c r="AY59" s="1" t="s">
        <v>100</v>
      </c>
      <c r="AZ59" s="1">
        <v>10</v>
      </c>
      <c r="BA59" s="1">
        <v>7</v>
      </c>
      <c r="BB59" s="1">
        <v>0</v>
      </c>
      <c r="BC59" s="1"/>
      <c r="BD59" s="1"/>
      <c r="BE59" s="1"/>
      <c r="BF59" s="1"/>
      <c r="BG59" s="1"/>
      <c r="BH59" s="1"/>
      <c r="BS59" t="s">
        <v>1400</v>
      </c>
      <c r="BT59" t="s">
        <v>1401</v>
      </c>
      <c r="BU59" t="s">
        <v>1402</v>
      </c>
      <c r="BW59">
        <v>4.5</v>
      </c>
      <c r="BX59">
        <v>4.5</v>
      </c>
      <c r="BY59">
        <v>4.5</v>
      </c>
      <c r="BZ59">
        <v>13.351000000000001</v>
      </c>
      <c r="CA59">
        <v>6.3040000000000003</v>
      </c>
      <c r="CB59">
        <v>4.5149999999999997</v>
      </c>
      <c r="CC59">
        <v>3.8769999999999998</v>
      </c>
      <c r="CD59">
        <v>4.0030000000000001</v>
      </c>
      <c r="CE59">
        <v>4.3689999999999998</v>
      </c>
      <c r="CF59" t="s">
        <v>1467</v>
      </c>
      <c r="CG59">
        <v>-7.0469999999999997</v>
      </c>
      <c r="CH59">
        <v>8.8510000000000009</v>
      </c>
      <c r="CI59">
        <v>0</v>
      </c>
      <c r="CJ59">
        <v>10</v>
      </c>
      <c r="CK59">
        <v>10</v>
      </c>
    </row>
    <row r="60" spans="1:111" x14ac:dyDescent="0.2">
      <c r="A60" s="3">
        <v>1</v>
      </c>
      <c r="B60" s="3" t="s">
        <v>481</v>
      </c>
      <c r="C60" s="3" t="s">
        <v>482</v>
      </c>
      <c r="D60" s="1"/>
      <c r="E60" s="1">
        <f t="shared" si="3"/>
        <v>2.2360679774997894</v>
      </c>
      <c r="F60" s="1">
        <f t="shared" si="4"/>
        <v>0.71428571428571397</v>
      </c>
      <c r="G60" s="1">
        <f t="shared" si="5"/>
        <v>7</v>
      </c>
      <c r="H60" s="1"/>
      <c r="I60" s="1">
        <v>58</v>
      </c>
      <c r="J60" s="1"/>
      <c r="K60" s="1"/>
      <c r="L60" s="1"/>
      <c r="M60" s="1"/>
      <c r="N60" s="1"/>
      <c r="O60" s="1">
        <v>7</v>
      </c>
      <c r="P60" s="1">
        <v>8</v>
      </c>
      <c r="Q60" s="1"/>
      <c r="R60" s="1">
        <v>0.7</v>
      </c>
      <c r="S60" s="1">
        <v>0.7</v>
      </c>
      <c r="T60" s="1">
        <v>0.7</v>
      </c>
      <c r="U60" s="1">
        <v>4.0999999999999996</v>
      </c>
      <c r="V60" s="1">
        <v>4.2</v>
      </c>
      <c r="W60" s="1">
        <v>10</v>
      </c>
      <c r="X60" s="1">
        <v>7.1</v>
      </c>
      <c r="Y60" s="1">
        <v>5.6</v>
      </c>
      <c r="Z60" s="1">
        <v>0</v>
      </c>
      <c r="AA60" s="1"/>
      <c r="AB60" s="1">
        <v>0</v>
      </c>
      <c r="AC60" s="1">
        <v>0</v>
      </c>
      <c r="AD60" s="1">
        <v>0</v>
      </c>
      <c r="AE60" s="1">
        <v>0</v>
      </c>
      <c r="AF60" s="1">
        <v>20</v>
      </c>
      <c r="AG60" s="1">
        <v>10</v>
      </c>
      <c r="AH60" s="1">
        <v>10.6</v>
      </c>
      <c r="AI60" s="1">
        <v>0.4</v>
      </c>
      <c r="AJ60" s="1">
        <v>4.8</v>
      </c>
      <c r="AK60" s="1">
        <v>1.6</v>
      </c>
      <c r="AL60" s="1">
        <v>3</v>
      </c>
      <c r="AM60" s="1">
        <v>0.1</v>
      </c>
      <c r="AN60" s="1">
        <v>1.3</v>
      </c>
      <c r="AO60" s="1">
        <v>0.6</v>
      </c>
      <c r="AP60" s="1">
        <v>3.1</v>
      </c>
      <c r="AQ60" s="1">
        <v>0.625</v>
      </c>
      <c r="AR60" s="1">
        <v>0.5</v>
      </c>
      <c r="AS60" s="1">
        <v>0.71428571428571397</v>
      </c>
      <c r="AT60" s="1" t="s">
        <v>484</v>
      </c>
      <c r="AU60" s="1" t="s">
        <v>98</v>
      </c>
      <c r="AV60" s="1" t="s">
        <v>485</v>
      </c>
      <c r="AW60" s="1" t="s">
        <v>100</v>
      </c>
      <c r="AX60" s="1" t="s">
        <v>183</v>
      </c>
      <c r="AY60" s="1" t="s">
        <v>96</v>
      </c>
      <c r="AZ60" s="1">
        <v>10</v>
      </c>
      <c r="BA60" s="1">
        <v>7</v>
      </c>
      <c r="BB60" s="1">
        <v>3</v>
      </c>
      <c r="BC60" s="1"/>
      <c r="BD60" s="1"/>
      <c r="BE60" s="1"/>
      <c r="BF60" s="1"/>
      <c r="BG60" s="1"/>
      <c r="BH60" s="1"/>
      <c r="BS60" t="s">
        <v>1400</v>
      </c>
      <c r="BT60" t="s">
        <v>1401</v>
      </c>
      <c r="BU60" t="s">
        <v>1402</v>
      </c>
      <c r="BW60">
        <v>9.4250000000000007</v>
      </c>
      <c r="BX60">
        <v>9.0250000000000004</v>
      </c>
      <c r="BY60">
        <v>8.4670000000000005</v>
      </c>
      <c r="BZ60">
        <v>8.8789999999999996</v>
      </c>
      <c r="CA60">
        <v>10.167999999999999</v>
      </c>
      <c r="CB60">
        <v>9.4640000000000004</v>
      </c>
      <c r="CC60">
        <v>8.968</v>
      </c>
      <c r="CD60">
        <v>8.6660000000000004</v>
      </c>
      <c r="CE60">
        <v>8.4659999999999993</v>
      </c>
      <c r="CF60" t="s">
        <v>1468</v>
      </c>
      <c r="CG60">
        <v>1.2889999999999999</v>
      </c>
      <c r="CH60">
        <v>0.41199999999999898</v>
      </c>
      <c r="CI60">
        <v>10</v>
      </c>
      <c r="CJ60">
        <v>1.37333333333333</v>
      </c>
      <c r="CK60">
        <v>10</v>
      </c>
    </row>
    <row r="61" spans="1:111" x14ac:dyDescent="0.2">
      <c r="A61" s="3">
        <v>1</v>
      </c>
      <c r="B61" s="3" t="s">
        <v>486</v>
      </c>
      <c r="C61" s="3" t="s">
        <v>487</v>
      </c>
      <c r="D61" s="1"/>
      <c r="E61" s="1">
        <f t="shared" si="3"/>
        <v>8</v>
      </c>
      <c r="F61" s="1">
        <f t="shared" si="4"/>
        <v>8</v>
      </c>
      <c r="G61" s="1">
        <f t="shared" si="5"/>
        <v>0</v>
      </c>
      <c r="H61" s="1"/>
      <c r="I61" s="1">
        <v>59</v>
      </c>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v>5.6</v>
      </c>
      <c r="AS61" s="1">
        <v>8</v>
      </c>
      <c r="AT61" s="1"/>
      <c r="AU61" s="1"/>
      <c r="AV61" s="1"/>
      <c r="AW61" s="1"/>
      <c r="AX61" s="1"/>
      <c r="AY61" s="1"/>
      <c r="AZ61" s="1"/>
      <c r="BA61" s="1"/>
      <c r="BB61" s="1"/>
      <c r="BC61" s="1"/>
      <c r="BD61" s="1"/>
      <c r="BE61" s="1"/>
      <c r="BF61" s="1"/>
      <c r="BG61" s="1"/>
      <c r="BH61" s="1"/>
      <c r="BS61" t="s">
        <v>1400</v>
      </c>
      <c r="BT61" t="s">
        <v>1401</v>
      </c>
      <c r="BU61" t="s">
        <v>1402</v>
      </c>
      <c r="CF61" t="s">
        <v>103</v>
      </c>
    </row>
    <row r="62" spans="1:111" x14ac:dyDescent="0.2">
      <c r="A62" s="3">
        <v>1</v>
      </c>
      <c r="B62" s="3" t="s">
        <v>488</v>
      </c>
      <c r="C62" s="3" t="s">
        <v>489</v>
      </c>
      <c r="D62" s="1"/>
      <c r="E62" s="1">
        <f t="shared" si="3"/>
        <v>7.8376381281972565</v>
      </c>
      <c r="F62" s="1">
        <f t="shared" si="4"/>
        <v>6.1428571428571397</v>
      </c>
      <c r="G62" s="1">
        <f t="shared" si="5"/>
        <v>10</v>
      </c>
      <c r="H62" s="1"/>
      <c r="I62" s="1">
        <v>60</v>
      </c>
      <c r="J62" s="1">
        <v>51.834282860000002</v>
      </c>
      <c r="K62" s="1">
        <v>20.755467939999999</v>
      </c>
      <c r="L62" s="1">
        <v>6.1</v>
      </c>
      <c r="M62" s="1">
        <v>3.7</v>
      </c>
      <c r="N62" s="1">
        <v>6.1</v>
      </c>
      <c r="O62" s="1">
        <v>3.1</v>
      </c>
      <c r="P62" s="1">
        <v>8.9</v>
      </c>
      <c r="Q62" s="1">
        <v>4.0999999999999996</v>
      </c>
      <c r="R62" s="1">
        <v>5.2</v>
      </c>
      <c r="S62" s="1">
        <v>0</v>
      </c>
      <c r="T62" s="1">
        <v>0</v>
      </c>
      <c r="U62" s="1">
        <v>4.3</v>
      </c>
      <c r="V62" s="1">
        <v>6.5</v>
      </c>
      <c r="W62" s="1">
        <v>0.1</v>
      </c>
      <c r="X62" s="1">
        <v>3.3</v>
      </c>
      <c r="Y62" s="1">
        <v>3.8</v>
      </c>
      <c r="Z62" s="1">
        <v>4</v>
      </c>
      <c r="AA62" s="1">
        <v>6.9</v>
      </c>
      <c r="AB62" s="1">
        <v>0.3</v>
      </c>
      <c r="AC62" s="1">
        <v>3.7</v>
      </c>
      <c r="AD62" s="1">
        <v>0</v>
      </c>
      <c r="AE62" s="1">
        <v>0</v>
      </c>
      <c r="AF62" s="1">
        <v>4</v>
      </c>
      <c r="AG62" s="1">
        <v>1.1000000000000001</v>
      </c>
      <c r="AH62" s="1">
        <v>14.4</v>
      </c>
      <c r="AI62" s="1">
        <v>2.9</v>
      </c>
      <c r="AJ62" s="1">
        <v>6</v>
      </c>
      <c r="AK62" s="1">
        <v>2.2000000000000002</v>
      </c>
      <c r="AL62" s="1">
        <v>5</v>
      </c>
      <c r="AM62" s="1">
        <v>9.6</v>
      </c>
      <c r="AN62" s="1">
        <v>4.9000000000000004</v>
      </c>
      <c r="AO62" s="1">
        <v>4.9000000000000004</v>
      </c>
      <c r="AP62" s="1">
        <v>4.4000000000000004</v>
      </c>
      <c r="AQ62" s="1">
        <v>6.0416666666666696</v>
      </c>
      <c r="AR62" s="1">
        <v>4.3</v>
      </c>
      <c r="AS62" s="1">
        <v>6.1428571428571397</v>
      </c>
      <c r="AT62" s="1" t="s">
        <v>491</v>
      </c>
      <c r="AU62" s="1" t="s">
        <v>98</v>
      </c>
      <c r="AV62" s="1" t="s">
        <v>105</v>
      </c>
      <c r="AW62" s="1"/>
      <c r="AX62" s="1" t="s">
        <v>183</v>
      </c>
      <c r="AY62" s="1" t="s">
        <v>96</v>
      </c>
      <c r="AZ62" s="1">
        <v>10</v>
      </c>
      <c r="BA62" s="1"/>
      <c r="BB62" s="1">
        <v>3</v>
      </c>
      <c r="BC62" s="1" t="s">
        <v>1469</v>
      </c>
      <c r="BD62" s="1" t="s">
        <v>1404</v>
      </c>
      <c r="BE62" s="1">
        <v>3.3852405638293899</v>
      </c>
      <c r="BF62" s="1">
        <v>3.4160625308580901</v>
      </c>
      <c r="BG62" s="1">
        <v>3.36813076969176</v>
      </c>
      <c r="BH62" s="1">
        <v>3.4736726116288699</v>
      </c>
      <c r="BI62">
        <v>3.4739139784498798</v>
      </c>
      <c r="BJ62">
        <v>3.4270676314483799</v>
      </c>
      <c r="BK62" t="s">
        <v>1405</v>
      </c>
      <c r="BL62" t="s">
        <v>1406</v>
      </c>
      <c r="BM62">
        <v>2225.7280000000001</v>
      </c>
      <c r="BN62">
        <v>2.41366821009947E-4</v>
      </c>
      <c r="BO62">
        <v>0.10554184193711</v>
      </c>
      <c r="BP62">
        <v>2.4136682100994698E-3</v>
      </c>
      <c r="BQ62">
        <v>0.35180613979036601</v>
      </c>
      <c r="BR62">
        <v>0.35180613979036601</v>
      </c>
      <c r="BS62" t="s">
        <v>1400</v>
      </c>
      <c r="BT62" t="s">
        <v>1401</v>
      </c>
      <c r="BU62" t="s">
        <v>1402</v>
      </c>
      <c r="CF62" t="s">
        <v>103</v>
      </c>
      <c r="CM62">
        <v>39.113338470458999</v>
      </c>
      <c r="CN62">
        <v>60.8866577148438</v>
      </c>
      <c r="CQ62">
        <v>9.4237365722656197</v>
      </c>
      <c r="CT62">
        <v>41.881923675537102</v>
      </c>
      <c r="CU62">
        <v>63.0724067687988</v>
      </c>
      <c r="CW62">
        <v>47.694118499755902</v>
      </c>
      <c r="CY62">
        <v>67.657997131347699</v>
      </c>
      <c r="CZ62">
        <v>68.6990966796875</v>
      </c>
      <c r="DA62">
        <v>10</v>
      </c>
      <c r="DD62">
        <v>4.3074508666992202</v>
      </c>
      <c r="DE62">
        <v>10</v>
      </c>
      <c r="DF62">
        <v>8.1024836222330698</v>
      </c>
      <c r="DG62">
        <v>10</v>
      </c>
    </row>
    <row r="63" spans="1:111" x14ac:dyDescent="0.2">
      <c r="A63" s="3">
        <v>1</v>
      </c>
      <c r="B63" s="3" t="s">
        <v>492</v>
      </c>
      <c r="C63" s="3" t="s">
        <v>493</v>
      </c>
      <c r="D63" s="1"/>
      <c r="E63" s="1">
        <f t="shared" si="3"/>
        <v>2.2360679774997894</v>
      </c>
      <c r="F63" s="1">
        <f t="shared" si="4"/>
        <v>0.71428571428571397</v>
      </c>
      <c r="G63" s="1">
        <f t="shared" si="5"/>
        <v>7</v>
      </c>
      <c r="H63" s="1"/>
      <c r="I63" s="1">
        <v>61</v>
      </c>
      <c r="J63" s="1"/>
      <c r="K63" s="1"/>
      <c r="L63" s="1"/>
      <c r="M63" s="1"/>
      <c r="N63" s="1"/>
      <c r="O63" s="1">
        <v>8.1</v>
      </c>
      <c r="P63" s="1">
        <v>8.3000000000000007</v>
      </c>
      <c r="Q63" s="1"/>
      <c r="R63" s="1">
        <v>0.9</v>
      </c>
      <c r="S63" s="1">
        <v>0.3</v>
      </c>
      <c r="T63" s="1">
        <v>0.3</v>
      </c>
      <c r="U63" s="1">
        <v>4.4000000000000004</v>
      </c>
      <c r="V63" s="1">
        <v>4.9000000000000004</v>
      </c>
      <c r="W63" s="1">
        <v>10</v>
      </c>
      <c r="X63" s="1">
        <v>7.5</v>
      </c>
      <c r="Y63" s="1">
        <v>5.9</v>
      </c>
      <c r="Z63" s="1">
        <v>0</v>
      </c>
      <c r="AA63" s="1"/>
      <c r="AB63" s="1">
        <v>0</v>
      </c>
      <c r="AC63" s="1">
        <v>0</v>
      </c>
      <c r="AD63" s="1">
        <v>0</v>
      </c>
      <c r="AE63" s="1">
        <v>0</v>
      </c>
      <c r="AF63" s="1">
        <v>18</v>
      </c>
      <c r="AG63" s="1">
        <v>8.9</v>
      </c>
      <c r="AH63" s="1">
        <v>10.9</v>
      </c>
      <c r="AI63" s="1">
        <v>0.6</v>
      </c>
      <c r="AJ63" s="1">
        <v>3.9</v>
      </c>
      <c r="AK63" s="1">
        <v>1.1000000000000001</v>
      </c>
      <c r="AL63" s="1">
        <v>3</v>
      </c>
      <c r="AM63" s="1">
        <v>0.2</v>
      </c>
      <c r="AN63" s="1">
        <v>1.2</v>
      </c>
      <c r="AO63" s="1">
        <v>0.6</v>
      </c>
      <c r="AP63" s="1">
        <v>3.3</v>
      </c>
      <c r="AQ63" s="1">
        <v>1.4583333333333299</v>
      </c>
      <c r="AR63" s="1">
        <v>0.5</v>
      </c>
      <c r="AS63" s="1">
        <v>0.71428571428571397</v>
      </c>
      <c r="AT63" s="1" t="s">
        <v>484</v>
      </c>
      <c r="AU63" s="1" t="s">
        <v>98</v>
      </c>
      <c r="AV63" s="1" t="s">
        <v>106</v>
      </c>
      <c r="AW63" s="1" t="s">
        <v>100</v>
      </c>
      <c r="AX63" s="1" t="s">
        <v>183</v>
      </c>
      <c r="AY63" s="1" t="s">
        <v>96</v>
      </c>
      <c r="AZ63" s="1">
        <v>10</v>
      </c>
      <c r="BA63" s="1">
        <v>7</v>
      </c>
      <c r="BB63" s="1">
        <v>3</v>
      </c>
      <c r="BC63" s="1"/>
      <c r="BD63" s="1"/>
      <c r="BE63" s="1"/>
      <c r="BF63" s="1"/>
      <c r="BG63" s="1"/>
      <c r="BH63" s="1"/>
      <c r="BS63" t="s">
        <v>1400</v>
      </c>
      <c r="BT63" t="s">
        <v>1401</v>
      </c>
      <c r="BU63" t="s">
        <v>1402</v>
      </c>
      <c r="BW63">
        <v>4.4249999999999998</v>
      </c>
      <c r="BX63">
        <v>4.0750000000000002</v>
      </c>
      <c r="BY63">
        <v>3.8250000000000002</v>
      </c>
      <c r="BZ63">
        <v>5.375</v>
      </c>
      <c r="CA63">
        <v>7.4</v>
      </c>
      <c r="CB63">
        <v>6.0910000000000002</v>
      </c>
      <c r="CC63">
        <v>5.165</v>
      </c>
      <c r="CD63">
        <v>4.4580000000000002</v>
      </c>
      <c r="CE63">
        <v>4.2</v>
      </c>
      <c r="CF63" t="s">
        <v>1470</v>
      </c>
      <c r="CG63">
        <v>2.0249999999999999</v>
      </c>
      <c r="CH63">
        <v>1.55</v>
      </c>
      <c r="CI63">
        <v>10</v>
      </c>
      <c r="CJ63">
        <v>5.1666666666666696</v>
      </c>
      <c r="CK63">
        <v>10</v>
      </c>
    </row>
    <row r="64" spans="1:111" x14ac:dyDescent="0.2">
      <c r="A64" s="3">
        <v>1</v>
      </c>
      <c r="B64" s="3" t="s">
        <v>495</v>
      </c>
      <c r="C64" s="3" t="s">
        <v>496</v>
      </c>
      <c r="D64" s="1"/>
      <c r="E64" s="1">
        <f t="shared" si="3"/>
        <v>3.4285714285714302</v>
      </c>
      <c r="F64" s="1">
        <f t="shared" si="4"/>
        <v>3.4285714285714302</v>
      </c>
      <c r="G64" s="1">
        <f t="shared" si="5"/>
        <v>0</v>
      </c>
      <c r="H64" s="1"/>
      <c r="I64" s="1">
        <v>62</v>
      </c>
      <c r="J64" s="1">
        <v>64.653422640000002</v>
      </c>
      <c r="K64" s="1">
        <v>29.2475582</v>
      </c>
      <c r="L64" s="1">
        <v>7.7</v>
      </c>
      <c r="M64" s="1">
        <v>5.4</v>
      </c>
      <c r="N64" s="1">
        <v>7.7</v>
      </c>
      <c r="O64" s="1">
        <v>6</v>
      </c>
      <c r="P64" s="1">
        <v>5.9</v>
      </c>
      <c r="Q64" s="1">
        <v>3.8</v>
      </c>
      <c r="R64" s="1"/>
      <c r="S64" s="1">
        <v>7.4</v>
      </c>
      <c r="T64" s="1">
        <v>7.4</v>
      </c>
      <c r="U64" s="1">
        <v>5.8</v>
      </c>
      <c r="V64" s="1">
        <v>5.9</v>
      </c>
      <c r="W64" s="1">
        <v>8.1999999999999993</v>
      </c>
      <c r="X64" s="1">
        <v>7.1</v>
      </c>
      <c r="Y64" s="1">
        <v>6.4</v>
      </c>
      <c r="Z64" s="1">
        <v>2.4</v>
      </c>
      <c r="AA64" s="1"/>
      <c r="AB64" s="1">
        <v>0.5</v>
      </c>
      <c r="AC64" s="1">
        <v>1.5</v>
      </c>
      <c r="AD64" s="1">
        <v>0</v>
      </c>
      <c r="AE64" s="1">
        <v>0</v>
      </c>
      <c r="AF64" s="1">
        <v>15</v>
      </c>
      <c r="AG64" s="1">
        <v>7.2</v>
      </c>
      <c r="AH64" s="1">
        <v>24.9</v>
      </c>
      <c r="AI64" s="1">
        <v>9.9</v>
      </c>
      <c r="AJ64" s="1">
        <v>5.8</v>
      </c>
      <c r="AK64" s="1">
        <v>2.1</v>
      </c>
      <c r="AL64" s="1">
        <v>6</v>
      </c>
      <c r="AM64" s="1">
        <v>1.6</v>
      </c>
      <c r="AN64" s="1">
        <v>4.9000000000000004</v>
      </c>
      <c r="AO64" s="1">
        <v>4.7</v>
      </c>
      <c r="AP64" s="1">
        <v>5.5</v>
      </c>
      <c r="AQ64" s="1">
        <v>10</v>
      </c>
      <c r="AR64" s="1">
        <v>2.4</v>
      </c>
      <c r="AS64" s="1">
        <v>3.4285714285714302</v>
      </c>
      <c r="AT64" s="1" t="s">
        <v>104</v>
      </c>
      <c r="AU64" s="1" t="s">
        <v>98</v>
      </c>
      <c r="AV64" s="1" t="s">
        <v>105</v>
      </c>
      <c r="AW64" s="1"/>
      <c r="AX64" s="1" t="s">
        <v>137</v>
      </c>
      <c r="AY64" s="1" t="s">
        <v>100</v>
      </c>
      <c r="AZ64" s="1">
        <v>10</v>
      </c>
      <c r="BA64" s="1"/>
      <c r="BB64" s="1">
        <v>0</v>
      </c>
      <c r="BC64" s="1" t="s">
        <v>1471</v>
      </c>
      <c r="BD64" s="1" t="s">
        <v>1404</v>
      </c>
      <c r="BE64" s="1">
        <v>4.9761102362990597</v>
      </c>
      <c r="BF64" s="1">
        <v>4.4885300065825504</v>
      </c>
      <c r="BG64" s="1">
        <v>3.9463740902547499</v>
      </c>
      <c r="BH64" s="1">
        <v>4.5405586050713103</v>
      </c>
      <c r="BI64">
        <v>4.1827402920182299</v>
      </c>
      <c r="BJ64">
        <v>3.6114272582598201</v>
      </c>
      <c r="BK64" t="s">
        <v>1405</v>
      </c>
      <c r="BL64" t="s">
        <v>1411</v>
      </c>
      <c r="BM64">
        <v>3989.1750000000002</v>
      </c>
      <c r="BN64">
        <v>-0.35781831305307998</v>
      </c>
      <c r="BO64">
        <v>0.59418451481655998</v>
      </c>
      <c r="BP64">
        <v>0</v>
      </c>
      <c r="BQ64">
        <v>1.9806150493885299</v>
      </c>
      <c r="BR64">
        <v>1.9806150493885299</v>
      </c>
      <c r="BS64" t="s">
        <v>1400</v>
      </c>
      <c r="BT64" t="s">
        <v>1401</v>
      </c>
      <c r="BU64" t="s">
        <v>1402</v>
      </c>
      <c r="BW64">
        <v>13.9</v>
      </c>
      <c r="BX64">
        <v>12.7</v>
      </c>
      <c r="BY64">
        <v>11.6</v>
      </c>
      <c r="CF64" t="s">
        <v>1431</v>
      </c>
      <c r="CL64">
        <v>10</v>
      </c>
    </row>
    <row r="65" spans="1:111" x14ac:dyDescent="0.2">
      <c r="A65" s="3">
        <v>1</v>
      </c>
      <c r="B65" s="3" t="s">
        <v>501</v>
      </c>
      <c r="C65" s="3" t="s">
        <v>502</v>
      </c>
      <c r="D65" s="1"/>
      <c r="E65" s="1">
        <f t="shared" si="3"/>
        <v>8.7013956187663197</v>
      </c>
      <c r="F65" s="1">
        <f t="shared" si="4"/>
        <v>7.5714285714285703</v>
      </c>
      <c r="G65" s="1">
        <f t="shared" si="5"/>
        <v>10</v>
      </c>
      <c r="H65" s="1"/>
      <c r="I65" s="1">
        <v>63</v>
      </c>
      <c r="J65" s="1">
        <v>63.672912119999999</v>
      </c>
      <c r="K65" s="1">
        <v>96.405019859999996</v>
      </c>
      <c r="L65" s="1">
        <v>7.6</v>
      </c>
      <c r="M65" s="1">
        <v>10</v>
      </c>
      <c r="N65" s="1">
        <v>7.6</v>
      </c>
      <c r="O65" s="1">
        <v>7.1</v>
      </c>
      <c r="P65" s="1">
        <v>5.6</v>
      </c>
      <c r="Q65" s="1">
        <v>3.4</v>
      </c>
      <c r="R65" s="1">
        <v>3.7</v>
      </c>
      <c r="S65" s="1">
        <v>0.1</v>
      </c>
      <c r="T65" s="1">
        <v>0.1</v>
      </c>
      <c r="U65" s="1">
        <v>4</v>
      </c>
      <c r="V65" s="1">
        <v>4.5</v>
      </c>
      <c r="W65" s="1">
        <v>1.8</v>
      </c>
      <c r="X65" s="1">
        <v>3.2</v>
      </c>
      <c r="Y65" s="1">
        <v>3.6</v>
      </c>
      <c r="Z65" s="1">
        <v>6.2</v>
      </c>
      <c r="AA65" s="1">
        <v>8</v>
      </c>
      <c r="AB65" s="1">
        <v>1.3</v>
      </c>
      <c r="AC65" s="1">
        <v>5.2</v>
      </c>
      <c r="AD65" s="1">
        <v>0</v>
      </c>
      <c r="AE65" s="1">
        <v>0</v>
      </c>
      <c r="AF65" s="1">
        <v>3</v>
      </c>
      <c r="AG65" s="1">
        <v>0.6</v>
      </c>
      <c r="AH65" s="1">
        <v>20.8</v>
      </c>
      <c r="AI65" s="1">
        <v>7.2</v>
      </c>
      <c r="AJ65" s="1">
        <v>2.5</v>
      </c>
      <c r="AK65" s="1">
        <v>0.3</v>
      </c>
      <c r="AL65" s="1">
        <v>7</v>
      </c>
      <c r="AM65" s="1">
        <v>2.8</v>
      </c>
      <c r="AN65" s="1">
        <v>4.3</v>
      </c>
      <c r="AO65" s="1">
        <v>5.7</v>
      </c>
      <c r="AP65" s="1">
        <v>4.5999999999999996</v>
      </c>
      <c r="AQ65" s="1">
        <v>6.875</v>
      </c>
      <c r="AR65" s="1">
        <v>5.3</v>
      </c>
      <c r="AS65" s="1">
        <v>7.5714285714285703</v>
      </c>
      <c r="AT65" s="1" t="s">
        <v>163</v>
      </c>
      <c r="AU65" s="1" t="s">
        <v>100</v>
      </c>
      <c r="AV65" s="1" t="s">
        <v>105</v>
      </c>
      <c r="AW65" s="1"/>
      <c r="AX65" s="1" t="s">
        <v>102</v>
      </c>
      <c r="AY65" s="1" t="s">
        <v>98</v>
      </c>
      <c r="AZ65" s="1">
        <v>7</v>
      </c>
      <c r="BA65" s="1"/>
      <c r="BB65" s="1">
        <v>7</v>
      </c>
      <c r="BC65" s="1" t="s">
        <v>1472</v>
      </c>
      <c r="BD65" s="1" t="s">
        <v>1404</v>
      </c>
      <c r="BE65" s="1">
        <v>12.2875069663112</v>
      </c>
      <c r="BF65" s="1">
        <v>11.650406065010101</v>
      </c>
      <c r="BG65" s="1">
        <v>11.0834128163992</v>
      </c>
      <c r="BH65" s="1">
        <v>11.2390555678273</v>
      </c>
      <c r="BI65">
        <v>11.306336295863399</v>
      </c>
      <c r="BJ65">
        <v>11.280635384143901</v>
      </c>
      <c r="BK65" t="s">
        <v>1405</v>
      </c>
      <c r="BL65" t="s">
        <v>1406</v>
      </c>
      <c r="BM65">
        <v>31072.945</v>
      </c>
      <c r="BN65">
        <v>6.7280728036099205E-2</v>
      </c>
      <c r="BO65">
        <v>0.1556427514281</v>
      </c>
      <c r="BP65">
        <v>0.67280728036099202</v>
      </c>
      <c r="BQ65">
        <v>0.518809171427002</v>
      </c>
      <c r="BR65">
        <v>0.67280728036099202</v>
      </c>
      <c r="BS65" t="s">
        <v>1400</v>
      </c>
      <c r="BT65" t="s">
        <v>1401</v>
      </c>
      <c r="BU65" t="s">
        <v>1402</v>
      </c>
      <c r="CF65" t="s">
        <v>103</v>
      </c>
      <c r="CL65">
        <v>0</v>
      </c>
      <c r="CM65">
        <v>71.140686035156193</v>
      </c>
      <c r="CN65">
        <v>28.8593139648438</v>
      </c>
      <c r="CO65">
        <v>95.3272705078125</v>
      </c>
      <c r="CQ65">
        <v>9.3134927749633807</v>
      </c>
      <c r="CS65">
        <v>79.000068664550795</v>
      </c>
      <c r="CT65">
        <v>54.997665405273402</v>
      </c>
      <c r="CU65">
        <v>77.369544982910199</v>
      </c>
      <c r="CV65">
        <v>47.284297943115199</v>
      </c>
      <c r="CW65">
        <v>2.1244540214538601</v>
      </c>
      <c r="CX65">
        <v>14.7010593414307</v>
      </c>
      <c r="CY65">
        <v>38.993602752685497</v>
      </c>
      <c r="CZ65">
        <v>44.495735168457003</v>
      </c>
      <c r="DA65">
        <v>5.7718627929687498</v>
      </c>
      <c r="DB65">
        <v>2.33636474609375</v>
      </c>
      <c r="DC65">
        <v>10</v>
      </c>
      <c r="DD65">
        <v>10</v>
      </c>
      <c r="DE65">
        <v>7.7987205505371104</v>
      </c>
      <c r="DF65">
        <v>7.1813896179199199</v>
      </c>
      <c r="DG65">
        <v>10</v>
      </c>
    </row>
    <row r="66" spans="1:111" x14ac:dyDescent="0.2">
      <c r="A66" s="3">
        <v>1</v>
      </c>
      <c r="B66" s="3" t="s">
        <v>507</v>
      </c>
      <c r="C66" s="3" t="s">
        <v>508</v>
      </c>
      <c r="D66" s="1"/>
      <c r="E66" s="1">
        <f t="shared" si="3"/>
        <v>7.8571428571428603</v>
      </c>
      <c r="F66" s="1">
        <f t="shared" si="4"/>
        <v>7.8571428571428603</v>
      </c>
      <c r="G66" s="1">
        <f t="shared" si="5"/>
        <v>0</v>
      </c>
      <c r="H66" s="1"/>
      <c r="I66" s="1">
        <v>64</v>
      </c>
      <c r="J66" s="1">
        <v>3.8932226299999999</v>
      </c>
      <c r="K66" s="1">
        <v>10.2685134</v>
      </c>
      <c r="L66" s="1">
        <v>0.3</v>
      </c>
      <c r="M66" s="1">
        <v>1.5</v>
      </c>
      <c r="N66" s="1">
        <v>0.3</v>
      </c>
      <c r="O66" s="1">
        <v>5.7</v>
      </c>
      <c r="P66" s="1">
        <v>3.6</v>
      </c>
      <c r="Q66" s="1">
        <v>5.5</v>
      </c>
      <c r="R66" s="1">
        <v>10</v>
      </c>
      <c r="S66" s="1">
        <v>0</v>
      </c>
      <c r="T66" s="1">
        <v>0</v>
      </c>
      <c r="U66" s="1">
        <v>5</v>
      </c>
      <c r="V66" s="1">
        <v>6</v>
      </c>
      <c r="W66" s="1">
        <v>1.3</v>
      </c>
      <c r="X66" s="1">
        <v>3.7</v>
      </c>
      <c r="Y66" s="1">
        <v>4.3</v>
      </c>
      <c r="Z66" s="1">
        <v>8.8000000000000007</v>
      </c>
      <c r="AA66" s="1">
        <v>9.4</v>
      </c>
      <c r="AB66" s="1">
        <v>3.5</v>
      </c>
      <c r="AC66" s="1">
        <v>7.2</v>
      </c>
      <c r="AD66" s="1">
        <v>0.8</v>
      </c>
      <c r="AE66" s="1">
        <v>0.4</v>
      </c>
      <c r="AF66" s="1">
        <v>3</v>
      </c>
      <c r="AG66" s="1">
        <v>0.6</v>
      </c>
      <c r="AH66" s="1">
        <v>22.4</v>
      </c>
      <c r="AI66" s="1">
        <v>8.3000000000000007</v>
      </c>
      <c r="AJ66" s="1">
        <v>2.4</v>
      </c>
      <c r="AK66" s="1">
        <v>0.2</v>
      </c>
      <c r="AL66" s="1">
        <v>8</v>
      </c>
      <c r="AM66" s="1">
        <v>3.2</v>
      </c>
      <c r="AN66" s="1">
        <v>4.9000000000000004</v>
      </c>
      <c r="AO66" s="1">
        <v>4.2</v>
      </c>
      <c r="AP66" s="1">
        <v>4.2</v>
      </c>
      <c r="AQ66" s="1">
        <v>5.2083333333333304</v>
      </c>
      <c r="AR66" s="1">
        <v>5.5</v>
      </c>
      <c r="AS66" s="1">
        <v>7.8571428571428603</v>
      </c>
      <c r="AT66" s="1" t="s">
        <v>140</v>
      </c>
      <c r="AU66" s="1" t="s">
        <v>96</v>
      </c>
      <c r="AV66" s="1" t="s">
        <v>105</v>
      </c>
      <c r="AW66" s="1"/>
      <c r="AX66" s="1" t="s">
        <v>102</v>
      </c>
      <c r="AY66" s="1" t="s">
        <v>98</v>
      </c>
      <c r="AZ66" s="1">
        <v>0</v>
      </c>
      <c r="BA66" s="1"/>
      <c r="BB66" s="1">
        <v>7</v>
      </c>
      <c r="BC66" s="1" t="s">
        <v>1473</v>
      </c>
      <c r="BD66" s="1" t="s">
        <v>1404</v>
      </c>
      <c r="BE66" s="1">
        <v>27.326750151161999</v>
      </c>
      <c r="BF66" s="1">
        <v>26.093941443140199</v>
      </c>
      <c r="BG66" s="1">
        <v>24.717565577306299</v>
      </c>
      <c r="BH66" s="1">
        <v>24.213628093084701</v>
      </c>
      <c r="BI66">
        <v>22.942412387278601</v>
      </c>
      <c r="BJ66">
        <v>21.3752279915151</v>
      </c>
      <c r="BK66" t="s">
        <v>1405</v>
      </c>
      <c r="BL66" t="s">
        <v>1406</v>
      </c>
      <c r="BM66">
        <v>13132.791999999999</v>
      </c>
      <c r="BN66">
        <v>-1.2712157058061</v>
      </c>
      <c r="BO66">
        <v>-0.50393748422159801</v>
      </c>
      <c r="BP66">
        <v>0</v>
      </c>
      <c r="BQ66">
        <v>0</v>
      </c>
      <c r="BR66">
        <v>0</v>
      </c>
      <c r="BS66" t="s">
        <v>1400</v>
      </c>
      <c r="BT66" t="s">
        <v>1401</v>
      </c>
      <c r="BU66" t="s">
        <v>1402</v>
      </c>
      <c r="CF66" t="s">
        <v>103</v>
      </c>
    </row>
    <row r="67" spans="1:111" x14ac:dyDescent="0.2">
      <c r="A67" s="3">
        <v>1</v>
      </c>
      <c r="B67" s="3" t="s">
        <v>512</v>
      </c>
      <c r="C67" s="3" t="s">
        <v>513</v>
      </c>
      <c r="D67" s="1"/>
      <c r="E67" s="1">
        <f t="shared" ref="E67:E98" si="6">IFERROR(GEOMEAN(F67, G67), MAX(F67, G67))</f>
        <v>10</v>
      </c>
      <c r="F67" s="1">
        <f t="shared" ref="F67:F98" si="7">MAX(AS67)</f>
        <v>10</v>
      </c>
      <c r="G67" s="1">
        <f t="shared" ref="G67:G98" si="8">MAX(BA67, DG67)</f>
        <v>0</v>
      </c>
      <c r="H67" s="1"/>
      <c r="I67" s="1">
        <v>65</v>
      </c>
      <c r="J67" s="1"/>
      <c r="K67" s="1"/>
      <c r="L67" s="1"/>
      <c r="M67" s="1"/>
      <c r="N67" s="1"/>
      <c r="O67" s="1">
        <v>7.8</v>
      </c>
      <c r="P67" s="1">
        <v>6.1</v>
      </c>
      <c r="Q67" s="1">
        <v>2.9</v>
      </c>
      <c r="R67" s="1">
        <v>10</v>
      </c>
      <c r="S67" s="1">
        <v>0.2</v>
      </c>
      <c r="T67" s="1">
        <v>0.2</v>
      </c>
      <c r="U67" s="1">
        <v>5.4</v>
      </c>
      <c r="V67" s="1">
        <v>4.5999999999999996</v>
      </c>
      <c r="W67" s="1">
        <v>4.0999999999999996</v>
      </c>
      <c r="X67" s="1">
        <v>4.4000000000000004</v>
      </c>
      <c r="Y67" s="1">
        <v>4.9000000000000004</v>
      </c>
      <c r="Z67" s="1">
        <v>8.8000000000000007</v>
      </c>
      <c r="AA67" s="1">
        <v>9.1</v>
      </c>
      <c r="AB67" s="1">
        <v>1</v>
      </c>
      <c r="AC67" s="1">
        <v>6.3</v>
      </c>
      <c r="AD67" s="1">
        <v>4.3</v>
      </c>
      <c r="AE67" s="1">
        <v>2.1</v>
      </c>
      <c r="AF67" s="1">
        <v>3</v>
      </c>
      <c r="AG67" s="1">
        <v>0.6</v>
      </c>
      <c r="AH67" s="1">
        <v>20.399999999999999</v>
      </c>
      <c r="AI67" s="1">
        <v>6.9</v>
      </c>
      <c r="AJ67" s="1">
        <v>1.9</v>
      </c>
      <c r="AK67" s="1">
        <v>0</v>
      </c>
      <c r="AL67" s="1">
        <v>7</v>
      </c>
      <c r="AM67" s="1">
        <v>3.2</v>
      </c>
      <c r="AN67" s="1">
        <v>4.3</v>
      </c>
      <c r="AO67" s="1">
        <v>5.3</v>
      </c>
      <c r="AP67" s="1">
        <v>5.0999999999999996</v>
      </c>
      <c r="AQ67" s="1">
        <v>8.9583333333333304</v>
      </c>
      <c r="AR67" s="1">
        <v>7</v>
      </c>
      <c r="AS67" s="1">
        <v>10</v>
      </c>
      <c r="AT67" s="1" t="s">
        <v>376</v>
      </c>
      <c r="AU67" s="1" t="s">
        <v>98</v>
      </c>
      <c r="AV67" s="1" t="s">
        <v>105</v>
      </c>
      <c r="AW67" s="1"/>
      <c r="AX67" s="1" t="s">
        <v>102</v>
      </c>
      <c r="AY67" s="1" t="s">
        <v>98</v>
      </c>
      <c r="AZ67" s="1">
        <v>10</v>
      </c>
      <c r="BA67" s="1"/>
      <c r="BB67" s="1">
        <v>7</v>
      </c>
      <c r="BC67" s="1" t="s">
        <v>1474</v>
      </c>
      <c r="BD67" s="1" t="s">
        <v>1404</v>
      </c>
      <c r="BE67" s="1">
        <v>10.1379668319349</v>
      </c>
      <c r="BF67" s="1">
        <v>9.1500532044339007</v>
      </c>
      <c r="BG67" s="1">
        <v>8.3826862938843192</v>
      </c>
      <c r="BH67" s="1">
        <v>9.6480414203778597</v>
      </c>
      <c r="BI67">
        <v>9.6451764311951305</v>
      </c>
      <c r="BJ67">
        <v>9.0043113740160692</v>
      </c>
      <c r="BK67" t="s">
        <v>1405</v>
      </c>
      <c r="BL67" t="s">
        <v>1406</v>
      </c>
      <c r="BM67">
        <v>2416.6640000000002</v>
      </c>
      <c r="BN67">
        <v>-2.8649891827292602E-3</v>
      </c>
      <c r="BO67">
        <v>1.2653551264935401</v>
      </c>
      <c r="BP67">
        <v>0</v>
      </c>
      <c r="BQ67">
        <v>4.2178504216451396</v>
      </c>
      <c r="BR67">
        <v>4.2178504216451396</v>
      </c>
      <c r="BS67" t="s">
        <v>1400</v>
      </c>
      <c r="BT67" t="s">
        <v>1401</v>
      </c>
      <c r="BU67" t="s">
        <v>1402</v>
      </c>
      <c r="CF67" t="s">
        <v>103</v>
      </c>
    </row>
    <row r="68" spans="1:111" x14ac:dyDescent="0.2">
      <c r="A68" s="3">
        <v>1</v>
      </c>
      <c r="B68" s="3" t="s">
        <v>517</v>
      </c>
      <c r="C68" s="3" t="s">
        <v>518</v>
      </c>
      <c r="D68" s="1"/>
      <c r="E68" s="1">
        <f t="shared" si="6"/>
        <v>10</v>
      </c>
      <c r="F68" s="1">
        <f t="shared" si="7"/>
        <v>10</v>
      </c>
      <c r="G68" s="1">
        <f t="shared" si="8"/>
        <v>0</v>
      </c>
      <c r="H68" s="1"/>
      <c r="I68" s="1">
        <v>66</v>
      </c>
      <c r="J68" s="1"/>
      <c r="K68" s="1"/>
      <c r="L68" s="1"/>
      <c r="M68" s="1"/>
      <c r="N68" s="1"/>
      <c r="O68" s="1">
        <v>6.1</v>
      </c>
      <c r="P68" s="1">
        <v>4.3</v>
      </c>
      <c r="Q68" s="1">
        <v>8.8000000000000007</v>
      </c>
      <c r="R68" s="1"/>
      <c r="S68" s="1">
        <v>0.3</v>
      </c>
      <c r="T68" s="1">
        <v>0.3</v>
      </c>
      <c r="U68" s="1">
        <v>4.9000000000000004</v>
      </c>
      <c r="V68" s="1">
        <v>0.5</v>
      </c>
      <c r="W68" s="1">
        <v>1.1000000000000001</v>
      </c>
      <c r="X68" s="1">
        <v>0.8</v>
      </c>
      <c r="Y68" s="1">
        <v>2.8</v>
      </c>
      <c r="Z68" s="1">
        <v>8.9</v>
      </c>
      <c r="AA68" s="1"/>
      <c r="AB68" s="1">
        <v>6.7</v>
      </c>
      <c r="AC68" s="1">
        <v>7.8</v>
      </c>
      <c r="AD68" s="1">
        <v>0.5</v>
      </c>
      <c r="AE68" s="1">
        <v>0.3</v>
      </c>
      <c r="AF68" s="1">
        <v>3</v>
      </c>
      <c r="AG68" s="1">
        <v>0.6</v>
      </c>
      <c r="AH68" s="1">
        <v>20</v>
      </c>
      <c r="AI68" s="1">
        <v>6.7</v>
      </c>
      <c r="AJ68" s="1">
        <v>2.4</v>
      </c>
      <c r="AK68" s="1">
        <v>0.2</v>
      </c>
      <c r="AL68" s="1">
        <v>8</v>
      </c>
      <c r="AM68" s="1">
        <v>6.8</v>
      </c>
      <c r="AN68" s="1">
        <v>5.4</v>
      </c>
      <c r="AO68" s="1">
        <v>6.6</v>
      </c>
      <c r="AP68" s="1">
        <v>4.7</v>
      </c>
      <c r="AQ68" s="1">
        <v>7.2916666666666696</v>
      </c>
      <c r="AR68" s="1">
        <v>7.1</v>
      </c>
      <c r="AS68" s="1">
        <v>10</v>
      </c>
      <c r="AT68" s="1" t="s">
        <v>520</v>
      </c>
      <c r="AU68" s="1" t="s">
        <v>98</v>
      </c>
      <c r="AV68" s="1" t="s">
        <v>105</v>
      </c>
      <c r="AW68" s="1"/>
      <c r="AX68" s="1" t="s">
        <v>105</v>
      </c>
      <c r="AY68" s="1"/>
      <c r="AZ68" s="1">
        <v>10</v>
      </c>
      <c r="BA68" s="1"/>
      <c r="BB68" s="1"/>
      <c r="BC68" s="1" t="s">
        <v>1475</v>
      </c>
      <c r="BD68" s="1" t="s">
        <v>1404</v>
      </c>
      <c r="BE68" s="1">
        <v>63.197390033396701</v>
      </c>
      <c r="BF68" s="1">
        <v>63.3288383095949</v>
      </c>
      <c r="BG68" s="1">
        <v>62.7540091995699</v>
      </c>
      <c r="BH68" s="1">
        <v>65.403363551571701</v>
      </c>
      <c r="BI68">
        <v>64.927866909826193</v>
      </c>
      <c r="BJ68">
        <v>64.037007827414996</v>
      </c>
      <c r="BK68" t="s">
        <v>1405</v>
      </c>
      <c r="BL68" t="s">
        <v>1406</v>
      </c>
      <c r="BM68">
        <v>1967.998</v>
      </c>
      <c r="BN68">
        <v>-0.47549664174550799</v>
      </c>
      <c r="BO68">
        <v>2.6493543520017999</v>
      </c>
      <c r="BP68">
        <v>0</v>
      </c>
      <c r="BQ68">
        <v>8.8311811733393402</v>
      </c>
      <c r="BR68">
        <v>8.8311811733393402</v>
      </c>
      <c r="BS68" t="s">
        <v>1400</v>
      </c>
      <c r="BT68" t="s">
        <v>1401</v>
      </c>
      <c r="BU68" t="s">
        <v>1402</v>
      </c>
      <c r="CF68" t="s">
        <v>103</v>
      </c>
    </row>
    <row r="69" spans="1:111" x14ac:dyDescent="0.2">
      <c r="A69" s="3">
        <v>1</v>
      </c>
      <c r="B69" s="3" t="s">
        <v>522</v>
      </c>
      <c r="C69" s="3" t="s">
        <v>523</v>
      </c>
      <c r="D69" s="1"/>
      <c r="E69" s="1">
        <f t="shared" si="6"/>
        <v>6</v>
      </c>
      <c r="F69" s="1">
        <f t="shared" si="7"/>
        <v>6</v>
      </c>
      <c r="G69" s="1">
        <f t="shared" si="8"/>
        <v>0</v>
      </c>
      <c r="H69" s="1"/>
      <c r="I69" s="1">
        <v>67</v>
      </c>
      <c r="J69" s="1"/>
      <c r="K69" s="1"/>
      <c r="L69" s="1"/>
      <c r="M69" s="1"/>
      <c r="N69" s="1"/>
      <c r="O69" s="1">
        <v>5.6</v>
      </c>
      <c r="P69" s="1">
        <v>7.2</v>
      </c>
      <c r="Q69" s="1">
        <v>7.3</v>
      </c>
      <c r="R69" s="1"/>
      <c r="S69" s="1">
        <v>0</v>
      </c>
      <c r="T69" s="1">
        <v>0</v>
      </c>
      <c r="U69" s="1">
        <v>5</v>
      </c>
      <c r="V69" s="1">
        <v>5.9</v>
      </c>
      <c r="W69" s="1">
        <v>1.1000000000000001</v>
      </c>
      <c r="X69" s="1">
        <v>3.5</v>
      </c>
      <c r="Y69" s="1">
        <v>4.3</v>
      </c>
      <c r="Z69" s="1">
        <v>6.2</v>
      </c>
      <c r="AA69" s="1"/>
      <c r="AB69" s="1"/>
      <c r="AC69" s="1">
        <v>6.2</v>
      </c>
      <c r="AD69" s="1">
        <v>0</v>
      </c>
      <c r="AE69" s="1">
        <v>0</v>
      </c>
      <c r="AF69" s="1">
        <v>2</v>
      </c>
      <c r="AG69" s="1">
        <v>0</v>
      </c>
      <c r="AH69" s="1">
        <v>22</v>
      </c>
      <c r="AI69" s="1">
        <v>8</v>
      </c>
      <c r="AJ69" s="1">
        <v>6</v>
      </c>
      <c r="AK69" s="1">
        <v>2.2000000000000002</v>
      </c>
      <c r="AL69" s="1">
        <v>5</v>
      </c>
      <c r="AM69" s="1">
        <v>3.5</v>
      </c>
      <c r="AN69" s="1">
        <v>4.7</v>
      </c>
      <c r="AO69" s="1">
        <v>5.4</v>
      </c>
      <c r="AP69" s="1">
        <v>4.9000000000000004</v>
      </c>
      <c r="AQ69" s="1">
        <v>8.125</v>
      </c>
      <c r="AR69" s="1">
        <v>4.2</v>
      </c>
      <c r="AS69" s="1">
        <v>6</v>
      </c>
      <c r="AT69" s="1" t="s">
        <v>328</v>
      </c>
      <c r="AU69" s="1" t="s">
        <v>98</v>
      </c>
      <c r="AV69" s="1" t="s">
        <v>105</v>
      </c>
      <c r="AW69" s="1"/>
      <c r="AX69" s="1" t="s">
        <v>105</v>
      </c>
      <c r="AY69" s="1"/>
      <c r="AZ69" s="1">
        <v>10</v>
      </c>
      <c r="BA69" s="1"/>
      <c r="BB69" s="1"/>
      <c r="BC69" s="1"/>
      <c r="BD69" s="1"/>
      <c r="BE69" s="1"/>
      <c r="BF69" s="1"/>
      <c r="BG69" s="1"/>
      <c r="BH69" s="1"/>
      <c r="BS69" t="s">
        <v>1400</v>
      </c>
      <c r="BT69" t="s">
        <v>1401</v>
      </c>
      <c r="BU69" t="s">
        <v>1402</v>
      </c>
      <c r="CF69" t="s">
        <v>103</v>
      </c>
    </row>
    <row r="70" spans="1:111" x14ac:dyDescent="0.2">
      <c r="A70" s="3">
        <v>1</v>
      </c>
      <c r="B70" s="3" t="s">
        <v>525</v>
      </c>
      <c r="C70" s="3" t="s">
        <v>526</v>
      </c>
      <c r="D70" s="1"/>
      <c r="E70" s="1">
        <f t="shared" si="6"/>
        <v>3.0000000000000049</v>
      </c>
      <c r="F70" s="1">
        <f t="shared" si="7"/>
        <v>1.28571428571429</v>
      </c>
      <c r="G70" s="1">
        <f t="shared" si="8"/>
        <v>7</v>
      </c>
      <c r="H70" s="1"/>
      <c r="I70" s="1">
        <v>68</v>
      </c>
      <c r="J70" s="1"/>
      <c r="K70" s="1"/>
      <c r="L70" s="1"/>
      <c r="M70" s="1"/>
      <c r="N70" s="1"/>
      <c r="O70" s="1">
        <v>6.4</v>
      </c>
      <c r="P70" s="1">
        <v>7.9</v>
      </c>
      <c r="Q70" s="1">
        <v>0.3</v>
      </c>
      <c r="R70" s="1">
        <v>1.4</v>
      </c>
      <c r="S70" s="1">
        <v>1.3</v>
      </c>
      <c r="T70" s="1">
        <v>1.3</v>
      </c>
      <c r="U70" s="1">
        <v>3.5</v>
      </c>
      <c r="V70" s="1">
        <v>3.9</v>
      </c>
      <c r="W70" s="1">
        <v>10</v>
      </c>
      <c r="X70" s="1">
        <v>7</v>
      </c>
      <c r="Y70" s="1">
        <v>5.2</v>
      </c>
      <c r="Z70" s="1">
        <v>0.6</v>
      </c>
      <c r="AA70" s="1"/>
      <c r="AB70" s="1">
        <v>0.1</v>
      </c>
      <c r="AC70" s="1">
        <v>0.3</v>
      </c>
      <c r="AD70" s="1">
        <v>0</v>
      </c>
      <c r="AE70" s="1">
        <v>0</v>
      </c>
      <c r="AF70" s="1">
        <v>22</v>
      </c>
      <c r="AG70" s="1">
        <v>10</v>
      </c>
      <c r="AH70" s="1">
        <v>12.4</v>
      </c>
      <c r="AI70" s="1">
        <v>1.6</v>
      </c>
      <c r="AJ70" s="1">
        <v>4.7</v>
      </c>
      <c r="AK70" s="1">
        <v>1.5</v>
      </c>
      <c r="AL70" s="1">
        <v>3</v>
      </c>
      <c r="AM70" s="1">
        <v>0.1</v>
      </c>
      <c r="AN70" s="1">
        <v>1.6</v>
      </c>
      <c r="AO70" s="1">
        <v>0.9</v>
      </c>
      <c r="AP70" s="1">
        <v>3.1</v>
      </c>
      <c r="AQ70" s="1">
        <v>0.625</v>
      </c>
      <c r="AR70" s="1">
        <v>0.9</v>
      </c>
      <c r="AS70" s="1">
        <v>1.28571428571429</v>
      </c>
      <c r="AT70" s="1" t="s">
        <v>528</v>
      </c>
      <c r="AU70" s="1" t="s">
        <v>98</v>
      </c>
      <c r="AV70" s="1" t="s">
        <v>529</v>
      </c>
      <c r="AW70" s="1" t="s">
        <v>100</v>
      </c>
      <c r="AX70" s="1" t="s">
        <v>183</v>
      </c>
      <c r="AY70" s="1" t="s">
        <v>96</v>
      </c>
      <c r="AZ70" s="1">
        <v>10</v>
      </c>
      <c r="BA70" s="1">
        <v>7</v>
      </c>
      <c r="BB70" s="1">
        <v>3</v>
      </c>
      <c r="BC70" s="1"/>
      <c r="BD70" s="1"/>
      <c r="BE70" s="1"/>
      <c r="BF70" s="1"/>
      <c r="BG70" s="1"/>
      <c r="BH70" s="1"/>
      <c r="BS70" t="s">
        <v>1400</v>
      </c>
      <c r="BT70" t="s">
        <v>1401</v>
      </c>
      <c r="BU70" t="s">
        <v>1402</v>
      </c>
      <c r="BW70">
        <v>21.45</v>
      </c>
      <c r="BX70">
        <v>19.3</v>
      </c>
      <c r="BY70">
        <v>17.324999999999999</v>
      </c>
      <c r="BZ70">
        <v>19.876000000000001</v>
      </c>
      <c r="CA70">
        <v>18.251999999999999</v>
      </c>
      <c r="CB70">
        <v>16.562000000000001</v>
      </c>
      <c r="CC70">
        <v>14.817</v>
      </c>
      <c r="CD70">
        <v>13.528</v>
      </c>
      <c r="CE70">
        <v>12.664</v>
      </c>
      <c r="CF70" t="s">
        <v>1476</v>
      </c>
      <c r="CG70">
        <v>-1.6240000000000001</v>
      </c>
      <c r="CH70">
        <v>2.5510000000000002</v>
      </c>
      <c r="CI70">
        <v>0</v>
      </c>
      <c r="CJ70">
        <v>8.5033333333333392</v>
      </c>
      <c r="CK70">
        <v>8.5033333333333392</v>
      </c>
    </row>
    <row r="71" spans="1:111" x14ac:dyDescent="0.2">
      <c r="A71" s="3">
        <v>1</v>
      </c>
      <c r="B71" s="3" t="s">
        <v>531</v>
      </c>
      <c r="C71" s="3" t="s">
        <v>532</v>
      </c>
      <c r="D71" s="1"/>
      <c r="E71" s="1">
        <f t="shared" si="6"/>
        <v>3.1428571428571401</v>
      </c>
      <c r="F71" s="1">
        <f t="shared" si="7"/>
        <v>3.1428571428571401</v>
      </c>
      <c r="G71" s="1">
        <f t="shared" si="8"/>
        <v>0</v>
      </c>
      <c r="H71" s="1"/>
      <c r="I71" s="1">
        <v>69</v>
      </c>
      <c r="J71" s="1"/>
      <c r="K71" s="1"/>
      <c r="L71" s="1"/>
      <c r="M71" s="1"/>
      <c r="N71" s="1"/>
      <c r="O71" s="1">
        <v>8.4</v>
      </c>
      <c r="P71" s="1">
        <v>3.6</v>
      </c>
      <c r="Q71" s="1">
        <v>0.7</v>
      </c>
      <c r="R71" s="1"/>
      <c r="S71" s="1">
        <v>0</v>
      </c>
      <c r="T71" s="1">
        <v>0</v>
      </c>
      <c r="U71" s="1">
        <v>3.2</v>
      </c>
      <c r="V71" s="1">
        <v>6.8</v>
      </c>
      <c r="W71" s="1">
        <v>10</v>
      </c>
      <c r="X71" s="1">
        <v>8.4</v>
      </c>
      <c r="Y71" s="1">
        <v>5.8</v>
      </c>
      <c r="Z71" s="1">
        <v>2.6</v>
      </c>
      <c r="AA71" s="1"/>
      <c r="AB71" s="1"/>
      <c r="AC71" s="1">
        <v>2.6</v>
      </c>
      <c r="AD71" s="1">
        <v>0</v>
      </c>
      <c r="AE71" s="1">
        <v>0</v>
      </c>
      <c r="AF71" s="1">
        <v>10</v>
      </c>
      <c r="AG71" s="1">
        <v>4.4000000000000004</v>
      </c>
      <c r="AH71" s="1">
        <v>21.4</v>
      </c>
      <c r="AI71" s="1">
        <v>7.6</v>
      </c>
      <c r="AJ71" s="1">
        <v>10.7</v>
      </c>
      <c r="AK71" s="1">
        <v>4.8</v>
      </c>
      <c r="AL71" s="1">
        <v>4</v>
      </c>
      <c r="AM71" s="1">
        <v>0.1</v>
      </c>
      <c r="AN71" s="1">
        <v>4.0999999999999996</v>
      </c>
      <c r="AO71" s="1">
        <v>3.4</v>
      </c>
      <c r="AP71" s="1">
        <v>4.5999999999999996</v>
      </c>
      <c r="AQ71" s="1">
        <v>6.875</v>
      </c>
      <c r="AR71" s="1">
        <v>2.2000000000000002</v>
      </c>
      <c r="AS71" s="1">
        <v>3.1428571428571401</v>
      </c>
      <c r="AT71" s="1" t="s">
        <v>154</v>
      </c>
      <c r="AU71" s="1" t="s">
        <v>98</v>
      </c>
      <c r="AV71" s="1" t="s">
        <v>105</v>
      </c>
      <c r="AW71" s="1"/>
      <c r="AX71" s="1" t="s">
        <v>105</v>
      </c>
      <c r="AY71" s="1"/>
      <c r="AZ71" s="1">
        <v>10</v>
      </c>
      <c r="BA71" s="1"/>
      <c r="BB71" s="1"/>
      <c r="BC71" s="1"/>
      <c r="BD71" s="1"/>
      <c r="BE71" s="1"/>
      <c r="BF71" s="1"/>
      <c r="BG71" s="1"/>
      <c r="BH71" s="1"/>
      <c r="BS71" t="s">
        <v>1400</v>
      </c>
      <c r="BT71" t="s">
        <v>1401</v>
      </c>
      <c r="BU71" t="s">
        <v>1402</v>
      </c>
      <c r="CF71" t="s">
        <v>103</v>
      </c>
    </row>
    <row r="72" spans="1:111" x14ac:dyDescent="0.2">
      <c r="A72" s="3">
        <v>1</v>
      </c>
      <c r="B72" s="3" t="s">
        <v>534</v>
      </c>
      <c r="C72" s="3" t="s">
        <v>535</v>
      </c>
      <c r="D72" s="1"/>
      <c r="E72" s="1">
        <f t="shared" si="6"/>
        <v>4.9789029323189018</v>
      </c>
      <c r="F72" s="1">
        <f t="shared" si="7"/>
        <v>7.7142857142857197</v>
      </c>
      <c r="G72" s="1">
        <f t="shared" si="8"/>
        <v>3.21345038641067</v>
      </c>
      <c r="H72" s="1"/>
      <c r="I72" s="1">
        <v>70</v>
      </c>
      <c r="J72" s="1">
        <v>63.268311869999998</v>
      </c>
      <c r="K72" s="1">
        <v>22.320297450000002</v>
      </c>
      <c r="L72" s="1">
        <v>7.5</v>
      </c>
      <c r="M72" s="1">
        <v>4</v>
      </c>
      <c r="N72" s="1">
        <v>7.5</v>
      </c>
      <c r="O72" s="1">
        <v>7.4</v>
      </c>
      <c r="P72" s="1">
        <v>5.0999999999999996</v>
      </c>
      <c r="Q72" s="1">
        <v>3.4</v>
      </c>
      <c r="R72" s="1">
        <v>7</v>
      </c>
      <c r="S72" s="1">
        <v>1.4</v>
      </c>
      <c r="T72" s="1">
        <v>1.4</v>
      </c>
      <c r="U72" s="1">
        <v>4.9000000000000004</v>
      </c>
      <c r="V72" s="1">
        <v>3.8</v>
      </c>
      <c r="W72" s="1">
        <v>1.9</v>
      </c>
      <c r="X72" s="1">
        <v>2.9</v>
      </c>
      <c r="Y72" s="1">
        <v>3.9</v>
      </c>
      <c r="Z72" s="1">
        <v>5</v>
      </c>
      <c r="AA72" s="1">
        <v>7.9</v>
      </c>
      <c r="AB72" s="1">
        <v>0.9</v>
      </c>
      <c r="AC72" s="1">
        <v>4.5999999999999996</v>
      </c>
      <c r="AD72" s="1">
        <v>4.5999999999999996</v>
      </c>
      <c r="AE72" s="1">
        <v>2.2999999999999998</v>
      </c>
      <c r="AF72" s="1">
        <v>5</v>
      </c>
      <c r="AG72" s="1">
        <v>1.7</v>
      </c>
      <c r="AH72" s="1">
        <v>14.9</v>
      </c>
      <c r="AI72" s="1">
        <v>3.3</v>
      </c>
      <c r="AJ72" s="1">
        <v>10</v>
      </c>
      <c r="AK72" s="1">
        <v>4.4000000000000004</v>
      </c>
      <c r="AL72" s="1">
        <v>5</v>
      </c>
      <c r="AM72" s="1">
        <v>0.5</v>
      </c>
      <c r="AN72" s="1">
        <v>3.3</v>
      </c>
      <c r="AO72" s="1">
        <v>5.0999999999999996</v>
      </c>
      <c r="AP72" s="1">
        <v>4.5</v>
      </c>
      <c r="AQ72" s="1">
        <v>6.4583333333333304</v>
      </c>
      <c r="AR72" s="1">
        <v>5.4</v>
      </c>
      <c r="AS72" s="1">
        <v>7.7142857142857197</v>
      </c>
      <c r="AT72" s="1" t="s">
        <v>219</v>
      </c>
      <c r="AU72" s="1" t="s">
        <v>98</v>
      </c>
      <c r="AV72" s="1" t="s">
        <v>105</v>
      </c>
      <c r="AW72" s="1"/>
      <c r="AX72" s="1" t="s">
        <v>137</v>
      </c>
      <c r="AY72" s="1" t="s">
        <v>100</v>
      </c>
      <c r="AZ72" s="1">
        <v>10</v>
      </c>
      <c r="BA72" s="1"/>
      <c r="BB72" s="1">
        <v>0</v>
      </c>
      <c r="BC72" s="1" t="s">
        <v>1477</v>
      </c>
      <c r="BD72" s="1" t="s">
        <v>1404</v>
      </c>
      <c r="BE72" s="1">
        <v>8.0676171271050006</v>
      </c>
      <c r="BF72" s="1">
        <v>7.8074870697058003</v>
      </c>
      <c r="BG72" s="1">
        <v>7.5961645653752496</v>
      </c>
      <c r="BH72" s="1">
        <v>8.1381317271933398</v>
      </c>
      <c r="BI72">
        <v>7.80748733501364</v>
      </c>
      <c r="BJ72">
        <v>7.5845847428233597</v>
      </c>
      <c r="BK72" t="s">
        <v>1405</v>
      </c>
      <c r="BL72" t="s">
        <v>1408</v>
      </c>
      <c r="BM72">
        <v>17915.566999999999</v>
      </c>
      <c r="BN72">
        <v>-0.33064439217969999</v>
      </c>
      <c r="BO72">
        <v>0.54196716181809002</v>
      </c>
      <c r="BP72">
        <v>0</v>
      </c>
      <c r="BQ72">
        <v>1.8065572060602999</v>
      </c>
      <c r="BR72">
        <v>1.8065572060602999</v>
      </c>
      <c r="BS72" t="s">
        <v>1400</v>
      </c>
      <c r="BT72" t="s">
        <v>1401</v>
      </c>
      <c r="BU72" t="s">
        <v>1402</v>
      </c>
      <c r="CF72" t="s">
        <v>103</v>
      </c>
      <c r="CM72">
        <v>61.527961730957003</v>
      </c>
      <c r="CO72">
        <v>98.448493957519503</v>
      </c>
      <c r="CR72">
        <v>70.584938049316406</v>
      </c>
      <c r="CS72">
        <v>7.4271359443664604</v>
      </c>
      <c r="CV72">
        <v>5.5343737602233896</v>
      </c>
      <c r="CX72">
        <v>3.0251047611236599</v>
      </c>
      <c r="CY72">
        <v>18.793716430664102</v>
      </c>
      <c r="DB72">
        <v>0.77575302124023404</v>
      </c>
      <c r="DC72">
        <v>2.21374950408936</v>
      </c>
      <c r="DE72">
        <v>3.7587432861328098</v>
      </c>
      <c r="DF72">
        <v>2.2494152704874701</v>
      </c>
      <c r="DG72">
        <v>3.21345038641067</v>
      </c>
    </row>
    <row r="73" spans="1:111" x14ac:dyDescent="0.2">
      <c r="A73" s="3">
        <v>1</v>
      </c>
      <c r="B73" s="3" t="s">
        <v>539</v>
      </c>
      <c r="C73" s="3" t="s">
        <v>540</v>
      </c>
      <c r="D73" s="1"/>
      <c r="E73" s="1">
        <f t="shared" si="6"/>
        <v>6.28571428571429</v>
      </c>
      <c r="F73" s="1">
        <f t="shared" si="7"/>
        <v>6.28571428571429</v>
      </c>
      <c r="G73" s="1">
        <f t="shared" si="8"/>
        <v>0</v>
      </c>
      <c r="H73" s="1"/>
      <c r="I73" s="1">
        <v>71</v>
      </c>
      <c r="J73" s="1"/>
      <c r="K73" s="1"/>
      <c r="L73" s="1"/>
      <c r="M73" s="1"/>
      <c r="N73" s="1"/>
      <c r="O73" s="1">
        <v>2</v>
      </c>
      <c r="P73" s="1">
        <v>2.7</v>
      </c>
      <c r="Q73" s="1">
        <v>3.6</v>
      </c>
      <c r="R73" s="1">
        <v>4.5</v>
      </c>
      <c r="S73" s="1">
        <v>0</v>
      </c>
      <c r="T73" s="1">
        <v>0</v>
      </c>
      <c r="U73" s="1">
        <v>2.6</v>
      </c>
      <c r="V73" s="1">
        <v>6.6</v>
      </c>
      <c r="W73" s="1">
        <v>0.1</v>
      </c>
      <c r="X73" s="1">
        <v>3.4</v>
      </c>
      <c r="Y73" s="1">
        <v>3</v>
      </c>
      <c r="Z73" s="1">
        <v>4.9000000000000004</v>
      </c>
      <c r="AA73" s="1">
        <v>5.5</v>
      </c>
      <c r="AB73" s="1">
        <v>1.4</v>
      </c>
      <c r="AC73" s="1">
        <v>3.9</v>
      </c>
      <c r="AD73" s="1">
        <v>0</v>
      </c>
      <c r="AE73" s="1">
        <v>0</v>
      </c>
      <c r="AF73" s="1">
        <v>6</v>
      </c>
      <c r="AG73" s="1">
        <v>2.2000000000000002</v>
      </c>
      <c r="AH73" s="1">
        <v>30.5</v>
      </c>
      <c r="AI73" s="1">
        <v>10</v>
      </c>
      <c r="AJ73" s="1">
        <v>11.6</v>
      </c>
      <c r="AK73" s="1">
        <v>5.3</v>
      </c>
      <c r="AL73" s="1">
        <v>4</v>
      </c>
      <c r="AM73" s="1">
        <v>1.6</v>
      </c>
      <c r="AN73" s="1">
        <v>5.2</v>
      </c>
      <c r="AO73" s="1">
        <v>4.5999999999999996</v>
      </c>
      <c r="AP73" s="1">
        <v>3.8</v>
      </c>
      <c r="AQ73" s="1">
        <v>3.5416666666666701</v>
      </c>
      <c r="AR73" s="1">
        <v>4.4000000000000004</v>
      </c>
      <c r="AS73" s="1">
        <v>6.28571428571429</v>
      </c>
      <c r="AT73" s="1" t="s">
        <v>542</v>
      </c>
      <c r="AU73" s="1" t="s">
        <v>96</v>
      </c>
      <c r="AV73" s="1" t="s">
        <v>105</v>
      </c>
      <c r="AW73" s="1"/>
      <c r="AX73" s="1" t="s">
        <v>102</v>
      </c>
      <c r="AY73" s="1" t="s">
        <v>98</v>
      </c>
      <c r="AZ73" s="1">
        <v>0</v>
      </c>
      <c r="BA73" s="1"/>
      <c r="BB73" s="1">
        <v>7</v>
      </c>
      <c r="BC73" s="1"/>
      <c r="BD73" s="1"/>
      <c r="BE73" s="1"/>
      <c r="BF73" s="1"/>
      <c r="BG73" s="1"/>
      <c r="BH73" s="1"/>
      <c r="BS73" t="s">
        <v>1400</v>
      </c>
      <c r="BT73" t="s">
        <v>1401</v>
      </c>
      <c r="BU73" t="s">
        <v>1402</v>
      </c>
      <c r="CF73" t="s">
        <v>103</v>
      </c>
    </row>
    <row r="74" spans="1:111" x14ac:dyDescent="0.2">
      <c r="A74" s="3">
        <v>1</v>
      </c>
      <c r="B74" s="3" t="s">
        <v>543</v>
      </c>
      <c r="C74" s="3" t="s">
        <v>544</v>
      </c>
      <c r="D74" s="1"/>
      <c r="E74" s="1">
        <f t="shared" si="6"/>
        <v>7.5498344352707489</v>
      </c>
      <c r="F74" s="1">
        <f t="shared" si="7"/>
        <v>8.1428571428571406</v>
      </c>
      <c r="G74" s="1">
        <f t="shared" si="8"/>
        <v>7</v>
      </c>
      <c r="H74" s="1"/>
      <c r="I74" s="1">
        <v>72</v>
      </c>
      <c r="J74" s="1">
        <v>55.79375486</v>
      </c>
      <c r="K74" s="1">
        <v>13.33027495</v>
      </c>
      <c r="L74" s="1">
        <v>6.6</v>
      </c>
      <c r="M74" s="1">
        <v>2.1</v>
      </c>
      <c r="N74" s="1">
        <v>6.6</v>
      </c>
      <c r="O74" s="1">
        <v>6.4</v>
      </c>
      <c r="P74" s="1">
        <v>5.7</v>
      </c>
      <c r="Q74" s="1">
        <v>4.5</v>
      </c>
      <c r="R74" s="1">
        <v>6.2</v>
      </c>
      <c r="S74" s="1">
        <v>2</v>
      </c>
      <c r="T74" s="1">
        <v>2</v>
      </c>
      <c r="U74" s="1">
        <v>5</v>
      </c>
      <c r="V74" s="1">
        <v>5.8</v>
      </c>
      <c r="W74" s="1">
        <v>1.3</v>
      </c>
      <c r="X74" s="1">
        <v>3.6</v>
      </c>
      <c r="Y74" s="1">
        <v>4.3</v>
      </c>
      <c r="Z74" s="1">
        <v>5.7</v>
      </c>
      <c r="AA74" s="1">
        <v>7.4</v>
      </c>
      <c r="AB74" s="1">
        <v>1.7</v>
      </c>
      <c r="AC74" s="1">
        <v>4.9000000000000004</v>
      </c>
      <c r="AD74" s="1">
        <v>5.0999999999999996</v>
      </c>
      <c r="AE74" s="1">
        <v>2.6</v>
      </c>
      <c r="AF74" s="1">
        <v>5</v>
      </c>
      <c r="AG74" s="1">
        <v>1.7</v>
      </c>
      <c r="AH74" s="1">
        <v>14</v>
      </c>
      <c r="AI74" s="1">
        <v>2.7</v>
      </c>
      <c r="AJ74" s="1">
        <v>7.3</v>
      </c>
      <c r="AK74" s="1">
        <v>2.9</v>
      </c>
      <c r="AL74" s="1">
        <v>4</v>
      </c>
      <c r="AM74" s="1">
        <v>0.7</v>
      </c>
      <c r="AN74" s="1">
        <v>2.6</v>
      </c>
      <c r="AO74" s="1">
        <v>4.7</v>
      </c>
      <c r="AP74" s="1">
        <v>4.5</v>
      </c>
      <c r="AQ74" s="1">
        <v>6.4583333333333304</v>
      </c>
      <c r="AR74" s="1">
        <v>5.7</v>
      </c>
      <c r="AS74" s="1">
        <v>8.1428571428571406</v>
      </c>
      <c r="AT74" s="1" t="s">
        <v>148</v>
      </c>
      <c r="AU74" s="1" t="s">
        <v>98</v>
      </c>
      <c r="AV74" s="1" t="s">
        <v>447</v>
      </c>
      <c r="AW74" s="1" t="s">
        <v>100</v>
      </c>
      <c r="AX74" s="1" t="s">
        <v>137</v>
      </c>
      <c r="AY74" s="1" t="s">
        <v>100</v>
      </c>
      <c r="AZ74" s="1">
        <v>10</v>
      </c>
      <c r="BA74" s="1">
        <v>7</v>
      </c>
      <c r="BB74" s="1">
        <v>0</v>
      </c>
      <c r="BC74" s="1" t="s">
        <v>1478</v>
      </c>
      <c r="BD74" s="1" t="s">
        <v>1404</v>
      </c>
      <c r="BE74" s="1">
        <v>17.6171561874581</v>
      </c>
      <c r="BF74" s="1">
        <v>16.871840850930599</v>
      </c>
      <c r="BG74" s="1">
        <v>15.8</v>
      </c>
      <c r="BH74" s="1">
        <v>16.800420934933001</v>
      </c>
      <c r="BI74">
        <v>16.039574960821401</v>
      </c>
      <c r="BJ74">
        <v>15.3448042412686</v>
      </c>
      <c r="BK74" t="s">
        <v>1405</v>
      </c>
      <c r="BL74" t="s">
        <v>1408</v>
      </c>
      <c r="BM74">
        <v>9904.6080000000002</v>
      </c>
      <c r="BN74">
        <v>-0.76084597411160004</v>
      </c>
      <c r="BO74">
        <v>1.000420934933</v>
      </c>
      <c r="BP74">
        <v>0</v>
      </c>
      <c r="BQ74">
        <v>3.3347364497766701</v>
      </c>
      <c r="BR74">
        <v>3.3347364497766701</v>
      </c>
      <c r="BS74" t="s">
        <v>1400</v>
      </c>
      <c r="BT74" t="s">
        <v>1401</v>
      </c>
      <c r="BU74" t="s">
        <v>1402</v>
      </c>
      <c r="BW74">
        <v>4.048</v>
      </c>
      <c r="BX74">
        <v>4.0759999999999996</v>
      </c>
      <c r="BY74">
        <v>4.109</v>
      </c>
      <c r="BZ74">
        <v>5.7130000000000001</v>
      </c>
      <c r="CA74">
        <v>4.87</v>
      </c>
      <c r="CB74">
        <v>4.8049999999999997</v>
      </c>
      <c r="CC74">
        <v>4.7160000000000002</v>
      </c>
      <c r="CD74">
        <v>4.625</v>
      </c>
      <c r="CE74">
        <v>4.5289999999999999</v>
      </c>
      <c r="CF74" t="s">
        <v>1479</v>
      </c>
      <c r="CG74">
        <v>-0.84299999999999997</v>
      </c>
      <c r="CH74">
        <v>1.6040000000000001</v>
      </c>
      <c r="CI74">
        <v>0</v>
      </c>
      <c r="CJ74">
        <v>5.3466666666666702</v>
      </c>
      <c r="CK74">
        <v>5.3466666666666702</v>
      </c>
      <c r="CM74">
        <v>49.113674163818402</v>
      </c>
      <c r="CO74">
        <v>94.548141479492202</v>
      </c>
      <c r="CR74">
        <v>48.423805236816399</v>
      </c>
      <c r="CS74">
        <v>7.3565602302551296</v>
      </c>
      <c r="CV74">
        <v>5.4750046730041504</v>
      </c>
      <c r="CX74">
        <v>2.8166477680206299</v>
      </c>
      <c r="CY74">
        <v>31.337884902954102</v>
      </c>
      <c r="DB74">
        <v>2.7259292602539098</v>
      </c>
      <c r="DC74">
        <v>2.1900018692016601</v>
      </c>
      <c r="DE74">
        <v>6.2675769805908201</v>
      </c>
      <c r="DF74">
        <v>3.7278360366821301</v>
      </c>
      <c r="DG74">
        <v>5.3254800524030399</v>
      </c>
    </row>
    <row r="75" spans="1:111" x14ac:dyDescent="0.2">
      <c r="A75" s="3">
        <v>1</v>
      </c>
      <c r="B75" s="3" t="s">
        <v>549</v>
      </c>
      <c r="C75" s="3" t="s">
        <v>550</v>
      </c>
      <c r="D75" s="1"/>
      <c r="E75" s="1">
        <f t="shared" si="6"/>
        <v>4.3094580368566771</v>
      </c>
      <c r="F75" s="1">
        <f t="shared" si="7"/>
        <v>1.8571428571428601</v>
      </c>
      <c r="G75" s="1">
        <f t="shared" si="8"/>
        <v>10</v>
      </c>
      <c r="H75" s="1"/>
      <c r="I75" s="1">
        <v>73</v>
      </c>
      <c r="J75" s="1">
        <v>70.718536650000004</v>
      </c>
      <c r="K75" s="1">
        <v>39.521805919999998</v>
      </c>
      <c r="L75" s="1">
        <v>8.4</v>
      </c>
      <c r="M75" s="1">
        <v>7.5</v>
      </c>
      <c r="N75" s="1">
        <v>8.4</v>
      </c>
      <c r="O75" s="1">
        <v>6.2</v>
      </c>
      <c r="P75" s="1">
        <v>5.7</v>
      </c>
      <c r="Q75" s="1"/>
      <c r="R75" s="1">
        <v>2</v>
      </c>
      <c r="S75" s="1">
        <v>0</v>
      </c>
      <c r="T75" s="1">
        <v>0</v>
      </c>
      <c r="U75" s="1">
        <v>3.5</v>
      </c>
      <c r="V75" s="1">
        <v>5.7</v>
      </c>
      <c r="W75" s="1">
        <v>10</v>
      </c>
      <c r="X75" s="1">
        <v>7.9</v>
      </c>
      <c r="Y75" s="1">
        <v>5.7</v>
      </c>
      <c r="Z75" s="1">
        <v>1.4</v>
      </c>
      <c r="AA75" s="1"/>
      <c r="AB75" s="1">
        <v>0.1</v>
      </c>
      <c r="AC75" s="1">
        <v>0.7</v>
      </c>
      <c r="AD75" s="1">
        <v>0</v>
      </c>
      <c r="AE75" s="1">
        <v>0</v>
      </c>
      <c r="AF75" s="1">
        <v>20</v>
      </c>
      <c r="AG75" s="1">
        <v>10</v>
      </c>
      <c r="AH75" s="1">
        <v>16.7</v>
      </c>
      <c r="AI75" s="1">
        <v>4.5</v>
      </c>
      <c r="AJ75" s="1">
        <v>5.4</v>
      </c>
      <c r="AK75" s="1">
        <v>1.9</v>
      </c>
      <c r="AL75" s="1">
        <v>6</v>
      </c>
      <c r="AM75" s="1">
        <v>0.2</v>
      </c>
      <c r="AN75" s="1">
        <v>3.2</v>
      </c>
      <c r="AO75" s="1">
        <v>4.0999999999999996</v>
      </c>
      <c r="AP75" s="1">
        <v>4.9000000000000004</v>
      </c>
      <c r="AQ75" s="1">
        <v>8.125</v>
      </c>
      <c r="AR75" s="1">
        <v>1.3</v>
      </c>
      <c r="AS75" s="1">
        <v>1.8571428571428601</v>
      </c>
      <c r="AT75" s="1" t="s">
        <v>552</v>
      </c>
      <c r="AU75" s="1" t="s">
        <v>98</v>
      </c>
      <c r="AV75" s="1" t="s">
        <v>553</v>
      </c>
      <c r="AW75" s="1" t="s">
        <v>100</v>
      </c>
      <c r="AX75" s="1" t="s">
        <v>137</v>
      </c>
      <c r="AY75" s="1" t="s">
        <v>100</v>
      </c>
      <c r="AZ75" s="1">
        <v>10</v>
      </c>
      <c r="BA75" s="1">
        <v>7</v>
      </c>
      <c r="BB75" s="1">
        <v>0</v>
      </c>
      <c r="BC75" s="1" t="s">
        <v>1480</v>
      </c>
      <c r="BD75" s="1" t="s">
        <v>1404</v>
      </c>
      <c r="BE75" s="1">
        <v>0.55738517798714005</v>
      </c>
      <c r="BF75" s="1">
        <v>0.54477395667228001</v>
      </c>
      <c r="BG75" s="1">
        <v>0.53741202095072704</v>
      </c>
      <c r="BH75" s="1">
        <v>0.55738515548314604</v>
      </c>
      <c r="BI75">
        <v>0.53741200712290804</v>
      </c>
      <c r="BJ75">
        <v>0.53038515611386505</v>
      </c>
      <c r="BK75" t="s">
        <v>1405</v>
      </c>
      <c r="BL75" t="s">
        <v>1411</v>
      </c>
      <c r="BM75">
        <v>4105.268</v>
      </c>
      <c r="BN75">
        <v>-1.9973148360237999E-2</v>
      </c>
      <c r="BO75">
        <v>1.9973134532419001E-2</v>
      </c>
      <c r="BP75">
        <v>0</v>
      </c>
      <c r="BQ75">
        <v>6.6577115108064105E-2</v>
      </c>
      <c r="BR75">
        <v>6.6577115108064105E-2</v>
      </c>
      <c r="BS75" t="s">
        <v>1400</v>
      </c>
      <c r="BT75" t="s">
        <v>1401</v>
      </c>
      <c r="BU75" t="s">
        <v>1402</v>
      </c>
      <c r="BW75">
        <v>12.433</v>
      </c>
      <c r="BX75">
        <v>9.8580000000000005</v>
      </c>
      <c r="BY75">
        <v>7.758</v>
      </c>
      <c r="BZ75">
        <v>9.2669999999999995</v>
      </c>
      <c r="CA75">
        <v>10.316000000000001</v>
      </c>
      <c r="CB75">
        <v>9.5990000000000002</v>
      </c>
      <c r="CC75">
        <v>8.7880000000000003</v>
      </c>
      <c r="CD75">
        <v>7.9710000000000001</v>
      </c>
      <c r="CE75">
        <v>7.1470000000000002</v>
      </c>
      <c r="CF75" t="s">
        <v>1481</v>
      </c>
      <c r="CG75">
        <v>1.0489999999999999</v>
      </c>
      <c r="CH75">
        <v>1.5089999999999999</v>
      </c>
      <c r="CI75">
        <v>10</v>
      </c>
      <c r="CJ75">
        <v>5.03</v>
      </c>
      <c r="CK75">
        <v>10</v>
      </c>
      <c r="CL75">
        <v>10</v>
      </c>
      <c r="CM75">
        <v>70.391250610351605</v>
      </c>
      <c r="CN75">
        <v>29.608747482299801</v>
      </c>
      <c r="CU75">
        <v>28.6172981262207</v>
      </c>
      <c r="CW75">
        <v>3.9973571300506601</v>
      </c>
      <c r="CX75">
        <v>39.696521759033203</v>
      </c>
      <c r="DA75">
        <v>5.9217494964599604</v>
      </c>
      <c r="DD75">
        <v>10</v>
      </c>
      <c r="DF75">
        <v>7.9608747482299798</v>
      </c>
      <c r="DG75">
        <v>10</v>
      </c>
    </row>
    <row r="76" spans="1:111" x14ac:dyDescent="0.2">
      <c r="A76" s="3">
        <v>1</v>
      </c>
      <c r="B76" s="3" t="s">
        <v>555</v>
      </c>
      <c r="C76" s="3" t="s">
        <v>556</v>
      </c>
      <c r="D76" s="1"/>
      <c r="E76" s="1">
        <f t="shared" si="6"/>
        <v>10</v>
      </c>
      <c r="F76" s="1">
        <f t="shared" si="7"/>
        <v>10</v>
      </c>
      <c r="G76" s="1">
        <f t="shared" si="8"/>
        <v>0</v>
      </c>
      <c r="H76" s="1"/>
      <c r="I76" s="1">
        <v>74</v>
      </c>
      <c r="J76" s="1">
        <v>19.46214024</v>
      </c>
      <c r="K76" s="1">
        <v>34.598220419999997</v>
      </c>
      <c r="L76" s="1">
        <v>2.2000000000000002</v>
      </c>
      <c r="M76" s="1">
        <v>6.5</v>
      </c>
      <c r="N76" s="1">
        <v>2.2000000000000002</v>
      </c>
      <c r="O76" s="1">
        <v>8.6999999999999993</v>
      </c>
      <c r="P76" s="1">
        <v>5.5</v>
      </c>
      <c r="Q76" s="1">
        <v>7.3</v>
      </c>
      <c r="R76" s="1">
        <v>6.1</v>
      </c>
      <c r="S76" s="1">
        <v>0.3</v>
      </c>
      <c r="T76" s="1">
        <v>0.3</v>
      </c>
      <c r="U76" s="1">
        <v>5.6</v>
      </c>
      <c r="V76" s="1">
        <v>2.5</v>
      </c>
      <c r="W76" s="1">
        <v>8.3000000000000007</v>
      </c>
      <c r="X76" s="1">
        <v>5.4</v>
      </c>
      <c r="Y76" s="1">
        <v>5.5</v>
      </c>
      <c r="Z76" s="1">
        <v>8</v>
      </c>
      <c r="AA76" s="1">
        <v>8.8000000000000007</v>
      </c>
      <c r="AB76" s="1">
        <v>2.4</v>
      </c>
      <c r="AC76" s="1">
        <v>6.4</v>
      </c>
      <c r="AD76" s="1">
        <v>20.399999999999999</v>
      </c>
      <c r="AE76" s="1">
        <v>10</v>
      </c>
      <c r="AF76" s="1">
        <v>5</v>
      </c>
      <c r="AG76" s="1">
        <v>1.7</v>
      </c>
      <c r="AH76" s="1">
        <v>26.5</v>
      </c>
      <c r="AI76" s="1">
        <v>10</v>
      </c>
      <c r="AJ76" s="1">
        <v>6.7</v>
      </c>
      <c r="AK76" s="1">
        <v>2.6</v>
      </c>
      <c r="AL76" s="1">
        <v>4</v>
      </c>
      <c r="AM76" s="1">
        <v>3.3</v>
      </c>
      <c r="AN76" s="1">
        <v>5</v>
      </c>
      <c r="AO76" s="1">
        <v>4.5</v>
      </c>
      <c r="AP76" s="1">
        <v>5</v>
      </c>
      <c r="AQ76" s="1">
        <v>8.5416666666666696</v>
      </c>
      <c r="AR76" s="1">
        <v>7.3</v>
      </c>
      <c r="AS76" s="1">
        <v>10</v>
      </c>
      <c r="AT76" s="1" t="s">
        <v>122</v>
      </c>
      <c r="AU76" s="1" t="s">
        <v>98</v>
      </c>
      <c r="AV76" s="1" t="s">
        <v>105</v>
      </c>
      <c r="AW76" s="1"/>
      <c r="AX76" s="1" t="s">
        <v>137</v>
      </c>
      <c r="AY76" s="1" t="s">
        <v>100</v>
      </c>
      <c r="AZ76" s="1">
        <v>10</v>
      </c>
      <c r="BA76" s="1"/>
      <c r="BB76" s="1">
        <v>0</v>
      </c>
      <c r="BC76" s="1" t="s">
        <v>1482</v>
      </c>
      <c r="BD76" s="1" t="s">
        <v>1404</v>
      </c>
      <c r="BE76" s="1">
        <v>24.016675968104501</v>
      </c>
      <c r="BF76" s="1">
        <v>24.087200515099902</v>
      </c>
      <c r="BG76" s="1">
        <v>25.947566433846902</v>
      </c>
      <c r="BH76" s="1">
        <v>27.300976672506</v>
      </c>
      <c r="BI76">
        <v>28.721357723943299</v>
      </c>
      <c r="BJ76">
        <v>28.160665902183101</v>
      </c>
      <c r="BK76" t="s">
        <v>1405</v>
      </c>
      <c r="BL76" t="s">
        <v>1408</v>
      </c>
      <c r="BM76">
        <v>11402.532999999999</v>
      </c>
      <c r="BN76">
        <v>1.4203810514373001</v>
      </c>
      <c r="BO76">
        <v>1.3534102386591</v>
      </c>
      <c r="BP76">
        <v>10</v>
      </c>
      <c r="BQ76">
        <v>4.5113674621969899</v>
      </c>
      <c r="BR76">
        <v>10</v>
      </c>
      <c r="BS76" t="s">
        <v>1400</v>
      </c>
      <c r="BT76" t="s">
        <v>1401</v>
      </c>
      <c r="BU76" t="s">
        <v>1402</v>
      </c>
      <c r="CF76" t="s">
        <v>103</v>
      </c>
    </row>
    <row r="77" spans="1:111" x14ac:dyDescent="0.2">
      <c r="A77" s="3">
        <v>1</v>
      </c>
      <c r="B77" s="3" t="s">
        <v>562</v>
      </c>
      <c r="C77" s="3" t="s">
        <v>563</v>
      </c>
      <c r="D77" s="1"/>
      <c r="E77" s="1">
        <f t="shared" si="6"/>
        <v>3.6055512754639922</v>
      </c>
      <c r="F77" s="1">
        <f t="shared" si="7"/>
        <v>1.8571428571428601</v>
      </c>
      <c r="G77" s="1">
        <f t="shared" si="8"/>
        <v>7</v>
      </c>
      <c r="H77" s="1"/>
      <c r="I77" s="1">
        <v>75</v>
      </c>
      <c r="J77" s="1">
        <v>89.444990020000006</v>
      </c>
      <c r="K77" s="1">
        <v>50.401897300000002</v>
      </c>
      <c r="L77" s="1">
        <v>10</v>
      </c>
      <c r="M77" s="1">
        <v>9.8000000000000007</v>
      </c>
      <c r="N77" s="1">
        <v>10</v>
      </c>
      <c r="O77" s="1">
        <v>6.8</v>
      </c>
      <c r="P77" s="1">
        <v>7.1</v>
      </c>
      <c r="Q77" s="1">
        <v>1.5</v>
      </c>
      <c r="R77" s="1">
        <v>1.5</v>
      </c>
      <c r="S77" s="1">
        <v>0.1</v>
      </c>
      <c r="T77" s="1">
        <v>0.1</v>
      </c>
      <c r="U77" s="1">
        <v>3.4</v>
      </c>
      <c r="V77" s="1">
        <v>4.2</v>
      </c>
      <c r="W77" s="1">
        <v>10</v>
      </c>
      <c r="X77" s="1">
        <v>7.1</v>
      </c>
      <c r="Y77" s="1">
        <v>5.3</v>
      </c>
      <c r="Z77" s="1">
        <v>1.2</v>
      </c>
      <c r="AA77" s="1"/>
      <c r="AB77" s="1">
        <v>0.1</v>
      </c>
      <c r="AC77" s="1">
        <v>0.6</v>
      </c>
      <c r="AD77" s="1">
        <v>0</v>
      </c>
      <c r="AE77" s="1">
        <v>0</v>
      </c>
      <c r="AF77" s="1">
        <v>19</v>
      </c>
      <c r="AG77" s="1">
        <v>9.4</v>
      </c>
      <c r="AH77" s="1">
        <v>23</v>
      </c>
      <c r="AI77" s="1">
        <v>8.6999999999999993</v>
      </c>
      <c r="AJ77" s="1">
        <v>6.9</v>
      </c>
      <c r="AK77" s="1">
        <v>2.7</v>
      </c>
      <c r="AL77" s="1">
        <v>4</v>
      </c>
      <c r="AM77" s="1">
        <v>0.1</v>
      </c>
      <c r="AN77" s="1">
        <v>3.9</v>
      </c>
      <c r="AO77" s="1">
        <v>4.8</v>
      </c>
      <c r="AP77" s="1">
        <v>5</v>
      </c>
      <c r="AQ77" s="1">
        <v>8.5416666666666696</v>
      </c>
      <c r="AR77" s="1">
        <v>1.3</v>
      </c>
      <c r="AS77" s="1">
        <v>1.8571428571428601</v>
      </c>
      <c r="AT77" s="1" t="s">
        <v>565</v>
      </c>
      <c r="AU77" s="1" t="s">
        <v>98</v>
      </c>
      <c r="AV77" s="1" t="s">
        <v>206</v>
      </c>
      <c r="AW77" s="1" t="s">
        <v>100</v>
      </c>
      <c r="AX77" s="1" t="s">
        <v>137</v>
      </c>
      <c r="AY77" s="1" t="s">
        <v>100</v>
      </c>
      <c r="AZ77" s="1">
        <v>10</v>
      </c>
      <c r="BA77" s="1">
        <v>7</v>
      </c>
      <c r="BB77" s="1">
        <v>0</v>
      </c>
      <c r="BC77" s="1"/>
      <c r="BD77" s="1"/>
      <c r="BE77" s="1"/>
      <c r="BF77" s="1"/>
      <c r="BG77" s="1"/>
      <c r="BH77" s="1"/>
      <c r="BS77" t="s">
        <v>1400</v>
      </c>
      <c r="BT77" t="s">
        <v>1401</v>
      </c>
      <c r="BU77" t="s">
        <v>1402</v>
      </c>
      <c r="BW77">
        <v>4.1559999999999997</v>
      </c>
      <c r="BX77">
        <v>3.7080000000000002</v>
      </c>
      <c r="BY77">
        <v>3.4180000000000001</v>
      </c>
      <c r="BZ77">
        <v>6.1</v>
      </c>
      <c r="CA77">
        <v>4.6989999999999998</v>
      </c>
      <c r="CB77">
        <v>3.9</v>
      </c>
      <c r="CC77">
        <v>3.7</v>
      </c>
      <c r="CD77">
        <v>3.5</v>
      </c>
      <c r="CE77">
        <v>3.4</v>
      </c>
      <c r="CF77" t="s">
        <v>1483</v>
      </c>
      <c r="CG77">
        <v>-1.401</v>
      </c>
      <c r="CH77">
        <v>2.6819999999999999</v>
      </c>
      <c r="CI77">
        <v>0</v>
      </c>
      <c r="CJ77">
        <v>8.94</v>
      </c>
      <c r="CK77">
        <v>8.94</v>
      </c>
      <c r="CL77">
        <v>0</v>
      </c>
    </row>
    <row r="78" spans="1:111" x14ac:dyDescent="0.2">
      <c r="A78" s="3">
        <v>1</v>
      </c>
      <c r="B78" s="3" t="s">
        <v>567</v>
      </c>
      <c r="C78" s="3" t="s">
        <v>568</v>
      </c>
      <c r="D78" s="1"/>
      <c r="E78" s="1">
        <f t="shared" si="6"/>
        <v>5.744562646538026</v>
      </c>
      <c r="F78" s="1">
        <f t="shared" si="7"/>
        <v>4.71428571428571</v>
      </c>
      <c r="G78" s="1">
        <f t="shared" si="8"/>
        <v>7</v>
      </c>
      <c r="H78" s="1"/>
      <c r="I78" s="1">
        <v>76</v>
      </c>
      <c r="J78" s="1">
        <v>57.412936899999998</v>
      </c>
      <c r="K78" s="1">
        <v>15.943313209999999</v>
      </c>
      <c r="L78" s="1">
        <v>6.8</v>
      </c>
      <c r="M78" s="1">
        <v>2.7</v>
      </c>
      <c r="N78" s="1">
        <v>6.8</v>
      </c>
      <c r="O78" s="1">
        <v>7.2</v>
      </c>
      <c r="P78" s="1">
        <v>5.5</v>
      </c>
      <c r="Q78" s="1">
        <v>3.4</v>
      </c>
      <c r="R78" s="1">
        <v>5</v>
      </c>
      <c r="S78" s="1">
        <v>0</v>
      </c>
      <c r="T78" s="1">
        <v>0</v>
      </c>
      <c r="U78" s="1">
        <v>4.2</v>
      </c>
      <c r="V78" s="1">
        <v>6.1</v>
      </c>
      <c r="W78" s="1">
        <v>0.9</v>
      </c>
      <c r="X78" s="1">
        <v>3.5</v>
      </c>
      <c r="Y78" s="1">
        <v>3.9</v>
      </c>
      <c r="Z78" s="1">
        <v>4.0999999999999996</v>
      </c>
      <c r="AA78" s="1">
        <v>5.0999999999999996</v>
      </c>
      <c r="AB78" s="1">
        <v>0.6</v>
      </c>
      <c r="AC78" s="1">
        <v>3.3</v>
      </c>
      <c r="AD78" s="1">
        <v>0</v>
      </c>
      <c r="AE78" s="1">
        <v>0</v>
      </c>
      <c r="AF78" s="1">
        <v>6</v>
      </c>
      <c r="AG78" s="1">
        <v>2.2000000000000002</v>
      </c>
      <c r="AH78" s="1">
        <v>26.4</v>
      </c>
      <c r="AI78" s="1">
        <v>10</v>
      </c>
      <c r="AJ78" s="1">
        <v>6.3</v>
      </c>
      <c r="AK78" s="1">
        <v>2.4</v>
      </c>
      <c r="AL78" s="1">
        <v>4</v>
      </c>
      <c r="AM78" s="1">
        <v>5.8</v>
      </c>
      <c r="AN78" s="1">
        <v>5.6</v>
      </c>
      <c r="AO78" s="1">
        <v>5.2</v>
      </c>
      <c r="AP78" s="1">
        <v>4.5</v>
      </c>
      <c r="AQ78" s="1">
        <v>6.4583333333333304</v>
      </c>
      <c r="AR78" s="1">
        <v>3.3</v>
      </c>
      <c r="AS78" s="1">
        <v>4.71428571428571</v>
      </c>
      <c r="AT78" s="1" t="s">
        <v>149</v>
      </c>
      <c r="AU78" s="1" t="s">
        <v>98</v>
      </c>
      <c r="AV78" s="1" t="s">
        <v>272</v>
      </c>
      <c r="AW78" s="1" t="s">
        <v>100</v>
      </c>
      <c r="AX78" s="1" t="s">
        <v>137</v>
      </c>
      <c r="AY78" s="1" t="s">
        <v>100</v>
      </c>
      <c r="AZ78" s="1">
        <v>10</v>
      </c>
      <c r="BA78" s="1">
        <v>7</v>
      </c>
      <c r="BB78" s="1">
        <v>0</v>
      </c>
      <c r="BC78" s="1" t="s">
        <v>1484</v>
      </c>
      <c r="BD78" s="1" t="s">
        <v>1404</v>
      </c>
      <c r="BE78" s="1">
        <v>4.5</v>
      </c>
      <c r="BF78" s="1">
        <v>3.6</v>
      </c>
      <c r="BG78" s="1">
        <v>2.7</v>
      </c>
      <c r="BH78" s="1">
        <v>3</v>
      </c>
      <c r="BI78">
        <v>2.6</v>
      </c>
      <c r="BJ78">
        <v>2.2000000000000002</v>
      </c>
      <c r="BK78" t="s">
        <v>1405</v>
      </c>
      <c r="BL78" t="s">
        <v>1439</v>
      </c>
      <c r="BM78">
        <v>273523.62099999998</v>
      </c>
      <c r="BN78">
        <v>-0.4</v>
      </c>
      <c r="BO78">
        <v>0.3</v>
      </c>
      <c r="BP78">
        <v>0</v>
      </c>
      <c r="BQ78">
        <v>1</v>
      </c>
      <c r="BR78">
        <v>1</v>
      </c>
      <c r="BS78" t="s">
        <v>1400</v>
      </c>
      <c r="BT78" t="s">
        <v>1401</v>
      </c>
      <c r="BU78" t="s">
        <v>1402</v>
      </c>
      <c r="BW78">
        <v>5.5</v>
      </c>
      <c r="BX78">
        <v>5.34</v>
      </c>
      <c r="BY78">
        <v>5.28</v>
      </c>
      <c r="BZ78">
        <v>8</v>
      </c>
      <c r="CA78">
        <v>6.8</v>
      </c>
      <c r="CB78">
        <v>5.8</v>
      </c>
      <c r="CC78">
        <v>5.4</v>
      </c>
      <c r="CD78">
        <v>5.3</v>
      </c>
      <c r="CE78">
        <v>5.3</v>
      </c>
      <c r="CF78" t="s">
        <v>1459</v>
      </c>
      <c r="CG78">
        <v>-1.2</v>
      </c>
      <c r="CH78">
        <v>2.72</v>
      </c>
      <c r="CI78">
        <v>0</v>
      </c>
      <c r="CJ78">
        <v>9.06666666666667</v>
      </c>
      <c r="CK78">
        <v>9.06666666666667</v>
      </c>
      <c r="CL78">
        <v>0</v>
      </c>
      <c r="CM78">
        <v>76.6226806640625</v>
      </c>
      <c r="CN78">
        <v>23.377317428588899</v>
      </c>
      <c r="CO78">
        <v>97.129791259765597</v>
      </c>
      <c r="CP78">
        <v>74.315528869628906</v>
      </c>
      <c r="CQ78">
        <v>21.983860015869102</v>
      </c>
      <c r="CS78">
        <v>25.449232101440401</v>
      </c>
      <c r="CT78">
        <v>57.996463775634801</v>
      </c>
      <c r="CW78">
        <v>71.421676635742202</v>
      </c>
      <c r="DA78">
        <v>4.6754634857177697</v>
      </c>
      <c r="DB78">
        <v>1.4351043701171899</v>
      </c>
      <c r="DD78">
        <v>1.14377644856771</v>
      </c>
      <c r="DF78">
        <v>2.4181147681342199</v>
      </c>
      <c r="DG78">
        <v>3.4544496687631701</v>
      </c>
    </row>
    <row r="79" spans="1:111" x14ac:dyDescent="0.2">
      <c r="A79" s="3">
        <v>1</v>
      </c>
      <c r="B79" s="3" t="s">
        <v>571</v>
      </c>
      <c r="C79" s="3" t="s">
        <v>572</v>
      </c>
      <c r="D79" s="1"/>
      <c r="E79" s="1">
        <f t="shared" si="6"/>
        <v>6.71428571428571</v>
      </c>
      <c r="F79" s="1">
        <f t="shared" si="7"/>
        <v>6.71428571428571</v>
      </c>
      <c r="G79" s="1">
        <f t="shared" si="8"/>
        <v>0</v>
      </c>
      <c r="H79" s="1"/>
      <c r="I79" s="1">
        <v>77</v>
      </c>
      <c r="J79" s="1"/>
      <c r="K79" s="1"/>
      <c r="L79" s="1"/>
      <c r="M79" s="1"/>
      <c r="N79" s="1"/>
      <c r="O79" s="1">
        <v>8.9</v>
      </c>
      <c r="P79" s="1">
        <v>3.4</v>
      </c>
      <c r="Q79" s="1">
        <v>3.9</v>
      </c>
      <c r="R79" s="1">
        <v>6.4</v>
      </c>
      <c r="S79" s="1">
        <v>0.1</v>
      </c>
      <c r="T79" s="1">
        <v>0.1</v>
      </c>
      <c r="U79" s="1">
        <v>4.5</v>
      </c>
      <c r="V79" s="1">
        <v>2.4</v>
      </c>
      <c r="W79" s="1">
        <v>2.4</v>
      </c>
      <c r="X79" s="1">
        <v>2.4</v>
      </c>
      <c r="Y79" s="1">
        <v>3.5</v>
      </c>
      <c r="Z79" s="1">
        <v>5.2</v>
      </c>
      <c r="AA79" s="1">
        <v>7.7</v>
      </c>
      <c r="AB79" s="1">
        <v>2.1</v>
      </c>
      <c r="AC79" s="1">
        <v>5</v>
      </c>
      <c r="AD79" s="1">
        <v>0</v>
      </c>
      <c r="AE79" s="1">
        <v>0</v>
      </c>
      <c r="AF79" s="1">
        <v>6</v>
      </c>
      <c r="AG79" s="1">
        <v>2.2000000000000002</v>
      </c>
      <c r="AH79" s="1">
        <v>23.3</v>
      </c>
      <c r="AI79" s="1">
        <v>8.9</v>
      </c>
      <c r="AJ79" s="1">
        <v>10.4</v>
      </c>
      <c r="AK79" s="1">
        <v>4.7</v>
      </c>
      <c r="AL79" s="1">
        <v>4</v>
      </c>
      <c r="AM79" s="1">
        <v>3.7</v>
      </c>
      <c r="AN79" s="1">
        <v>5.3</v>
      </c>
      <c r="AO79" s="1">
        <v>5.2</v>
      </c>
      <c r="AP79" s="1">
        <v>4.3</v>
      </c>
      <c r="AQ79" s="1">
        <v>5.625</v>
      </c>
      <c r="AR79" s="1">
        <v>4.7</v>
      </c>
      <c r="AS79" s="1">
        <v>6.71428571428571</v>
      </c>
      <c r="AT79" s="1" t="s">
        <v>574</v>
      </c>
      <c r="AU79" s="1" t="s">
        <v>98</v>
      </c>
      <c r="AV79" s="1" t="s">
        <v>105</v>
      </c>
      <c r="AW79" s="1"/>
      <c r="AX79" s="1" t="s">
        <v>102</v>
      </c>
      <c r="AY79" s="1" t="s">
        <v>98</v>
      </c>
      <c r="AZ79" s="1">
        <v>10</v>
      </c>
      <c r="BA79" s="1"/>
      <c r="BB79" s="1">
        <v>7</v>
      </c>
      <c r="BC79" s="1" t="s">
        <v>1485</v>
      </c>
      <c r="BD79" s="1" t="s">
        <v>1404</v>
      </c>
      <c r="BE79" s="1">
        <v>10.39</v>
      </c>
      <c r="BF79" s="1">
        <v>9.15</v>
      </c>
      <c r="BG79" s="1">
        <v>8.35</v>
      </c>
      <c r="BH79" s="1">
        <v>11.11</v>
      </c>
      <c r="BI79">
        <v>9.98</v>
      </c>
      <c r="BJ79">
        <v>9.01</v>
      </c>
      <c r="BK79" t="s">
        <v>1405</v>
      </c>
      <c r="BL79" t="s">
        <v>1420</v>
      </c>
      <c r="BM79">
        <v>1380004.385</v>
      </c>
      <c r="BN79">
        <v>-1.1299999999999999</v>
      </c>
      <c r="BO79">
        <v>2.76</v>
      </c>
      <c r="BP79">
        <v>0</v>
      </c>
      <c r="BQ79">
        <v>9.1999999999999993</v>
      </c>
      <c r="BR79">
        <v>9.1999999999999993</v>
      </c>
      <c r="BS79" t="s">
        <v>1400</v>
      </c>
      <c r="BT79" t="s">
        <v>1401</v>
      </c>
      <c r="BU79" t="s">
        <v>1402</v>
      </c>
      <c r="CF79" t="s">
        <v>103</v>
      </c>
      <c r="CL79">
        <v>7</v>
      </c>
    </row>
    <row r="80" spans="1:111" x14ac:dyDescent="0.2">
      <c r="A80" s="3">
        <v>1</v>
      </c>
      <c r="B80" s="3" t="s">
        <v>577</v>
      </c>
      <c r="C80" s="3" t="s">
        <v>578</v>
      </c>
      <c r="D80" s="1"/>
      <c r="E80" s="1">
        <f t="shared" si="6"/>
        <v>1.9999999999999991</v>
      </c>
      <c r="F80" s="1">
        <f t="shared" si="7"/>
        <v>0.57142857142857095</v>
      </c>
      <c r="G80" s="1">
        <f t="shared" si="8"/>
        <v>7</v>
      </c>
      <c r="H80" s="1"/>
      <c r="I80" s="1">
        <v>78</v>
      </c>
      <c r="J80" s="1"/>
      <c r="K80" s="1"/>
      <c r="L80" s="1"/>
      <c r="M80" s="1"/>
      <c r="N80" s="1"/>
      <c r="O80" s="1">
        <v>6.2</v>
      </c>
      <c r="P80" s="1">
        <v>6.3</v>
      </c>
      <c r="Q80" s="1"/>
      <c r="R80" s="1">
        <v>2</v>
      </c>
      <c r="S80" s="1">
        <v>0.3</v>
      </c>
      <c r="T80" s="1">
        <v>0.3</v>
      </c>
      <c r="U80" s="1">
        <v>3.7</v>
      </c>
      <c r="V80" s="1">
        <v>6.7</v>
      </c>
      <c r="W80" s="1">
        <v>10</v>
      </c>
      <c r="X80" s="1">
        <v>8.4</v>
      </c>
      <c r="Y80" s="1">
        <v>6</v>
      </c>
      <c r="Z80" s="1">
        <v>0</v>
      </c>
      <c r="AA80" s="1"/>
      <c r="AB80" s="1">
        <v>0</v>
      </c>
      <c r="AC80" s="1">
        <v>0</v>
      </c>
      <c r="AD80" s="1">
        <v>0</v>
      </c>
      <c r="AE80" s="1">
        <v>0</v>
      </c>
      <c r="AF80" s="1">
        <v>14</v>
      </c>
      <c r="AG80" s="1">
        <v>6.7</v>
      </c>
      <c r="AH80" s="1">
        <v>10.3</v>
      </c>
      <c r="AI80" s="1">
        <v>0.2</v>
      </c>
      <c r="AJ80" s="1">
        <v>3.2</v>
      </c>
      <c r="AK80" s="1">
        <v>0.7</v>
      </c>
      <c r="AL80" s="1">
        <v>3</v>
      </c>
      <c r="AM80" s="1">
        <v>0.1</v>
      </c>
      <c r="AN80" s="1">
        <v>1</v>
      </c>
      <c r="AO80" s="1">
        <v>0.5</v>
      </c>
      <c r="AP80" s="1">
        <v>3.3</v>
      </c>
      <c r="AQ80" s="1">
        <v>1.4583333333333299</v>
      </c>
      <c r="AR80" s="1">
        <v>0.4</v>
      </c>
      <c r="AS80" s="1">
        <v>0.57142857142857095</v>
      </c>
      <c r="AT80" s="1" t="s">
        <v>258</v>
      </c>
      <c r="AU80" s="1" t="s">
        <v>98</v>
      </c>
      <c r="AV80" s="1" t="s">
        <v>226</v>
      </c>
      <c r="AW80" s="1" t="s">
        <v>100</v>
      </c>
      <c r="AX80" s="1" t="s">
        <v>183</v>
      </c>
      <c r="AY80" s="1" t="s">
        <v>96</v>
      </c>
      <c r="AZ80" s="1">
        <v>10</v>
      </c>
      <c r="BA80" s="1">
        <v>7</v>
      </c>
      <c r="BB80" s="1">
        <v>3</v>
      </c>
      <c r="BC80" s="1"/>
      <c r="BD80" s="1"/>
      <c r="BE80" s="1"/>
      <c r="BF80" s="1"/>
      <c r="BG80" s="1"/>
      <c r="BH80" s="1"/>
      <c r="BS80" t="s">
        <v>1400</v>
      </c>
      <c r="BT80" t="s">
        <v>1401</v>
      </c>
      <c r="BU80" t="s">
        <v>1402</v>
      </c>
      <c r="BW80">
        <v>6.7249999999999996</v>
      </c>
      <c r="BX80">
        <v>5.7750000000000004</v>
      </c>
      <c r="BY80">
        <v>4.9580000000000002</v>
      </c>
      <c r="BZ80">
        <v>5.6289999999999996</v>
      </c>
      <c r="CA80">
        <v>6.1539999999999999</v>
      </c>
      <c r="CB80">
        <v>5.8570000000000002</v>
      </c>
      <c r="CC80">
        <v>5.3019999999999996</v>
      </c>
      <c r="CD80">
        <v>5.3789999999999996</v>
      </c>
      <c r="CE80">
        <v>5.3490000000000002</v>
      </c>
      <c r="CF80" t="s">
        <v>1486</v>
      </c>
      <c r="CG80">
        <v>0.52500000000000002</v>
      </c>
      <c r="CH80">
        <v>0.67099999999999904</v>
      </c>
      <c r="CI80">
        <v>5.25</v>
      </c>
      <c r="CJ80">
        <v>2.2366666666666601</v>
      </c>
      <c r="CK80">
        <v>5.25</v>
      </c>
    </row>
    <row r="81" spans="1:111" x14ac:dyDescent="0.2">
      <c r="A81" s="3">
        <v>1</v>
      </c>
      <c r="B81" s="3" t="s">
        <v>581</v>
      </c>
      <c r="C81" s="3" t="s">
        <v>582</v>
      </c>
      <c r="D81" s="1"/>
      <c r="E81" s="1">
        <f t="shared" si="6"/>
        <v>4.8989794855663575</v>
      </c>
      <c r="F81" s="1">
        <f t="shared" si="7"/>
        <v>3.4285714285714302</v>
      </c>
      <c r="G81" s="1">
        <f t="shared" si="8"/>
        <v>7</v>
      </c>
      <c r="H81" s="1"/>
      <c r="I81" s="1">
        <v>79</v>
      </c>
      <c r="J81" s="1"/>
      <c r="K81" s="1"/>
      <c r="L81" s="1"/>
      <c r="M81" s="1"/>
      <c r="N81" s="1"/>
      <c r="O81" s="1">
        <v>5.7</v>
      </c>
      <c r="P81" s="1">
        <v>7.5</v>
      </c>
      <c r="Q81" s="1">
        <v>2.7</v>
      </c>
      <c r="R81" s="1">
        <v>3.8</v>
      </c>
      <c r="S81" s="1">
        <v>1.2</v>
      </c>
      <c r="T81" s="1">
        <v>1.2</v>
      </c>
      <c r="U81" s="1">
        <v>4.2</v>
      </c>
      <c r="V81" s="1">
        <v>6.4</v>
      </c>
      <c r="W81" s="1">
        <v>0.9</v>
      </c>
      <c r="X81" s="1">
        <v>3.7</v>
      </c>
      <c r="Y81" s="1">
        <v>3.9</v>
      </c>
      <c r="Z81" s="1">
        <v>2</v>
      </c>
      <c r="AA81" s="1"/>
      <c r="AB81" s="1">
        <v>0</v>
      </c>
      <c r="AC81" s="1">
        <v>1</v>
      </c>
      <c r="AD81" s="1">
        <v>0</v>
      </c>
      <c r="AE81" s="1">
        <v>0</v>
      </c>
      <c r="AF81" s="1">
        <v>6</v>
      </c>
      <c r="AG81" s="1">
        <v>2.2000000000000002</v>
      </c>
      <c r="AH81" s="1">
        <v>14.8</v>
      </c>
      <c r="AI81" s="1">
        <v>3.2</v>
      </c>
      <c r="AJ81" s="1">
        <v>9.6</v>
      </c>
      <c r="AK81" s="1">
        <v>4.2</v>
      </c>
      <c r="AL81" s="1">
        <v>7</v>
      </c>
      <c r="AM81" s="1">
        <v>0.3</v>
      </c>
      <c r="AN81" s="1">
        <v>3.7</v>
      </c>
      <c r="AO81" s="1">
        <v>2.2999999999999998</v>
      </c>
      <c r="AP81" s="1">
        <v>3.1</v>
      </c>
      <c r="AQ81" s="1">
        <v>0.625</v>
      </c>
      <c r="AR81" s="1">
        <v>2.4</v>
      </c>
      <c r="AS81" s="1">
        <v>3.4285714285714302</v>
      </c>
      <c r="AT81" s="1" t="s">
        <v>104</v>
      </c>
      <c r="AU81" s="1" t="s">
        <v>98</v>
      </c>
      <c r="AV81" s="1" t="s">
        <v>584</v>
      </c>
      <c r="AW81" s="1" t="s">
        <v>100</v>
      </c>
      <c r="AX81" s="1" t="s">
        <v>137</v>
      </c>
      <c r="AY81" s="1" t="s">
        <v>100</v>
      </c>
      <c r="AZ81" s="1">
        <v>10</v>
      </c>
      <c r="BA81" s="1">
        <v>7</v>
      </c>
      <c r="BB81" s="1">
        <v>0</v>
      </c>
      <c r="BC81" s="1"/>
      <c r="BD81" s="1"/>
      <c r="BE81" s="1"/>
      <c r="BF81" s="1"/>
      <c r="BG81" s="1"/>
      <c r="BH81" s="1"/>
      <c r="BS81" t="s">
        <v>1400</v>
      </c>
      <c r="BT81" t="s">
        <v>1401</v>
      </c>
      <c r="BU81" t="s">
        <v>1402</v>
      </c>
      <c r="BW81">
        <v>12.074999999999999</v>
      </c>
      <c r="BX81">
        <v>12.025</v>
      </c>
      <c r="BY81">
        <v>10.65</v>
      </c>
      <c r="BZ81">
        <v>12.176</v>
      </c>
      <c r="CA81">
        <v>12.420999999999999</v>
      </c>
      <c r="CB81">
        <v>13.1</v>
      </c>
      <c r="CC81">
        <v>13.763</v>
      </c>
      <c r="CD81">
        <v>14.542</v>
      </c>
      <c r="CE81">
        <v>15.303000000000001</v>
      </c>
      <c r="CF81" t="s">
        <v>1487</v>
      </c>
      <c r="CG81">
        <v>0.244999999999999</v>
      </c>
      <c r="CH81">
        <v>1.526</v>
      </c>
      <c r="CI81">
        <v>2.44999999999999</v>
      </c>
      <c r="CJ81">
        <v>5.0866666666666696</v>
      </c>
      <c r="CK81">
        <v>5.0866666666666696</v>
      </c>
    </row>
    <row r="82" spans="1:111" x14ac:dyDescent="0.2">
      <c r="A82" s="3">
        <v>1</v>
      </c>
      <c r="B82" s="3" t="s">
        <v>588</v>
      </c>
      <c r="C82" s="3" t="s">
        <v>589</v>
      </c>
      <c r="D82" s="1"/>
      <c r="E82" s="1">
        <f t="shared" si="6"/>
        <v>5.5714285714285703</v>
      </c>
      <c r="F82" s="1">
        <f t="shared" si="7"/>
        <v>5.5714285714285703</v>
      </c>
      <c r="G82" s="1">
        <f t="shared" si="8"/>
        <v>0</v>
      </c>
      <c r="H82" s="1"/>
      <c r="I82" s="1">
        <v>80</v>
      </c>
      <c r="J82" s="1">
        <v>83.559542530000002</v>
      </c>
      <c r="K82" s="1">
        <v>9.5248765090000003</v>
      </c>
      <c r="L82" s="1">
        <v>10</v>
      </c>
      <c r="M82" s="1">
        <v>1.3</v>
      </c>
      <c r="N82" s="1">
        <v>10</v>
      </c>
      <c r="O82" s="1">
        <v>6.5</v>
      </c>
      <c r="P82" s="1">
        <v>7</v>
      </c>
      <c r="Q82" s="1">
        <v>5.2</v>
      </c>
      <c r="R82" s="1"/>
      <c r="S82" s="1">
        <v>5.7</v>
      </c>
      <c r="T82" s="1">
        <v>5.7</v>
      </c>
      <c r="U82" s="1">
        <v>6.1</v>
      </c>
      <c r="V82" s="1">
        <v>5.4</v>
      </c>
      <c r="W82" s="1">
        <v>1</v>
      </c>
      <c r="X82" s="1">
        <v>3.2</v>
      </c>
      <c r="Y82" s="1">
        <v>4.7</v>
      </c>
      <c r="Z82" s="1">
        <v>4.3</v>
      </c>
      <c r="AA82" s="1">
        <v>6.4</v>
      </c>
      <c r="AB82" s="1">
        <v>0.3</v>
      </c>
      <c r="AC82" s="1">
        <v>3.7</v>
      </c>
      <c r="AD82" s="1">
        <v>6.4</v>
      </c>
      <c r="AE82" s="1">
        <v>3.2</v>
      </c>
      <c r="AF82" s="1">
        <v>3</v>
      </c>
      <c r="AG82" s="1">
        <v>0.6</v>
      </c>
      <c r="AH82" s="1">
        <v>21.3</v>
      </c>
      <c r="AI82" s="1">
        <v>7.5</v>
      </c>
      <c r="AJ82" s="1">
        <v>8.8000000000000007</v>
      </c>
      <c r="AK82" s="1">
        <v>3.8</v>
      </c>
      <c r="AL82" s="1">
        <v>6</v>
      </c>
      <c r="AM82" s="1">
        <v>0.8</v>
      </c>
      <c r="AN82" s="1">
        <v>4.5</v>
      </c>
      <c r="AO82" s="1">
        <v>6.1</v>
      </c>
      <c r="AP82" s="1">
        <v>5.4</v>
      </c>
      <c r="AQ82" s="1">
        <v>10</v>
      </c>
      <c r="AR82" s="1">
        <v>3.9</v>
      </c>
      <c r="AS82" s="1">
        <v>5.5714285714285703</v>
      </c>
      <c r="AT82" s="1" t="s">
        <v>591</v>
      </c>
      <c r="AU82" s="1" t="s">
        <v>98</v>
      </c>
      <c r="AV82" s="1" t="s">
        <v>105</v>
      </c>
      <c r="AW82" s="1"/>
      <c r="AX82" s="1" t="s">
        <v>137</v>
      </c>
      <c r="AY82" s="1" t="s">
        <v>100</v>
      </c>
      <c r="AZ82" s="1">
        <v>10</v>
      </c>
      <c r="BA82" s="1"/>
      <c r="BB82" s="1">
        <v>0</v>
      </c>
      <c r="BC82" s="1"/>
      <c r="BD82" s="1"/>
      <c r="BE82" s="1"/>
      <c r="BF82" s="1"/>
      <c r="BG82" s="1"/>
      <c r="BH82" s="1"/>
      <c r="BS82" t="s">
        <v>1400</v>
      </c>
      <c r="BT82" t="s">
        <v>1401</v>
      </c>
      <c r="BU82" t="s">
        <v>1402</v>
      </c>
      <c r="CF82" t="s">
        <v>103</v>
      </c>
    </row>
    <row r="83" spans="1:111" x14ac:dyDescent="0.2">
      <c r="A83" s="3">
        <v>1</v>
      </c>
      <c r="B83" s="3" t="s">
        <v>593</v>
      </c>
      <c r="C83" s="3" t="s">
        <v>594</v>
      </c>
      <c r="D83" s="1"/>
      <c r="E83" s="1">
        <f t="shared" si="6"/>
        <v>1.4142135623730956</v>
      </c>
      <c r="F83" s="1">
        <f t="shared" si="7"/>
        <v>0.28571428571428598</v>
      </c>
      <c r="G83" s="1">
        <f t="shared" si="8"/>
        <v>7</v>
      </c>
      <c r="H83" s="1"/>
      <c r="I83" s="1">
        <v>81</v>
      </c>
      <c r="J83" s="1"/>
      <c r="K83" s="1"/>
      <c r="L83" s="1"/>
      <c r="M83" s="1"/>
      <c r="N83" s="1"/>
      <c r="O83" s="1">
        <v>1.8</v>
      </c>
      <c r="P83" s="1">
        <v>9.4</v>
      </c>
      <c r="Q83" s="1"/>
      <c r="R83" s="1"/>
      <c r="S83" s="1">
        <v>0.3</v>
      </c>
      <c r="T83" s="1">
        <v>0.3</v>
      </c>
      <c r="U83" s="1">
        <v>3.8</v>
      </c>
      <c r="V83" s="1">
        <v>4.5999999999999996</v>
      </c>
      <c r="W83" s="1">
        <v>2.2999999999999998</v>
      </c>
      <c r="X83" s="1">
        <v>3.5</v>
      </c>
      <c r="Y83" s="1">
        <v>3.6</v>
      </c>
      <c r="Z83" s="1">
        <v>0</v>
      </c>
      <c r="AA83" s="1"/>
      <c r="AB83" s="1">
        <v>0</v>
      </c>
      <c r="AC83" s="1">
        <v>0</v>
      </c>
      <c r="AD83" s="1">
        <v>0</v>
      </c>
      <c r="AE83" s="1">
        <v>0</v>
      </c>
      <c r="AF83" s="1">
        <v>15</v>
      </c>
      <c r="AG83" s="1">
        <v>7.2</v>
      </c>
      <c r="AH83" s="1">
        <v>9.1</v>
      </c>
      <c r="AI83" s="1">
        <v>0</v>
      </c>
      <c r="AJ83" s="1">
        <v>5.8</v>
      </c>
      <c r="AK83" s="1">
        <v>2.1</v>
      </c>
      <c r="AL83" s="1">
        <v>3</v>
      </c>
      <c r="AM83" s="1">
        <v>0.1</v>
      </c>
      <c r="AN83" s="1">
        <v>1.3</v>
      </c>
      <c r="AO83" s="1">
        <v>0.7</v>
      </c>
      <c r="AP83" s="1">
        <v>2.1</v>
      </c>
      <c r="AQ83" s="1">
        <v>0</v>
      </c>
      <c r="AR83" s="1">
        <v>0.2</v>
      </c>
      <c r="AS83" s="1">
        <v>0.28571428571428598</v>
      </c>
      <c r="AT83" s="1" t="s">
        <v>596</v>
      </c>
      <c r="AU83" s="1" t="s">
        <v>98</v>
      </c>
      <c r="AV83" s="1" t="s">
        <v>597</v>
      </c>
      <c r="AW83" s="1" t="s">
        <v>100</v>
      </c>
      <c r="AX83" s="1" t="s">
        <v>183</v>
      </c>
      <c r="AY83" s="1" t="s">
        <v>96</v>
      </c>
      <c r="AZ83" s="1">
        <v>10</v>
      </c>
      <c r="BA83" s="1">
        <v>7</v>
      </c>
      <c r="BB83" s="1">
        <v>3</v>
      </c>
      <c r="BC83" s="1"/>
      <c r="BD83" s="1"/>
      <c r="BE83" s="1"/>
      <c r="BF83" s="1"/>
      <c r="BG83" s="1"/>
      <c r="BH83" s="1"/>
      <c r="BS83" t="s">
        <v>1400</v>
      </c>
      <c r="BT83" t="s">
        <v>1401</v>
      </c>
      <c r="BU83" t="s">
        <v>1402</v>
      </c>
      <c r="BW83">
        <v>2.8250000000000002</v>
      </c>
      <c r="BX83">
        <v>2.742</v>
      </c>
      <c r="BY83">
        <v>3.55</v>
      </c>
      <c r="BZ83">
        <v>7.2</v>
      </c>
      <c r="CA83">
        <v>7</v>
      </c>
      <c r="CB83">
        <v>5</v>
      </c>
      <c r="CC83">
        <v>4</v>
      </c>
      <c r="CD83">
        <v>4</v>
      </c>
      <c r="CE83">
        <v>4</v>
      </c>
      <c r="CF83" t="s">
        <v>1488</v>
      </c>
      <c r="CG83">
        <v>-0.2</v>
      </c>
      <c r="CH83">
        <v>3.65</v>
      </c>
      <c r="CI83">
        <v>0</v>
      </c>
      <c r="CJ83">
        <v>10</v>
      </c>
      <c r="CK83">
        <v>10</v>
      </c>
    </row>
    <row r="84" spans="1:111" x14ac:dyDescent="0.2">
      <c r="A84" s="3">
        <v>1</v>
      </c>
      <c r="B84" s="3" t="s">
        <v>598</v>
      </c>
      <c r="C84" s="3" t="s">
        <v>599</v>
      </c>
      <c r="D84" s="1"/>
      <c r="E84" s="1">
        <f t="shared" si="6"/>
        <v>2.4494897427831765</v>
      </c>
      <c r="F84" s="1">
        <f t="shared" si="7"/>
        <v>0.85714285714285599</v>
      </c>
      <c r="G84" s="1">
        <f t="shared" si="8"/>
        <v>7</v>
      </c>
      <c r="H84" s="1"/>
      <c r="I84" s="1">
        <v>82</v>
      </c>
      <c r="J84" s="1"/>
      <c r="K84" s="1"/>
      <c r="L84" s="1"/>
      <c r="M84" s="1"/>
      <c r="N84" s="1"/>
      <c r="O84" s="1">
        <v>8.6999999999999993</v>
      </c>
      <c r="P84" s="1">
        <v>9.1999999999999993</v>
      </c>
      <c r="Q84" s="1"/>
      <c r="R84" s="1">
        <v>2.9</v>
      </c>
      <c r="S84" s="1">
        <v>0.6</v>
      </c>
      <c r="T84" s="1">
        <v>0.6</v>
      </c>
      <c r="U84" s="1">
        <v>5.4</v>
      </c>
      <c r="V84" s="1">
        <v>5.2</v>
      </c>
      <c r="W84" s="1">
        <v>10</v>
      </c>
      <c r="X84" s="1">
        <v>7.6</v>
      </c>
      <c r="Y84" s="1">
        <v>6.5</v>
      </c>
      <c r="Z84" s="1">
        <v>0</v>
      </c>
      <c r="AA84" s="1"/>
      <c r="AB84" s="1">
        <v>0</v>
      </c>
      <c r="AC84" s="1">
        <v>0</v>
      </c>
      <c r="AD84" s="1">
        <v>0</v>
      </c>
      <c r="AE84" s="1">
        <v>0</v>
      </c>
      <c r="AF84" s="1">
        <v>12</v>
      </c>
      <c r="AG84" s="1">
        <v>5.6</v>
      </c>
      <c r="AH84" s="1">
        <v>9.6</v>
      </c>
      <c r="AI84" s="1">
        <v>0</v>
      </c>
      <c r="AJ84" s="1">
        <v>9.6999999999999993</v>
      </c>
      <c r="AK84" s="1">
        <v>4.3</v>
      </c>
      <c r="AL84" s="1">
        <v>3</v>
      </c>
      <c r="AM84" s="1">
        <v>0.1</v>
      </c>
      <c r="AN84" s="1">
        <v>1.9</v>
      </c>
      <c r="AO84" s="1">
        <v>0.9</v>
      </c>
      <c r="AP84" s="1">
        <v>3.7</v>
      </c>
      <c r="AQ84" s="1">
        <v>3.125</v>
      </c>
      <c r="AR84" s="1">
        <v>0.6</v>
      </c>
      <c r="AS84" s="1">
        <v>0.85714285714285599</v>
      </c>
      <c r="AT84" s="1" t="s">
        <v>602</v>
      </c>
      <c r="AU84" s="1" t="s">
        <v>98</v>
      </c>
      <c r="AV84" s="1" t="s">
        <v>603</v>
      </c>
      <c r="AW84" s="1" t="s">
        <v>100</v>
      </c>
      <c r="AX84" s="1" t="s">
        <v>183</v>
      </c>
      <c r="AY84" s="1" t="s">
        <v>96</v>
      </c>
      <c r="AZ84" s="1">
        <v>10</v>
      </c>
      <c r="BA84" s="1">
        <v>7</v>
      </c>
      <c r="BB84" s="1">
        <v>3</v>
      </c>
      <c r="BC84" s="1"/>
      <c r="BD84" s="1"/>
      <c r="BE84" s="1"/>
      <c r="BF84" s="1"/>
      <c r="BG84" s="1"/>
      <c r="BH84" s="1"/>
      <c r="BS84" t="s">
        <v>1400</v>
      </c>
      <c r="BT84" t="s">
        <v>1401</v>
      </c>
      <c r="BU84" t="s">
        <v>1402</v>
      </c>
      <c r="BW84">
        <v>4.2249999999999996</v>
      </c>
      <c r="BX84">
        <v>4</v>
      </c>
      <c r="BY84">
        <v>3.8</v>
      </c>
      <c r="BZ84">
        <v>5.9889999999999999</v>
      </c>
      <c r="CA84">
        <v>5.5570000000000004</v>
      </c>
      <c r="CB84">
        <v>5.1239999999999997</v>
      </c>
      <c r="CC84">
        <v>4.7210000000000001</v>
      </c>
      <c r="CD84">
        <v>4.7</v>
      </c>
      <c r="CE84">
        <v>4.7</v>
      </c>
      <c r="CF84" t="s">
        <v>1489</v>
      </c>
      <c r="CG84">
        <v>-0.431999999999999</v>
      </c>
      <c r="CH84">
        <v>2.1890000000000001</v>
      </c>
      <c r="CI84">
        <v>0</v>
      </c>
      <c r="CJ84">
        <v>7.2966666666666704</v>
      </c>
      <c r="CK84">
        <v>7.2966666666666704</v>
      </c>
    </row>
    <row r="85" spans="1:111" x14ac:dyDescent="0.2">
      <c r="A85" s="3">
        <v>1</v>
      </c>
      <c r="B85" s="3" t="s">
        <v>605</v>
      </c>
      <c r="C85" s="3" t="s">
        <v>606</v>
      </c>
      <c r="D85" s="1"/>
      <c r="E85" s="1">
        <f t="shared" si="6"/>
        <v>2.4494897427831765</v>
      </c>
      <c r="F85" s="1">
        <f t="shared" si="7"/>
        <v>0.85714285714285599</v>
      </c>
      <c r="G85" s="1">
        <f t="shared" si="8"/>
        <v>7</v>
      </c>
      <c r="H85" s="1"/>
      <c r="I85" s="1">
        <v>83</v>
      </c>
      <c r="J85" s="1"/>
      <c r="K85" s="1"/>
      <c r="L85" s="1"/>
      <c r="M85" s="1"/>
      <c r="N85" s="1"/>
      <c r="O85" s="1">
        <v>7.7</v>
      </c>
      <c r="P85" s="1">
        <v>7</v>
      </c>
      <c r="Q85" s="1"/>
      <c r="R85" s="1">
        <v>1</v>
      </c>
      <c r="S85" s="1">
        <v>0.5</v>
      </c>
      <c r="T85" s="1">
        <v>0.5</v>
      </c>
      <c r="U85" s="1">
        <v>4.0999999999999996</v>
      </c>
      <c r="V85" s="1">
        <v>6.7</v>
      </c>
      <c r="W85" s="1">
        <v>10</v>
      </c>
      <c r="X85" s="1">
        <v>8.4</v>
      </c>
      <c r="Y85" s="1">
        <v>6.2</v>
      </c>
      <c r="Z85" s="1">
        <v>0.4</v>
      </c>
      <c r="AA85" s="1"/>
      <c r="AB85" s="1">
        <v>0.1</v>
      </c>
      <c r="AC85" s="1">
        <v>0.3</v>
      </c>
      <c r="AD85" s="1">
        <v>0</v>
      </c>
      <c r="AE85" s="1">
        <v>0</v>
      </c>
      <c r="AF85" s="1">
        <v>23</v>
      </c>
      <c r="AG85" s="1">
        <v>10</v>
      </c>
      <c r="AH85" s="1">
        <v>9.5</v>
      </c>
      <c r="AI85" s="1">
        <v>0</v>
      </c>
      <c r="AJ85" s="1">
        <v>5</v>
      </c>
      <c r="AK85" s="1">
        <v>1.7</v>
      </c>
      <c r="AL85" s="1">
        <v>3</v>
      </c>
      <c r="AM85" s="1">
        <v>0.1</v>
      </c>
      <c r="AN85" s="1">
        <v>1.2</v>
      </c>
      <c r="AO85" s="1">
        <v>0.7</v>
      </c>
      <c r="AP85" s="1">
        <v>3.5</v>
      </c>
      <c r="AQ85" s="1">
        <v>2.2916666666666701</v>
      </c>
      <c r="AR85" s="1">
        <v>0.6</v>
      </c>
      <c r="AS85" s="1">
        <v>0.85714285714285599</v>
      </c>
      <c r="AT85" s="1" t="s">
        <v>608</v>
      </c>
      <c r="AU85" s="1" t="s">
        <v>98</v>
      </c>
      <c r="AV85" s="1" t="s">
        <v>155</v>
      </c>
      <c r="AW85" s="1" t="s">
        <v>100</v>
      </c>
      <c r="AX85" s="1" t="s">
        <v>137</v>
      </c>
      <c r="AY85" s="1" t="s">
        <v>100</v>
      </c>
      <c r="AZ85" s="1">
        <v>10</v>
      </c>
      <c r="BA85" s="1">
        <v>7</v>
      </c>
      <c r="BB85" s="1">
        <v>0</v>
      </c>
      <c r="BC85" s="1"/>
      <c r="BD85" s="1"/>
      <c r="BE85" s="1"/>
      <c r="BF85" s="1"/>
      <c r="BG85" s="1"/>
      <c r="BH85" s="1"/>
      <c r="BS85" t="s">
        <v>1400</v>
      </c>
      <c r="BT85" t="s">
        <v>1401</v>
      </c>
      <c r="BU85" t="s">
        <v>1402</v>
      </c>
      <c r="BW85">
        <v>11.275</v>
      </c>
      <c r="BX85">
        <v>10.625</v>
      </c>
      <c r="BY85">
        <v>9.9</v>
      </c>
      <c r="BZ85">
        <v>11</v>
      </c>
      <c r="CA85">
        <v>11.8</v>
      </c>
      <c r="CB85">
        <v>10.8</v>
      </c>
      <c r="CC85">
        <v>10.3</v>
      </c>
      <c r="CD85">
        <v>10.199999999999999</v>
      </c>
      <c r="CE85">
        <v>10.199999999999999</v>
      </c>
      <c r="CF85" t="s">
        <v>788</v>
      </c>
      <c r="CG85">
        <v>0.80000000000000104</v>
      </c>
      <c r="CH85">
        <v>1.1000000000000001</v>
      </c>
      <c r="CI85">
        <v>8.0000000000000107</v>
      </c>
      <c r="CJ85">
        <v>3.6666666666666701</v>
      </c>
      <c r="CK85">
        <v>8.0000000000000107</v>
      </c>
    </row>
    <row r="86" spans="1:111" x14ac:dyDescent="0.2">
      <c r="A86" s="3">
        <v>1</v>
      </c>
      <c r="B86" s="3" t="s">
        <v>609</v>
      </c>
      <c r="C86" s="3" t="s">
        <v>610</v>
      </c>
      <c r="D86" s="1"/>
      <c r="E86" s="1">
        <f t="shared" si="6"/>
        <v>5.5714285714285703</v>
      </c>
      <c r="F86" s="1">
        <f t="shared" si="7"/>
        <v>5.5714285714285703</v>
      </c>
      <c r="G86" s="1">
        <f t="shared" si="8"/>
        <v>0</v>
      </c>
      <c r="H86" s="1"/>
      <c r="I86" s="1">
        <v>84</v>
      </c>
      <c r="J86" s="1">
        <v>58.256137099999997</v>
      </c>
      <c r="K86" s="1">
        <v>11.58899242</v>
      </c>
      <c r="L86" s="1">
        <v>6.9</v>
      </c>
      <c r="M86" s="1">
        <v>1.8</v>
      </c>
      <c r="N86" s="1">
        <v>6.9</v>
      </c>
      <c r="O86" s="1">
        <v>8.1</v>
      </c>
      <c r="P86" s="1">
        <v>5.6</v>
      </c>
      <c r="Q86" s="1">
        <v>6.6</v>
      </c>
      <c r="R86" s="1">
        <v>2.7</v>
      </c>
      <c r="S86" s="1">
        <v>0</v>
      </c>
      <c r="T86" s="1">
        <v>0</v>
      </c>
      <c r="U86" s="1">
        <v>4.5999999999999996</v>
      </c>
      <c r="V86" s="1">
        <v>5.6</v>
      </c>
      <c r="W86" s="1">
        <v>7.6</v>
      </c>
      <c r="X86" s="1">
        <v>6.6</v>
      </c>
      <c r="Y86" s="1">
        <v>5.6</v>
      </c>
      <c r="Z86" s="1">
        <v>3.4</v>
      </c>
      <c r="AA86" s="1">
        <v>3.9</v>
      </c>
      <c r="AB86" s="1">
        <v>0.2</v>
      </c>
      <c r="AC86" s="1">
        <v>2.5</v>
      </c>
      <c r="AD86" s="1">
        <v>0</v>
      </c>
      <c r="AE86" s="1">
        <v>0</v>
      </c>
      <c r="AF86" s="1">
        <v>9</v>
      </c>
      <c r="AG86" s="1">
        <v>3.9</v>
      </c>
      <c r="AH86" s="1">
        <v>14.7</v>
      </c>
      <c r="AI86" s="1">
        <v>3.1</v>
      </c>
      <c r="AJ86" s="1">
        <v>11.3</v>
      </c>
      <c r="AK86" s="1">
        <v>5.2</v>
      </c>
      <c r="AL86" s="1">
        <v>5</v>
      </c>
      <c r="AM86" s="1">
        <v>0.1</v>
      </c>
      <c r="AN86" s="1">
        <v>3.4</v>
      </c>
      <c r="AO86" s="1">
        <v>4.2</v>
      </c>
      <c r="AP86" s="1">
        <v>4.9000000000000004</v>
      </c>
      <c r="AQ86" s="1">
        <v>8.125</v>
      </c>
      <c r="AR86" s="1">
        <v>3.9</v>
      </c>
      <c r="AS86" s="1">
        <v>5.5714285714285703</v>
      </c>
      <c r="AT86" s="1" t="s">
        <v>612</v>
      </c>
      <c r="AU86" s="1" t="s">
        <v>98</v>
      </c>
      <c r="AV86" s="1" t="s">
        <v>105</v>
      </c>
      <c r="AW86" s="1"/>
      <c r="AX86" s="1" t="s">
        <v>137</v>
      </c>
      <c r="AY86" s="1" t="s">
        <v>100</v>
      </c>
      <c r="AZ86" s="1">
        <v>10</v>
      </c>
      <c r="BA86" s="1"/>
      <c r="BB86" s="1">
        <v>0</v>
      </c>
      <c r="BC86" s="1"/>
      <c r="BD86" s="1"/>
      <c r="BE86" s="1"/>
      <c r="BF86" s="1"/>
      <c r="BG86" s="1"/>
      <c r="BH86" s="1"/>
      <c r="BS86" t="s">
        <v>1400</v>
      </c>
      <c r="BT86" t="s">
        <v>1401</v>
      </c>
      <c r="BU86" t="s">
        <v>1402</v>
      </c>
      <c r="BW86">
        <v>11.65</v>
      </c>
      <c r="BX86">
        <v>9.125</v>
      </c>
      <c r="BY86">
        <v>7.7</v>
      </c>
      <c r="CF86" t="s">
        <v>1431</v>
      </c>
    </row>
    <row r="87" spans="1:111" x14ac:dyDescent="0.2">
      <c r="A87" s="3">
        <v>1</v>
      </c>
      <c r="B87" s="3" t="s">
        <v>614</v>
      </c>
      <c r="C87" s="3" t="s">
        <v>615</v>
      </c>
      <c r="D87" s="1"/>
      <c r="E87" s="1">
        <f t="shared" si="6"/>
        <v>5.1428571428571397</v>
      </c>
      <c r="F87" s="1">
        <f t="shared" si="7"/>
        <v>5.1428571428571397</v>
      </c>
      <c r="G87" s="1">
        <f t="shared" si="8"/>
        <v>0</v>
      </c>
      <c r="H87" s="1"/>
      <c r="I87" s="1">
        <v>85</v>
      </c>
      <c r="J87" s="1">
        <v>73.193093169999997</v>
      </c>
      <c r="K87" s="1">
        <v>18.492048560000001</v>
      </c>
      <c r="L87" s="1">
        <v>8.6999999999999993</v>
      </c>
      <c r="M87" s="1">
        <v>3.2</v>
      </c>
      <c r="N87" s="1">
        <v>8.6999999999999993</v>
      </c>
      <c r="O87" s="1">
        <v>6.8</v>
      </c>
      <c r="P87" s="1">
        <v>9.1</v>
      </c>
      <c r="Q87" s="1">
        <v>2.2999999999999998</v>
      </c>
      <c r="R87" s="1">
        <v>7.7</v>
      </c>
      <c r="S87" s="1">
        <v>31</v>
      </c>
      <c r="T87" s="1">
        <v>10</v>
      </c>
      <c r="U87" s="1">
        <v>7.2</v>
      </c>
      <c r="V87" s="1">
        <v>3.7</v>
      </c>
      <c r="W87" s="1">
        <v>3.2</v>
      </c>
      <c r="X87" s="1">
        <v>3.5</v>
      </c>
      <c r="Y87" s="1">
        <v>5.3</v>
      </c>
      <c r="Z87" s="1">
        <v>3.3</v>
      </c>
      <c r="AA87" s="1">
        <v>2.2999999999999998</v>
      </c>
      <c r="AB87" s="1">
        <v>0</v>
      </c>
      <c r="AC87" s="1">
        <v>1.9</v>
      </c>
      <c r="AD87" s="1">
        <v>1</v>
      </c>
      <c r="AE87" s="1">
        <v>0.5</v>
      </c>
      <c r="AF87" s="1">
        <v>4</v>
      </c>
      <c r="AG87" s="1">
        <v>1.1000000000000001</v>
      </c>
      <c r="AH87" s="1">
        <v>19.2</v>
      </c>
      <c r="AI87" s="1">
        <v>6.1</v>
      </c>
      <c r="AJ87" s="1">
        <v>12.7</v>
      </c>
      <c r="AK87" s="1">
        <v>5.9</v>
      </c>
      <c r="AL87" s="1">
        <v>4</v>
      </c>
      <c r="AM87" s="1">
        <v>0.1</v>
      </c>
      <c r="AN87" s="1">
        <v>4</v>
      </c>
      <c r="AO87" s="1">
        <v>4.9000000000000004</v>
      </c>
      <c r="AP87" s="1">
        <v>5.0999999999999996</v>
      </c>
      <c r="AQ87" s="1">
        <v>8.9583333333333304</v>
      </c>
      <c r="AR87" s="1">
        <v>3.6</v>
      </c>
      <c r="AS87" s="1">
        <v>5.1428571428571397</v>
      </c>
      <c r="AT87" s="1" t="s">
        <v>104</v>
      </c>
      <c r="AU87" s="1" t="s">
        <v>98</v>
      </c>
      <c r="AV87" s="1" t="s">
        <v>105</v>
      </c>
      <c r="AW87" s="1"/>
      <c r="AX87" s="1" t="s">
        <v>137</v>
      </c>
      <c r="AY87" s="1" t="s">
        <v>100</v>
      </c>
      <c r="AZ87" s="1">
        <v>10</v>
      </c>
      <c r="BA87" s="1"/>
      <c r="BB87" s="1">
        <v>0</v>
      </c>
      <c r="BC87" s="1"/>
      <c r="BD87" s="1"/>
      <c r="BE87" s="1"/>
      <c r="BF87" s="1"/>
      <c r="BG87" s="1"/>
      <c r="BH87" s="1"/>
      <c r="BS87" t="s">
        <v>1400</v>
      </c>
      <c r="BT87" t="s">
        <v>1401</v>
      </c>
      <c r="BU87" t="s">
        <v>1402</v>
      </c>
      <c r="BW87">
        <v>18.3</v>
      </c>
      <c r="BX87">
        <v>18.600000000000001</v>
      </c>
      <c r="BY87">
        <v>19.074999999999999</v>
      </c>
      <c r="CF87" t="s">
        <v>1431</v>
      </c>
      <c r="CL87">
        <v>10</v>
      </c>
    </row>
    <row r="88" spans="1:111" x14ac:dyDescent="0.2">
      <c r="A88" s="3">
        <v>1</v>
      </c>
      <c r="B88" s="3" t="s">
        <v>619</v>
      </c>
      <c r="C88" s="3" t="s">
        <v>620</v>
      </c>
      <c r="D88" s="1"/>
      <c r="E88" s="1">
        <f t="shared" si="6"/>
        <v>0.57142857142857095</v>
      </c>
      <c r="F88" s="1">
        <f t="shared" si="7"/>
        <v>0.57142857142857095</v>
      </c>
      <c r="G88" s="1">
        <f t="shared" si="8"/>
        <v>0</v>
      </c>
      <c r="H88" s="1"/>
      <c r="I88" s="1">
        <v>86</v>
      </c>
      <c r="J88" s="1"/>
      <c r="K88" s="1"/>
      <c r="L88" s="1"/>
      <c r="M88" s="1"/>
      <c r="N88" s="1"/>
      <c r="O88" s="1">
        <v>8.5</v>
      </c>
      <c r="P88" s="1">
        <v>9.1999999999999993</v>
      </c>
      <c r="Q88" s="1"/>
      <c r="R88" s="1">
        <v>1.1000000000000001</v>
      </c>
      <c r="S88" s="1">
        <v>0</v>
      </c>
      <c r="T88" s="1">
        <v>0</v>
      </c>
      <c r="U88" s="1">
        <v>4.7</v>
      </c>
      <c r="V88" s="1">
        <v>6.9</v>
      </c>
      <c r="W88" s="1">
        <v>10</v>
      </c>
      <c r="X88" s="1">
        <v>8.5</v>
      </c>
      <c r="Y88" s="1">
        <v>6.6</v>
      </c>
      <c r="Z88" s="1">
        <v>0</v>
      </c>
      <c r="AA88" s="1"/>
      <c r="AB88" s="1">
        <v>0.1</v>
      </c>
      <c r="AC88" s="1">
        <v>0</v>
      </c>
      <c r="AD88" s="1">
        <v>0</v>
      </c>
      <c r="AE88" s="1">
        <v>0</v>
      </c>
      <c r="AF88" s="1">
        <v>28</v>
      </c>
      <c r="AG88" s="1">
        <v>10</v>
      </c>
      <c r="AH88" s="1">
        <v>8.4</v>
      </c>
      <c r="AI88" s="1">
        <v>0</v>
      </c>
      <c r="AJ88" s="1">
        <v>5.6</v>
      </c>
      <c r="AK88" s="1">
        <v>2</v>
      </c>
      <c r="AL88" s="1">
        <v>3</v>
      </c>
      <c r="AM88" s="1">
        <v>0.3</v>
      </c>
      <c r="AN88" s="1">
        <v>1.3</v>
      </c>
      <c r="AO88" s="1">
        <v>0.7</v>
      </c>
      <c r="AP88" s="1">
        <v>3.6</v>
      </c>
      <c r="AQ88" s="1">
        <v>2.7083333333333299</v>
      </c>
      <c r="AR88" s="1">
        <v>0.4</v>
      </c>
      <c r="AS88" s="1">
        <v>0.57142857142857095</v>
      </c>
      <c r="AT88" s="1" t="s">
        <v>323</v>
      </c>
      <c r="AU88" s="1" t="s">
        <v>98</v>
      </c>
      <c r="AV88" s="1" t="s">
        <v>405</v>
      </c>
      <c r="AW88" s="1" t="s">
        <v>96</v>
      </c>
      <c r="AX88" s="1" t="s">
        <v>137</v>
      </c>
      <c r="AY88" s="1" t="s">
        <v>100</v>
      </c>
      <c r="AZ88" s="1">
        <v>10</v>
      </c>
      <c r="BA88" s="1">
        <v>0</v>
      </c>
      <c r="BB88" s="1">
        <v>0</v>
      </c>
      <c r="BC88" s="1"/>
      <c r="BD88" s="1"/>
      <c r="BE88" s="1"/>
      <c r="BF88" s="1"/>
      <c r="BG88" s="1"/>
      <c r="BH88" s="1"/>
      <c r="BS88" t="s">
        <v>1400</v>
      </c>
      <c r="BT88" t="s">
        <v>1401</v>
      </c>
      <c r="BU88" t="s">
        <v>1402</v>
      </c>
      <c r="BW88">
        <v>2.8250000000000002</v>
      </c>
      <c r="BX88">
        <v>2.4420000000000002</v>
      </c>
      <c r="BY88">
        <v>2.3580000000000001</v>
      </c>
      <c r="BZ88">
        <v>3.3050000000000002</v>
      </c>
      <c r="CA88">
        <v>2.7749999999999999</v>
      </c>
      <c r="CB88">
        <v>2.375</v>
      </c>
      <c r="CC88">
        <v>2.3330000000000002</v>
      </c>
      <c r="CD88">
        <v>2.3330000000000002</v>
      </c>
      <c r="CE88">
        <v>2.3330000000000002</v>
      </c>
      <c r="CF88" t="s">
        <v>1490</v>
      </c>
      <c r="CG88">
        <v>-0.53</v>
      </c>
      <c r="CH88">
        <v>0.94699999999999995</v>
      </c>
      <c r="CI88">
        <v>0</v>
      </c>
      <c r="CJ88">
        <v>3.1566666666666698</v>
      </c>
      <c r="CK88">
        <v>3.1566666666666698</v>
      </c>
    </row>
    <row r="89" spans="1:111" x14ac:dyDescent="0.2">
      <c r="A89" s="3">
        <v>1</v>
      </c>
      <c r="B89" s="3" t="s">
        <v>623</v>
      </c>
      <c r="C89" s="3" t="s">
        <v>624</v>
      </c>
      <c r="D89" s="1"/>
      <c r="E89" s="1">
        <f t="shared" si="6"/>
        <v>3.3166247903553985</v>
      </c>
      <c r="F89" s="1">
        <f t="shared" si="7"/>
        <v>1.5714285714285701</v>
      </c>
      <c r="G89" s="1">
        <f t="shared" si="8"/>
        <v>7</v>
      </c>
      <c r="H89" s="1"/>
      <c r="I89" s="1">
        <v>87</v>
      </c>
      <c r="J89" s="1">
        <v>50.214540120000002</v>
      </c>
      <c r="K89" s="1">
        <v>37.667424279999999</v>
      </c>
      <c r="L89" s="1">
        <v>5.9</v>
      </c>
      <c r="M89" s="1">
        <v>7.1</v>
      </c>
      <c r="N89" s="1">
        <v>5.9</v>
      </c>
      <c r="O89" s="1">
        <v>2.8</v>
      </c>
      <c r="P89" s="1">
        <v>5.7</v>
      </c>
      <c r="Q89" s="1"/>
      <c r="R89" s="1">
        <v>3.7</v>
      </c>
      <c r="S89" s="1">
        <v>0</v>
      </c>
      <c r="T89" s="1">
        <v>0</v>
      </c>
      <c r="U89" s="1">
        <v>3.1</v>
      </c>
      <c r="V89" s="1">
        <v>2.6</v>
      </c>
      <c r="W89" s="1">
        <v>0.5</v>
      </c>
      <c r="X89" s="1">
        <v>1.6</v>
      </c>
      <c r="Y89" s="1">
        <v>2.2999999999999998</v>
      </c>
      <c r="Z89" s="1">
        <v>2</v>
      </c>
      <c r="AA89" s="1">
        <v>0.8</v>
      </c>
      <c r="AB89" s="1">
        <v>0</v>
      </c>
      <c r="AC89" s="1">
        <v>0.9</v>
      </c>
      <c r="AD89" s="1">
        <v>0</v>
      </c>
      <c r="AE89" s="1">
        <v>0</v>
      </c>
      <c r="AF89" s="1">
        <v>7</v>
      </c>
      <c r="AG89" s="1">
        <v>2.8</v>
      </c>
      <c r="AH89" s="1">
        <v>26.8</v>
      </c>
      <c r="AI89" s="1">
        <v>10</v>
      </c>
      <c r="AJ89" s="1">
        <v>6.1</v>
      </c>
      <c r="AK89" s="1">
        <v>2.2999999999999998</v>
      </c>
      <c r="AL89" s="1">
        <v>6</v>
      </c>
      <c r="AM89" s="1">
        <v>1.2</v>
      </c>
      <c r="AN89" s="1">
        <v>4.9000000000000004</v>
      </c>
      <c r="AO89" s="1">
        <v>3.9</v>
      </c>
      <c r="AP89" s="1">
        <v>3.1</v>
      </c>
      <c r="AQ89" s="1">
        <v>0.625</v>
      </c>
      <c r="AR89" s="1">
        <v>1.1000000000000001</v>
      </c>
      <c r="AS89" s="1">
        <v>1.5714285714285701</v>
      </c>
      <c r="AT89" s="1" t="s">
        <v>491</v>
      </c>
      <c r="AU89" s="1" t="s">
        <v>98</v>
      </c>
      <c r="AV89" s="1" t="s">
        <v>463</v>
      </c>
      <c r="AW89" s="1" t="s">
        <v>100</v>
      </c>
      <c r="AX89" s="1" t="s">
        <v>102</v>
      </c>
      <c r="AY89" s="1" t="s">
        <v>98</v>
      </c>
      <c r="AZ89" s="1">
        <v>10</v>
      </c>
      <c r="BA89" s="1">
        <v>7</v>
      </c>
      <c r="BB89" s="1">
        <v>7</v>
      </c>
      <c r="BC89" s="1" t="s">
        <v>1491</v>
      </c>
      <c r="BD89" s="1" t="s">
        <v>1404</v>
      </c>
      <c r="BE89" s="1"/>
      <c r="BF89" s="1">
        <v>2.2174340762259499E-2</v>
      </c>
      <c r="BG89" s="1">
        <v>1.9627473898701901E-2</v>
      </c>
      <c r="BH89" s="1">
        <v>2.21608372899618E-2</v>
      </c>
      <c r="BI89">
        <v>2.0969790702802301E-2</v>
      </c>
      <c r="BJ89">
        <v>1.91257797421889E-2</v>
      </c>
      <c r="BK89" t="s">
        <v>1405</v>
      </c>
      <c r="BL89" t="s">
        <v>1411</v>
      </c>
      <c r="BM89">
        <v>18776.706999999999</v>
      </c>
      <c r="BN89">
        <v>-1.1910465871594999E-3</v>
      </c>
      <c r="BO89">
        <v>2.5333633912599002E-3</v>
      </c>
      <c r="BP89">
        <v>0</v>
      </c>
      <c r="BQ89">
        <v>8.4445446375322995E-3</v>
      </c>
      <c r="BR89">
        <v>8.4445446375322995E-3</v>
      </c>
      <c r="BS89" t="s">
        <v>1400</v>
      </c>
      <c r="BT89" t="s">
        <v>1401</v>
      </c>
      <c r="BU89" t="s">
        <v>1402</v>
      </c>
      <c r="BW89">
        <v>4.9000000000000004</v>
      </c>
      <c r="BX89">
        <v>4.8540000000000001</v>
      </c>
      <c r="BY89">
        <v>4.7789999999999999</v>
      </c>
      <c r="BZ89">
        <v>7.7789999999999999</v>
      </c>
      <c r="CA89">
        <v>5.7789999999999999</v>
      </c>
      <c r="CB89">
        <v>4.7789999999999999</v>
      </c>
      <c r="CC89">
        <v>4.7789999999999999</v>
      </c>
      <c r="CD89">
        <v>4.7789999999999999</v>
      </c>
      <c r="CE89">
        <v>4.7789999999999999</v>
      </c>
      <c r="CF89" t="s">
        <v>1146</v>
      </c>
      <c r="CG89">
        <v>-2</v>
      </c>
      <c r="CH89">
        <v>3</v>
      </c>
      <c r="CI89">
        <v>0</v>
      </c>
      <c r="CJ89">
        <v>10</v>
      </c>
      <c r="CK89">
        <v>10</v>
      </c>
      <c r="CL89">
        <v>0</v>
      </c>
    </row>
    <row r="90" spans="1:111" x14ac:dyDescent="0.2">
      <c r="A90" s="3">
        <v>1</v>
      </c>
      <c r="B90" s="3" t="s">
        <v>626</v>
      </c>
      <c r="C90" s="3" t="s">
        <v>627</v>
      </c>
      <c r="D90" s="1"/>
      <c r="E90" s="1">
        <f t="shared" si="6"/>
        <v>8.8640526042791841</v>
      </c>
      <c r="F90" s="1">
        <f t="shared" si="7"/>
        <v>7.8571428571428603</v>
      </c>
      <c r="G90" s="1">
        <f t="shared" si="8"/>
        <v>10</v>
      </c>
      <c r="H90" s="1"/>
      <c r="I90" s="1">
        <v>88</v>
      </c>
      <c r="J90" s="1">
        <v>27.40089335</v>
      </c>
      <c r="K90" s="1">
        <v>5.9271041369999997</v>
      </c>
      <c r="L90" s="1">
        <v>3.1</v>
      </c>
      <c r="M90" s="1">
        <v>0.6</v>
      </c>
      <c r="N90" s="1">
        <v>3.1</v>
      </c>
      <c r="O90" s="1">
        <v>6.5</v>
      </c>
      <c r="P90" s="1">
        <v>2.7</v>
      </c>
      <c r="Q90" s="1">
        <v>5.2</v>
      </c>
      <c r="R90" s="1">
        <v>4.0999999999999996</v>
      </c>
      <c r="S90" s="1">
        <v>1.3</v>
      </c>
      <c r="T90" s="1">
        <v>1.3</v>
      </c>
      <c r="U90" s="1">
        <v>4</v>
      </c>
      <c r="V90" s="1">
        <v>1.6</v>
      </c>
      <c r="W90" s="1">
        <v>1</v>
      </c>
      <c r="X90" s="1">
        <v>1.3</v>
      </c>
      <c r="Y90" s="1">
        <v>2.6</v>
      </c>
      <c r="Z90" s="1">
        <v>6.2</v>
      </c>
      <c r="AA90" s="1">
        <v>8.1999999999999993</v>
      </c>
      <c r="AB90" s="1">
        <v>3.7</v>
      </c>
      <c r="AC90" s="1">
        <v>6</v>
      </c>
      <c r="AD90" s="1">
        <v>4.9000000000000004</v>
      </c>
      <c r="AE90" s="1">
        <v>2.5</v>
      </c>
      <c r="AF90" s="1">
        <v>2</v>
      </c>
      <c r="AG90" s="1">
        <v>0</v>
      </c>
      <c r="AH90" s="1">
        <v>13.4</v>
      </c>
      <c r="AI90" s="1">
        <v>2.2999999999999998</v>
      </c>
      <c r="AJ90" s="1">
        <v>3.1</v>
      </c>
      <c r="AK90" s="1">
        <v>0.6</v>
      </c>
      <c r="AL90" s="1">
        <v>5</v>
      </c>
      <c r="AM90" s="1">
        <v>5.8</v>
      </c>
      <c r="AN90" s="1">
        <v>3.4</v>
      </c>
      <c r="AO90" s="1">
        <v>4.2</v>
      </c>
      <c r="AP90" s="1">
        <v>3.4</v>
      </c>
      <c r="AQ90" s="1">
        <v>1.875</v>
      </c>
      <c r="AR90" s="1">
        <v>5.5</v>
      </c>
      <c r="AS90" s="1">
        <v>7.8571428571428603</v>
      </c>
      <c r="AT90" s="1" t="s">
        <v>168</v>
      </c>
      <c r="AU90" s="1" t="s">
        <v>96</v>
      </c>
      <c r="AV90" s="1" t="s">
        <v>105</v>
      </c>
      <c r="AW90" s="1"/>
      <c r="AX90" s="1" t="s">
        <v>102</v>
      </c>
      <c r="AY90" s="1" t="s">
        <v>98</v>
      </c>
      <c r="AZ90" s="1">
        <v>0</v>
      </c>
      <c r="BA90" s="1"/>
      <c r="BB90" s="1">
        <v>7</v>
      </c>
      <c r="BC90" s="1" t="s">
        <v>1492</v>
      </c>
      <c r="BD90" s="1" t="s">
        <v>1404</v>
      </c>
      <c r="BE90" s="1">
        <v>35.444706828388497</v>
      </c>
      <c r="BF90" s="1">
        <v>34.548321392261897</v>
      </c>
      <c r="BG90" s="1">
        <v>33.996739061767002</v>
      </c>
      <c r="BH90" s="1">
        <v>33.813515826431903</v>
      </c>
      <c r="BI90">
        <v>33.2392871125246</v>
      </c>
      <c r="BJ90">
        <v>32.415692264918398</v>
      </c>
      <c r="BK90" t="s">
        <v>1405</v>
      </c>
      <c r="BL90" t="s">
        <v>1406</v>
      </c>
      <c r="BM90">
        <v>53771.3</v>
      </c>
      <c r="BN90">
        <v>-0.57422871390730301</v>
      </c>
      <c r="BO90">
        <v>-0.18322323533509899</v>
      </c>
      <c r="BP90">
        <v>0</v>
      </c>
      <c r="BQ90">
        <v>0</v>
      </c>
      <c r="BR90">
        <v>0</v>
      </c>
      <c r="BS90" t="s">
        <v>1400</v>
      </c>
      <c r="BT90" t="s">
        <v>1401</v>
      </c>
      <c r="BU90" t="s">
        <v>1402</v>
      </c>
      <c r="CF90" t="s">
        <v>103</v>
      </c>
      <c r="CL90">
        <v>0</v>
      </c>
      <c r="CO90">
        <v>72.304985046386705</v>
      </c>
      <c r="CV90">
        <v>28.864202499389599</v>
      </c>
      <c r="CX90">
        <v>8.4428577423095703</v>
      </c>
      <c r="CZ90">
        <v>63.582218170166001</v>
      </c>
      <c r="DB90">
        <v>10</v>
      </c>
      <c r="DC90">
        <v>10</v>
      </c>
      <c r="DF90">
        <v>10</v>
      </c>
      <c r="DG90">
        <v>10</v>
      </c>
    </row>
    <row r="91" spans="1:111" x14ac:dyDescent="0.2">
      <c r="A91" s="3">
        <v>1</v>
      </c>
      <c r="B91" s="3" t="s">
        <v>631</v>
      </c>
      <c r="C91" s="3" t="s">
        <v>632</v>
      </c>
      <c r="D91" s="1"/>
      <c r="E91" s="1">
        <f t="shared" si="6"/>
        <v>5.744562646538026</v>
      </c>
      <c r="F91" s="1">
        <f t="shared" si="7"/>
        <v>4.71428571428571</v>
      </c>
      <c r="G91" s="1">
        <f t="shared" si="8"/>
        <v>7</v>
      </c>
      <c r="H91" s="1"/>
      <c r="I91" s="1">
        <v>89</v>
      </c>
      <c r="J91" s="1"/>
      <c r="K91" s="1"/>
      <c r="L91" s="1"/>
      <c r="M91" s="1"/>
      <c r="N91" s="1"/>
      <c r="O91" s="1">
        <v>5.0999999999999996</v>
      </c>
      <c r="P91" s="1">
        <v>3.6</v>
      </c>
      <c r="Q91" s="1">
        <v>1.1000000000000001</v>
      </c>
      <c r="R91" s="1">
        <v>5.5</v>
      </c>
      <c r="S91" s="1">
        <v>0</v>
      </c>
      <c r="T91" s="1">
        <v>0</v>
      </c>
      <c r="U91" s="1">
        <v>3.1</v>
      </c>
      <c r="V91" s="1">
        <v>2.2999999999999998</v>
      </c>
      <c r="W91" s="1">
        <v>1.9</v>
      </c>
      <c r="X91" s="1">
        <v>2.1</v>
      </c>
      <c r="Y91" s="1">
        <v>2.6</v>
      </c>
      <c r="Z91" s="1">
        <v>4.5999999999999996</v>
      </c>
      <c r="AA91" s="1">
        <v>3.3</v>
      </c>
      <c r="AB91" s="1">
        <v>0.2</v>
      </c>
      <c r="AC91" s="1">
        <v>2.7</v>
      </c>
      <c r="AD91" s="1">
        <v>0</v>
      </c>
      <c r="AE91" s="1">
        <v>0</v>
      </c>
      <c r="AF91" s="1">
        <v>4</v>
      </c>
      <c r="AG91" s="1">
        <v>1.1000000000000001</v>
      </c>
      <c r="AH91" s="1">
        <v>24.9</v>
      </c>
      <c r="AI91" s="1">
        <v>9.9</v>
      </c>
      <c r="AJ91" s="1">
        <v>6.1</v>
      </c>
      <c r="AK91" s="1">
        <v>2.2999999999999998</v>
      </c>
      <c r="AL91" s="1">
        <v>5</v>
      </c>
      <c r="AM91" s="1">
        <v>2.6</v>
      </c>
      <c r="AN91" s="1">
        <v>5</v>
      </c>
      <c r="AO91" s="1">
        <v>3.8</v>
      </c>
      <c r="AP91" s="1">
        <v>3.2</v>
      </c>
      <c r="AQ91" s="1">
        <v>1.0416666666666701</v>
      </c>
      <c r="AR91" s="1">
        <v>3.3</v>
      </c>
      <c r="AS91" s="1">
        <v>4.71428571428571</v>
      </c>
      <c r="AT91" s="1" t="s">
        <v>635</v>
      </c>
      <c r="AU91" s="1" t="s">
        <v>98</v>
      </c>
      <c r="AV91" s="1" t="s">
        <v>636</v>
      </c>
      <c r="AW91" s="1" t="s">
        <v>100</v>
      </c>
      <c r="AX91" s="1" t="s">
        <v>102</v>
      </c>
      <c r="AY91" s="1" t="s">
        <v>98</v>
      </c>
      <c r="AZ91" s="1">
        <v>10</v>
      </c>
      <c r="BA91" s="1">
        <v>7</v>
      </c>
      <c r="BB91" s="1">
        <v>7</v>
      </c>
      <c r="BC91" s="1" t="s">
        <v>1493</v>
      </c>
      <c r="BD91" s="1" t="s">
        <v>1404</v>
      </c>
      <c r="BE91" s="1"/>
      <c r="BF91" s="1"/>
      <c r="BG91" s="1">
        <v>0.83303837280756798</v>
      </c>
      <c r="BH91" s="1">
        <v>1.7194865725712301</v>
      </c>
      <c r="BI91">
        <v>1.06030669403686</v>
      </c>
      <c r="BJ91">
        <v>0.64836186183759403</v>
      </c>
      <c r="BK91" t="s">
        <v>1405</v>
      </c>
      <c r="BL91" t="s">
        <v>1411</v>
      </c>
      <c r="BM91">
        <v>6524.1909999999998</v>
      </c>
      <c r="BN91">
        <v>-0.65917987853436999</v>
      </c>
      <c r="BO91">
        <v>0.88644819976366196</v>
      </c>
      <c r="BP91">
        <v>0</v>
      </c>
      <c r="BQ91">
        <v>2.9548273325455399</v>
      </c>
      <c r="BR91">
        <v>2.9548273325455399</v>
      </c>
      <c r="BS91" t="s">
        <v>1400</v>
      </c>
      <c r="BT91" t="s">
        <v>1401</v>
      </c>
      <c r="BU91" t="s">
        <v>1402</v>
      </c>
      <c r="BW91">
        <v>6.891</v>
      </c>
      <c r="BX91">
        <v>6.6050000000000004</v>
      </c>
      <c r="BY91">
        <v>6.6050000000000004</v>
      </c>
      <c r="BZ91">
        <v>6.6050000000000004</v>
      </c>
      <c r="CA91">
        <v>6.6050000000000004</v>
      </c>
      <c r="CB91">
        <v>6.6050000000000004</v>
      </c>
      <c r="CC91">
        <v>6.6050000000000004</v>
      </c>
      <c r="CD91">
        <v>6.6050000000000004</v>
      </c>
      <c r="CE91">
        <v>6.6050000000000004</v>
      </c>
      <c r="CF91" t="s">
        <v>103</v>
      </c>
      <c r="CG91">
        <v>0</v>
      </c>
      <c r="CH91">
        <v>0</v>
      </c>
      <c r="CI91">
        <v>0</v>
      </c>
      <c r="CJ91">
        <v>0</v>
      </c>
      <c r="CK91">
        <v>0</v>
      </c>
    </row>
    <row r="92" spans="1:111" x14ac:dyDescent="0.2">
      <c r="A92" s="3">
        <v>1</v>
      </c>
      <c r="B92" s="3" t="s">
        <v>637</v>
      </c>
      <c r="C92" s="3" t="s">
        <v>638</v>
      </c>
      <c r="D92" s="1"/>
      <c r="E92" s="1">
        <f t="shared" si="6"/>
        <v>8.2857142857142794</v>
      </c>
      <c r="F92" s="1">
        <f t="shared" si="7"/>
        <v>8.2857142857142794</v>
      </c>
      <c r="G92" s="1">
        <f t="shared" si="8"/>
        <v>0</v>
      </c>
      <c r="H92" s="1"/>
      <c r="I92" s="1">
        <v>90</v>
      </c>
      <c r="J92" s="1">
        <v>3.0859705289999999</v>
      </c>
      <c r="K92" s="1">
        <v>12.538814500000001</v>
      </c>
      <c r="L92" s="1">
        <v>0.2</v>
      </c>
      <c r="M92" s="1">
        <v>2</v>
      </c>
      <c r="N92" s="1">
        <v>0.2</v>
      </c>
      <c r="O92" s="1">
        <v>6.5</v>
      </c>
      <c r="P92" s="1">
        <v>2.2999999999999998</v>
      </c>
      <c r="Q92" s="1">
        <v>5.3</v>
      </c>
      <c r="R92" s="1">
        <v>6.5</v>
      </c>
      <c r="S92" s="1">
        <v>0</v>
      </c>
      <c r="T92" s="1">
        <v>0</v>
      </c>
      <c r="U92" s="1">
        <v>4.0999999999999996</v>
      </c>
      <c r="V92" s="1">
        <v>2.9</v>
      </c>
      <c r="W92" s="1">
        <v>1.8</v>
      </c>
      <c r="X92" s="1">
        <v>2.4</v>
      </c>
      <c r="Y92" s="1">
        <v>3.2</v>
      </c>
      <c r="Z92" s="1">
        <v>6.4</v>
      </c>
      <c r="AA92" s="1">
        <v>8.1</v>
      </c>
      <c r="AB92" s="1"/>
      <c r="AC92" s="1">
        <v>7.3</v>
      </c>
      <c r="AD92" s="1">
        <v>0</v>
      </c>
      <c r="AE92" s="1">
        <v>0</v>
      </c>
      <c r="AF92" s="1">
        <v>5</v>
      </c>
      <c r="AG92" s="1">
        <v>1.7</v>
      </c>
      <c r="AH92" s="1">
        <v>21.1</v>
      </c>
      <c r="AI92" s="1">
        <v>7.4</v>
      </c>
      <c r="AJ92" s="1">
        <v>6.4</v>
      </c>
      <c r="AK92" s="1">
        <v>2.4</v>
      </c>
      <c r="AL92" s="1">
        <v>4</v>
      </c>
      <c r="AM92" s="1">
        <v>5.9</v>
      </c>
      <c r="AN92" s="1">
        <v>4.9000000000000004</v>
      </c>
      <c r="AO92" s="1">
        <v>4.0999999999999996</v>
      </c>
      <c r="AP92" s="1">
        <v>3.7</v>
      </c>
      <c r="AQ92" s="1">
        <v>3.125</v>
      </c>
      <c r="AR92" s="1">
        <v>5.8</v>
      </c>
      <c r="AS92" s="1">
        <v>8.2857142857142794</v>
      </c>
      <c r="AT92" s="1" t="s">
        <v>347</v>
      </c>
      <c r="AU92" s="1" t="s">
        <v>98</v>
      </c>
      <c r="AV92" s="1" t="s">
        <v>105</v>
      </c>
      <c r="AW92" s="1"/>
      <c r="AX92" s="1" t="s">
        <v>102</v>
      </c>
      <c r="AY92" s="1" t="s">
        <v>98</v>
      </c>
      <c r="AZ92" s="1">
        <v>10</v>
      </c>
      <c r="BA92" s="1"/>
      <c r="BB92" s="1">
        <v>7</v>
      </c>
      <c r="BC92" s="1"/>
      <c r="BD92" s="1"/>
      <c r="BE92" s="1"/>
      <c r="BF92" s="1"/>
      <c r="BG92" s="1"/>
      <c r="BH92" s="1"/>
      <c r="BS92" t="s">
        <v>1400</v>
      </c>
      <c r="BT92" t="s">
        <v>1401</v>
      </c>
      <c r="BU92" t="s">
        <v>1402</v>
      </c>
      <c r="CF92" t="s">
        <v>103</v>
      </c>
      <c r="CM92">
        <v>70.311119079589801</v>
      </c>
      <c r="CO92">
        <v>100</v>
      </c>
      <c r="CQ92">
        <v>2.9844329357147199</v>
      </c>
      <c r="CS92">
        <v>2.4202127456664999</v>
      </c>
      <c r="CT92">
        <v>47.177639007568402</v>
      </c>
      <c r="CU92">
        <v>62.577682495117202</v>
      </c>
      <c r="DB92">
        <v>0</v>
      </c>
      <c r="DF92">
        <v>0</v>
      </c>
      <c r="DG92">
        <v>0</v>
      </c>
    </row>
    <row r="93" spans="1:111" x14ac:dyDescent="0.2">
      <c r="A93" s="3">
        <v>1</v>
      </c>
      <c r="B93" s="3" t="s">
        <v>640</v>
      </c>
      <c r="C93" s="3" t="s">
        <v>641</v>
      </c>
      <c r="D93" s="1"/>
      <c r="E93" s="1">
        <f t="shared" si="6"/>
        <v>8.4285714285714306</v>
      </c>
      <c r="F93" s="1">
        <f t="shared" si="7"/>
        <v>8.4285714285714306</v>
      </c>
      <c r="G93" s="1">
        <f t="shared" si="8"/>
        <v>0</v>
      </c>
      <c r="H93" s="1"/>
      <c r="I93" s="1">
        <v>91</v>
      </c>
      <c r="J93" s="1">
        <v>4.5714586669999999</v>
      </c>
      <c r="K93" s="1">
        <v>5.6175633620000003</v>
      </c>
      <c r="L93" s="1">
        <v>0.3</v>
      </c>
      <c r="M93" s="1">
        <v>0.5</v>
      </c>
      <c r="N93" s="1">
        <v>0.3</v>
      </c>
      <c r="O93" s="1">
        <v>7.2</v>
      </c>
      <c r="P93" s="1">
        <v>5.4</v>
      </c>
      <c r="Q93" s="1"/>
      <c r="R93" s="1"/>
      <c r="S93" s="1">
        <v>0</v>
      </c>
      <c r="T93" s="1">
        <v>0</v>
      </c>
      <c r="U93" s="1">
        <v>4.2</v>
      </c>
      <c r="V93" s="1">
        <v>7.2</v>
      </c>
      <c r="W93" s="1">
        <v>9.3000000000000007</v>
      </c>
      <c r="X93" s="1">
        <v>8.3000000000000007</v>
      </c>
      <c r="Y93" s="1">
        <v>6.2</v>
      </c>
      <c r="Z93" s="1">
        <v>5.8</v>
      </c>
      <c r="AA93" s="1"/>
      <c r="AB93" s="1">
        <v>1.3</v>
      </c>
      <c r="AC93" s="1">
        <v>3.5</v>
      </c>
      <c r="AD93" s="1">
        <v>0</v>
      </c>
      <c r="AE93" s="1">
        <v>0</v>
      </c>
      <c r="AF93" s="1">
        <v>4</v>
      </c>
      <c r="AG93" s="1">
        <v>1.1000000000000001</v>
      </c>
      <c r="AH93" s="1">
        <v>28.4</v>
      </c>
      <c r="AI93" s="1">
        <v>10</v>
      </c>
      <c r="AJ93" s="1">
        <v>22.5</v>
      </c>
      <c r="AK93" s="1">
        <v>10</v>
      </c>
      <c r="AL93" s="1">
        <v>5</v>
      </c>
      <c r="AM93" s="1">
        <v>7.5</v>
      </c>
      <c r="AN93" s="1">
        <v>8.1</v>
      </c>
      <c r="AO93" s="1">
        <v>4</v>
      </c>
      <c r="AP93" s="1">
        <v>5.0999999999999996</v>
      </c>
      <c r="AQ93" s="1">
        <v>8.9583333333333304</v>
      </c>
      <c r="AR93" s="1">
        <v>5.9</v>
      </c>
      <c r="AS93" s="1">
        <v>8.4285714285714306</v>
      </c>
      <c r="AT93" s="1" t="s">
        <v>642</v>
      </c>
      <c r="AU93" s="1" t="s">
        <v>98</v>
      </c>
      <c r="AV93" s="1" t="s">
        <v>105</v>
      </c>
      <c r="AW93" s="1"/>
      <c r="AX93" s="1" t="s">
        <v>105</v>
      </c>
      <c r="AY93" s="1"/>
      <c r="AZ93" s="1">
        <v>10</v>
      </c>
      <c r="BA93" s="1"/>
      <c r="BB93" s="1"/>
      <c r="BC93" s="1"/>
      <c r="BD93" s="1"/>
      <c r="BE93" s="1"/>
      <c r="BF93" s="1"/>
      <c r="BG93" s="1"/>
      <c r="BH93" s="1"/>
      <c r="BS93" t="s">
        <v>1400</v>
      </c>
      <c r="BT93" t="s">
        <v>1401</v>
      </c>
      <c r="BU93" t="s">
        <v>1402</v>
      </c>
      <c r="CF93" t="s">
        <v>103</v>
      </c>
    </row>
    <row r="94" spans="1:111" x14ac:dyDescent="0.2">
      <c r="A94" s="3">
        <v>1</v>
      </c>
      <c r="B94" s="3" t="s">
        <v>644</v>
      </c>
      <c r="C94" s="3" t="s">
        <v>645</v>
      </c>
      <c r="D94" s="1"/>
      <c r="E94" s="1">
        <f t="shared" si="6"/>
        <v>2.5714285714285698</v>
      </c>
      <c r="F94" s="1">
        <f t="shared" si="7"/>
        <v>2.5714285714285698</v>
      </c>
      <c r="G94" s="1">
        <f t="shared" si="8"/>
        <v>0</v>
      </c>
      <c r="H94" s="1"/>
      <c r="I94" s="1">
        <v>92</v>
      </c>
      <c r="J94" s="1"/>
      <c r="K94" s="1"/>
      <c r="L94" s="1"/>
      <c r="M94" s="1"/>
      <c r="N94" s="1"/>
      <c r="O94" s="1">
        <v>7.7</v>
      </c>
      <c r="P94" s="1">
        <v>3.1</v>
      </c>
      <c r="Q94" s="1"/>
      <c r="R94" s="1"/>
      <c r="S94" s="1">
        <v>0</v>
      </c>
      <c r="T94" s="1">
        <v>0</v>
      </c>
      <c r="U94" s="1">
        <v>3.6</v>
      </c>
      <c r="V94" s="1">
        <v>4.8</v>
      </c>
      <c r="W94" s="1">
        <v>10</v>
      </c>
      <c r="X94" s="1">
        <v>7.4</v>
      </c>
      <c r="Y94" s="1">
        <v>5.5</v>
      </c>
      <c r="Z94" s="1">
        <v>2.4</v>
      </c>
      <c r="AA94" s="1"/>
      <c r="AB94" s="1"/>
      <c r="AC94" s="1">
        <v>2.4</v>
      </c>
      <c r="AD94" s="1">
        <v>0</v>
      </c>
      <c r="AE94" s="1">
        <v>0</v>
      </c>
      <c r="AF94" s="1"/>
      <c r="AG94" s="1"/>
      <c r="AH94" s="1"/>
      <c r="AI94" s="1"/>
      <c r="AJ94" s="1">
        <v>13.3</v>
      </c>
      <c r="AK94" s="1">
        <v>6.3</v>
      </c>
      <c r="AL94" s="1">
        <v>4</v>
      </c>
      <c r="AM94" s="1">
        <v>0</v>
      </c>
      <c r="AN94" s="1">
        <v>3.4</v>
      </c>
      <c r="AO94" s="1">
        <v>2.9</v>
      </c>
      <c r="AP94" s="1">
        <v>4.2</v>
      </c>
      <c r="AQ94" s="1">
        <v>5.2083333333333304</v>
      </c>
      <c r="AR94" s="1">
        <v>1.8</v>
      </c>
      <c r="AS94" s="1">
        <v>2.5714285714285698</v>
      </c>
      <c r="AT94" s="1" t="s">
        <v>647</v>
      </c>
      <c r="AU94" s="1" t="s">
        <v>98</v>
      </c>
      <c r="AV94" s="1" t="s">
        <v>105</v>
      </c>
      <c r="AW94" s="1"/>
      <c r="AX94" s="1" t="s">
        <v>105</v>
      </c>
      <c r="AY94" s="1"/>
      <c r="AZ94" s="1">
        <v>10</v>
      </c>
      <c r="BA94" s="1"/>
      <c r="BB94" s="1"/>
      <c r="BC94" s="1"/>
      <c r="BD94" s="1"/>
      <c r="BE94" s="1"/>
      <c r="BF94" s="1"/>
      <c r="BG94" s="1"/>
      <c r="BH94" s="1"/>
      <c r="BS94" t="s">
        <v>1400</v>
      </c>
      <c r="BT94" t="s">
        <v>1401</v>
      </c>
      <c r="BU94" t="s">
        <v>1402</v>
      </c>
      <c r="CF94" t="s">
        <v>103</v>
      </c>
    </row>
    <row r="95" spans="1:111" x14ac:dyDescent="0.2">
      <c r="A95" s="3">
        <v>1</v>
      </c>
      <c r="B95" s="3" t="s">
        <v>648</v>
      </c>
      <c r="C95" s="3" t="s">
        <v>649</v>
      </c>
      <c r="D95" s="1"/>
      <c r="E95" s="1">
        <f t="shared" si="6"/>
        <v>0.57142857142857095</v>
      </c>
      <c r="F95" s="1">
        <f t="shared" si="7"/>
        <v>0.57142857142857095</v>
      </c>
      <c r="G95" s="1">
        <f t="shared" si="8"/>
        <v>0</v>
      </c>
      <c r="H95" s="1"/>
      <c r="I95" s="1">
        <v>93</v>
      </c>
      <c r="J95" s="1"/>
      <c r="K95" s="1"/>
      <c r="L95" s="1"/>
      <c r="M95" s="1"/>
      <c r="N95" s="1"/>
      <c r="O95" s="1">
        <v>9.1</v>
      </c>
      <c r="P95" s="1">
        <v>8.1</v>
      </c>
      <c r="Q95" s="1"/>
      <c r="R95" s="1"/>
      <c r="S95" s="1">
        <v>0</v>
      </c>
      <c r="T95" s="1">
        <v>0</v>
      </c>
      <c r="U95" s="1">
        <v>5.7</v>
      </c>
      <c r="V95" s="1">
        <v>5.9</v>
      </c>
      <c r="W95" s="1">
        <v>10</v>
      </c>
      <c r="X95" s="1">
        <v>8</v>
      </c>
      <c r="Y95" s="1">
        <v>6.8</v>
      </c>
      <c r="Z95" s="1">
        <v>0</v>
      </c>
      <c r="AA95" s="1"/>
      <c r="AB95" s="1">
        <v>0</v>
      </c>
      <c r="AC95" s="1">
        <v>0</v>
      </c>
      <c r="AD95" s="1">
        <v>0</v>
      </c>
      <c r="AE95" s="1">
        <v>0</v>
      </c>
      <c r="AF95" s="1">
        <v>14</v>
      </c>
      <c r="AG95" s="1">
        <v>6.7</v>
      </c>
      <c r="AH95" s="1">
        <v>25.6</v>
      </c>
      <c r="AI95" s="1">
        <v>10</v>
      </c>
      <c r="AJ95" s="1">
        <v>6.9</v>
      </c>
      <c r="AK95" s="1">
        <v>2.7</v>
      </c>
      <c r="AL95" s="1">
        <v>3</v>
      </c>
      <c r="AM95" s="1">
        <v>1.3</v>
      </c>
      <c r="AN95" s="1">
        <v>4.3</v>
      </c>
      <c r="AO95" s="1">
        <v>2.1</v>
      </c>
      <c r="AP95" s="1">
        <v>4.5</v>
      </c>
      <c r="AQ95" s="1">
        <v>6.4583333333333304</v>
      </c>
      <c r="AR95" s="1">
        <v>0.4</v>
      </c>
      <c r="AS95" s="1">
        <v>0.57142857142857095</v>
      </c>
      <c r="AT95" s="1" t="s">
        <v>650</v>
      </c>
      <c r="AU95" s="1" t="s">
        <v>98</v>
      </c>
      <c r="AV95" s="1" t="s">
        <v>651</v>
      </c>
      <c r="AW95" s="1" t="s">
        <v>96</v>
      </c>
      <c r="AX95" s="1" t="s">
        <v>137</v>
      </c>
      <c r="AY95" s="1" t="s">
        <v>100</v>
      </c>
      <c r="AZ95" s="1">
        <v>10</v>
      </c>
      <c r="BA95" s="1">
        <v>0</v>
      </c>
      <c r="BB95" s="1">
        <v>0</v>
      </c>
      <c r="BC95" s="1"/>
      <c r="BD95" s="1"/>
      <c r="BE95" s="1"/>
      <c r="BF95" s="1"/>
      <c r="BG95" s="1"/>
      <c r="BH95" s="1"/>
      <c r="BS95" t="s">
        <v>1400</v>
      </c>
      <c r="BT95" t="s">
        <v>1401</v>
      </c>
      <c r="BU95" t="s">
        <v>1402</v>
      </c>
      <c r="BW95">
        <v>3.6829999999999998</v>
      </c>
      <c r="BX95">
        <v>3.8330000000000002</v>
      </c>
      <c r="BY95">
        <v>3.7829999999999999</v>
      </c>
      <c r="BZ95">
        <v>4.0750000000000002</v>
      </c>
      <c r="CA95">
        <v>4.0750000000000002</v>
      </c>
      <c r="CB95">
        <v>4.0750000000000002</v>
      </c>
      <c r="CC95">
        <v>4</v>
      </c>
      <c r="CD95">
        <v>3.9</v>
      </c>
      <c r="CE95">
        <v>3.8</v>
      </c>
      <c r="CF95" t="s">
        <v>1494</v>
      </c>
      <c r="CG95">
        <v>0</v>
      </c>
      <c r="CH95">
        <v>0.29199999999999998</v>
      </c>
      <c r="CI95">
        <v>0</v>
      </c>
      <c r="CJ95">
        <v>0.97333333333333405</v>
      </c>
      <c r="CK95">
        <v>0.97333333333333405</v>
      </c>
    </row>
    <row r="96" spans="1:111" x14ac:dyDescent="0.2">
      <c r="A96" s="3">
        <v>1</v>
      </c>
      <c r="B96" s="3" t="s">
        <v>653</v>
      </c>
      <c r="C96" s="3" t="s">
        <v>654</v>
      </c>
      <c r="D96" s="1"/>
      <c r="E96" s="1">
        <f t="shared" si="6"/>
        <v>2.4285714285714302</v>
      </c>
      <c r="F96" s="1">
        <f t="shared" si="7"/>
        <v>2.4285714285714302</v>
      </c>
      <c r="G96" s="1">
        <f t="shared" si="8"/>
        <v>0</v>
      </c>
      <c r="H96" s="1"/>
      <c r="I96" s="1">
        <v>94</v>
      </c>
      <c r="J96" s="1"/>
      <c r="K96" s="1"/>
      <c r="L96" s="1"/>
      <c r="M96" s="1"/>
      <c r="N96" s="1"/>
      <c r="O96" s="1">
        <v>7.9</v>
      </c>
      <c r="P96" s="1">
        <v>10</v>
      </c>
      <c r="Q96" s="1"/>
      <c r="R96" s="1"/>
      <c r="S96" s="1">
        <v>0</v>
      </c>
      <c r="T96" s="1">
        <v>0</v>
      </c>
      <c r="U96" s="1">
        <v>6</v>
      </c>
      <c r="V96" s="1">
        <v>4.9000000000000004</v>
      </c>
      <c r="W96" s="1">
        <v>5.2</v>
      </c>
      <c r="X96" s="1">
        <v>5.0999999999999996</v>
      </c>
      <c r="Y96" s="1">
        <v>5.5</v>
      </c>
      <c r="Z96" s="1">
        <v>1.9</v>
      </c>
      <c r="AA96" s="1"/>
      <c r="AB96" s="1"/>
      <c r="AC96" s="1">
        <v>1.9</v>
      </c>
      <c r="AD96" s="1">
        <v>0</v>
      </c>
      <c r="AE96" s="1">
        <v>0</v>
      </c>
      <c r="AF96" s="1">
        <v>3</v>
      </c>
      <c r="AG96" s="1">
        <v>0.6</v>
      </c>
      <c r="AH96" s="1">
        <v>17.399999999999999</v>
      </c>
      <c r="AI96" s="1">
        <v>4.9000000000000004</v>
      </c>
      <c r="AJ96" s="1">
        <v>12.2</v>
      </c>
      <c r="AK96" s="1">
        <v>5.7</v>
      </c>
      <c r="AL96" s="1">
        <v>4</v>
      </c>
      <c r="AM96" s="1">
        <v>0.5</v>
      </c>
      <c r="AN96" s="1">
        <v>3.8</v>
      </c>
      <c r="AO96" s="1">
        <v>2.8</v>
      </c>
      <c r="AP96" s="1">
        <v>4.2</v>
      </c>
      <c r="AQ96" s="1">
        <v>5.2083333333333304</v>
      </c>
      <c r="AR96" s="1">
        <v>1.7</v>
      </c>
      <c r="AS96" s="1">
        <v>2.4285714285714302</v>
      </c>
      <c r="AT96" s="1" t="s">
        <v>657</v>
      </c>
      <c r="AU96" s="1" t="s">
        <v>98</v>
      </c>
      <c r="AV96" s="1" t="s">
        <v>105</v>
      </c>
      <c r="AW96" s="1"/>
      <c r="AX96" s="1" t="s">
        <v>137</v>
      </c>
      <c r="AY96" s="1" t="s">
        <v>100</v>
      </c>
      <c r="AZ96" s="1">
        <v>10</v>
      </c>
      <c r="BA96" s="1"/>
      <c r="BB96" s="1">
        <v>0</v>
      </c>
      <c r="BC96" s="1"/>
      <c r="BD96" s="1"/>
      <c r="BE96" s="1"/>
      <c r="BF96" s="1"/>
      <c r="BG96" s="1"/>
      <c r="BH96" s="1"/>
      <c r="BS96" t="s">
        <v>1400</v>
      </c>
      <c r="BT96" t="s">
        <v>1401</v>
      </c>
      <c r="BU96" t="s">
        <v>1402</v>
      </c>
      <c r="BW96">
        <v>1.28</v>
      </c>
      <c r="BX96">
        <v>1.087</v>
      </c>
      <c r="CF96" t="s">
        <v>1431</v>
      </c>
    </row>
    <row r="97" spans="1:111" x14ac:dyDescent="0.2">
      <c r="A97" s="3">
        <v>1</v>
      </c>
      <c r="B97" s="3" t="s">
        <v>658</v>
      </c>
      <c r="C97" s="3" t="s">
        <v>659</v>
      </c>
      <c r="D97" s="1"/>
      <c r="E97" s="1">
        <f t="shared" si="6"/>
        <v>7.1576933051666893</v>
      </c>
      <c r="F97" s="1">
        <f t="shared" si="7"/>
        <v>7.1428571428571397</v>
      </c>
      <c r="G97" s="1">
        <f t="shared" si="8"/>
        <v>7.1725602831159296</v>
      </c>
      <c r="H97" s="1"/>
      <c r="I97" s="1">
        <v>95</v>
      </c>
      <c r="J97" s="1">
        <v>1.6525262979999999</v>
      </c>
      <c r="K97" s="1">
        <v>29.840609629999999</v>
      </c>
      <c r="L97" s="1">
        <v>0</v>
      </c>
      <c r="M97" s="1">
        <v>5.5</v>
      </c>
      <c r="N97" s="1">
        <v>0</v>
      </c>
      <c r="O97" s="1">
        <v>5</v>
      </c>
      <c r="P97" s="1">
        <v>3.5</v>
      </c>
      <c r="Q97" s="1">
        <v>2.2999999999999998</v>
      </c>
      <c r="R97" s="1"/>
      <c r="S97" s="1">
        <v>0</v>
      </c>
      <c r="T97" s="1">
        <v>0</v>
      </c>
      <c r="U97" s="1">
        <v>2.7</v>
      </c>
      <c r="V97" s="1">
        <v>5.2</v>
      </c>
      <c r="W97" s="1">
        <v>1</v>
      </c>
      <c r="X97" s="1">
        <v>3.1</v>
      </c>
      <c r="Y97" s="1">
        <v>2.9</v>
      </c>
      <c r="Z97" s="1">
        <v>6</v>
      </c>
      <c r="AA97" s="1">
        <v>8.4</v>
      </c>
      <c r="AB97" s="1">
        <v>2.2999999999999998</v>
      </c>
      <c r="AC97" s="1">
        <v>5.6</v>
      </c>
      <c r="AD97" s="1">
        <v>0</v>
      </c>
      <c r="AE97" s="1">
        <v>0</v>
      </c>
      <c r="AF97" s="1">
        <v>4</v>
      </c>
      <c r="AG97" s="1">
        <v>1.1000000000000001</v>
      </c>
      <c r="AH97" s="1">
        <v>27</v>
      </c>
      <c r="AI97" s="1">
        <v>10</v>
      </c>
      <c r="AJ97" s="1">
        <v>6.4</v>
      </c>
      <c r="AK97" s="1">
        <v>2.4</v>
      </c>
      <c r="AL97" s="1">
        <v>5</v>
      </c>
      <c r="AM97" s="1">
        <v>3.1</v>
      </c>
      <c r="AN97" s="1">
        <v>5.0999999999999996</v>
      </c>
      <c r="AO97" s="1">
        <v>3.6</v>
      </c>
      <c r="AP97" s="1">
        <v>3.2</v>
      </c>
      <c r="AQ97" s="1">
        <v>1.0416666666666701</v>
      </c>
      <c r="AR97" s="1">
        <v>5</v>
      </c>
      <c r="AS97" s="1">
        <v>7.1428571428571397</v>
      </c>
      <c r="AT97" s="1" t="s">
        <v>464</v>
      </c>
      <c r="AU97" s="1" t="s">
        <v>100</v>
      </c>
      <c r="AV97" s="1" t="s">
        <v>105</v>
      </c>
      <c r="AW97" s="1"/>
      <c r="AX97" s="1" t="s">
        <v>183</v>
      </c>
      <c r="AY97" s="1" t="s">
        <v>96</v>
      </c>
      <c r="AZ97" s="1">
        <v>7</v>
      </c>
      <c r="BA97" s="1"/>
      <c r="BB97" s="1">
        <v>3</v>
      </c>
      <c r="BC97" s="1" t="s">
        <v>1495</v>
      </c>
      <c r="BD97" s="1" t="s">
        <v>1404</v>
      </c>
      <c r="BE97" s="1"/>
      <c r="BF97" s="1">
        <v>9.9830000000000005</v>
      </c>
      <c r="BG97" s="1">
        <v>9.6510167786795797</v>
      </c>
      <c r="BH97" s="1">
        <v>9.8550482672065307</v>
      </c>
      <c r="BI97">
        <v>9.4866273014830504</v>
      </c>
      <c r="BJ97">
        <v>9.1434379590221297</v>
      </c>
      <c r="BK97" t="s">
        <v>1405</v>
      </c>
      <c r="BL97" t="s">
        <v>1439</v>
      </c>
      <c r="BM97">
        <v>7275.5559999999996</v>
      </c>
      <c r="BN97">
        <v>-0.36842096572347999</v>
      </c>
      <c r="BO97">
        <v>0.20403148852695099</v>
      </c>
      <c r="BP97">
        <v>0</v>
      </c>
      <c r="BQ97">
        <v>0.68010496175650403</v>
      </c>
      <c r="BR97">
        <v>0.68010496175650403</v>
      </c>
      <c r="BS97" t="s">
        <v>1400</v>
      </c>
      <c r="BT97" t="s">
        <v>1401</v>
      </c>
      <c r="BU97" t="s">
        <v>1402</v>
      </c>
      <c r="CF97" t="s">
        <v>103</v>
      </c>
      <c r="CM97">
        <v>69.942543029785199</v>
      </c>
      <c r="CN97">
        <v>12.7764568328857</v>
      </c>
      <c r="CP97">
        <v>53.912216186523402</v>
      </c>
      <c r="CQ97">
        <v>7.3691463470459002</v>
      </c>
      <c r="CS97">
        <v>8.2016735076904297</v>
      </c>
      <c r="CT97">
        <v>31.1832466125488</v>
      </c>
      <c r="CU97">
        <v>47.734550476074197</v>
      </c>
      <c r="CV97">
        <v>18.715732574462901</v>
      </c>
      <c r="CX97">
        <v>1.2682688236236599</v>
      </c>
      <c r="DA97">
        <v>2.5552913665771499</v>
      </c>
      <c r="DC97">
        <v>7.48629302978516</v>
      </c>
      <c r="DF97">
        <v>5.0207921981811499</v>
      </c>
      <c r="DG97">
        <v>7.1725602831159296</v>
      </c>
    </row>
    <row r="98" spans="1:111" x14ac:dyDescent="0.2">
      <c r="A98" s="3">
        <v>1</v>
      </c>
      <c r="B98" s="3" t="s">
        <v>661</v>
      </c>
      <c r="C98" s="3" t="s">
        <v>662</v>
      </c>
      <c r="D98" s="1"/>
      <c r="E98" s="1">
        <f t="shared" si="6"/>
        <v>5.5714285714285703</v>
      </c>
      <c r="F98" s="1">
        <f t="shared" si="7"/>
        <v>5.5714285714285703</v>
      </c>
      <c r="G98" s="1">
        <f t="shared" si="8"/>
        <v>0</v>
      </c>
      <c r="H98" s="1"/>
      <c r="I98" s="1">
        <v>96</v>
      </c>
      <c r="J98" s="1">
        <v>54.560764419999998</v>
      </c>
      <c r="K98" s="1"/>
      <c r="L98" s="1">
        <v>6.4</v>
      </c>
      <c r="M98" s="1"/>
      <c r="N98" s="1">
        <v>6.4</v>
      </c>
      <c r="O98" s="1">
        <v>9.4</v>
      </c>
      <c r="P98" s="1">
        <v>8.9</v>
      </c>
      <c r="Q98" s="1">
        <v>5.9</v>
      </c>
      <c r="R98" s="1"/>
      <c r="S98" s="1">
        <v>21.8</v>
      </c>
      <c r="T98" s="1">
        <v>10</v>
      </c>
      <c r="U98" s="1">
        <v>8.6</v>
      </c>
      <c r="V98" s="1">
        <v>5.3</v>
      </c>
      <c r="W98" s="1">
        <v>10</v>
      </c>
      <c r="X98" s="1">
        <v>7.7</v>
      </c>
      <c r="Y98" s="1">
        <v>8.1</v>
      </c>
      <c r="Z98" s="1">
        <v>2.9</v>
      </c>
      <c r="AA98" s="1"/>
      <c r="AB98" s="1">
        <v>0</v>
      </c>
      <c r="AC98" s="1">
        <v>1.5</v>
      </c>
      <c r="AD98" s="1">
        <v>7.3</v>
      </c>
      <c r="AE98" s="1">
        <v>3.6</v>
      </c>
      <c r="AF98" s="1">
        <v>7</v>
      </c>
      <c r="AG98" s="1">
        <v>2.8</v>
      </c>
      <c r="AH98" s="1">
        <v>17.899999999999999</v>
      </c>
      <c r="AI98" s="1">
        <v>5.3</v>
      </c>
      <c r="AJ98" s="1">
        <v>11.2</v>
      </c>
      <c r="AK98" s="1">
        <v>5.0999999999999996</v>
      </c>
      <c r="AL98" s="1">
        <v>4</v>
      </c>
      <c r="AM98" s="1">
        <v>0.2</v>
      </c>
      <c r="AN98" s="1">
        <v>3.7</v>
      </c>
      <c r="AO98" s="1">
        <v>3.8</v>
      </c>
      <c r="AP98" s="1">
        <v>6</v>
      </c>
      <c r="AQ98" s="1">
        <v>10</v>
      </c>
      <c r="AR98" s="1">
        <v>3.9</v>
      </c>
      <c r="AS98" s="1">
        <v>5.5714285714285703</v>
      </c>
      <c r="AT98" s="1" t="s">
        <v>664</v>
      </c>
      <c r="AU98" s="1" t="s">
        <v>98</v>
      </c>
      <c r="AV98" s="1" t="s">
        <v>105</v>
      </c>
      <c r="AW98" s="1"/>
      <c r="AX98" s="1" t="s">
        <v>102</v>
      </c>
      <c r="AY98" s="1" t="s">
        <v>98</v>
      </c>
      <c r="AZ98" s="1">
        <v>10</v>
      </c>
      <c r="BA98" s="1"/>
      <c r="BB98" s="1">
        <v>7</v>
      </c>
      <c r="BC98" s="1"/>
      <c r="BD98" s="1"/>
      <c r="BE98" s="1"/>
      <c r="BF98" s="1"/>
      <c r="BG98" s="1"/>
      <c r="BH98" s="1"/>
      <c r="BS98" t="s">
        <v>1400</v>
      </c>
      <c r="BT98" t="s">
        <v>1401</v>
      </c>
      <c r="BU98" t="s">
        <v>1402</v>
      </c>
      <c r="CF98" t="s">
        <v>103</v>
      </c>
    </row>
    <row r="99" spans="1:111" x14ac:dyDescent="0.2">
      <c r="A99" s="3">
        <v>1</v>
      </c>
      <c r="B99" s="3" t="s">
        <v>667</v>
      </c>
      <c r="C99" s="3" t="s">
        <v>668</v>
      </c>
      <c r="D99" s="1"/>
      <c r="E99" s="1">
        <f t="shared" ref="E99:E130" si="9">IFERROR(GEOMEAN(F99, G99), MAX(F99, G99))</f>
        <v>10</v>
      </c>
      <c r="F99" s="1">
        <f t="shared" ref="F99:F130" si="10">MAX(AS99)</f>
        <v>10</v>
      </c>
      <c r="G99" s="1">
        <f t="shared" ref="G99:G130" si="11">MAX(BA99, DG99)</f>
        <v>0</v>
      </c>
      <c r="H99" s="1"/>
      <c r="I99" s="1">
        <v>97</v>
      </c>
      <c r="J99" s="1">
        <v>14.437064550000001</v>
      </c>
      <c r="K99" s="1">
        <v>3.4367327460000001</v>
      </c>
      <c r="L99" s="1">
        <v>1.5</v>
      </c>
      <c r="M99" s="1">
        <v>0.1</v>
      </c>
      <c r="N99" s="1">
        <v>1.5</v>
      </c>
      <c r="O99" s="1">
        <v>5.7</v>
      </c>
      <c r="P99" s="1">
        <v>5.0999999999999996</v>
      </c>
      <c r="Q99" s="1">
        <v>7.8</v>
      </c>
      <c r="R99" s="1">
        <v>7.4</v>
      </c>
      <c r="S99" s="1">
        <v>0.2</v>
      </c>
      <c r="T99" s="1">
        <v>0.2</v>
      </c>
      <c r="U99" s="1">
        <v>5.2</v>
      </c>
      <c r="V99" s="1">
        <v>4.8</v>
      </c>
      <c r="W99" s="1">
        <v>0.8</v>
      </c>
      <c r="X99" s="1">
        <v>2.8</v>
      </c>
      <c r="Y99" s="1">
        <v>4</v>
      </c>
      <c r="Z99" s="1">
        <v>9.3000000000000007</v>
      </c>
      <c r="AA99" s="1">
        <v>9.5</v>
      </c>
      <c r="AB99" s="1">
        <v>4.0999999999999996</v>
      </c>
      <c r="AC99" s="1">
        <v>7.6</v>
      </c>
      <c r="AD99" s="1">
        <v>0.8</v>
      </c>
      <c r="AE99" s="1">
        <v>0.4</v>
      </c>
      <c r="AF99" s="1">
        <v>3</v>
      </c>
      <c r="AG99" s="1">
        <v>0.6</v>
      </c>
      <c r="AH99" s="1">
        <v>17.600000000000001</v>
      </c>
      <c r="AI99" s="1">
        <v>5.0999999999999996</v>
      </c>
      <c r="AJ99" s="1">
        <v>2.4</v>
      </c>
      <c r="AK99" s="1">
        <v>0.2</v>
      </c>
      <c r="AL99" s="1">
        <v>7</v>
      </c>
      <c r="AM99" s="1">
        <v>5.6</v>
      </c>
      <c r="AN99" s="1">
        <v>4.5</v>
      </c>
      <c r="AO99" s="1">
        <v>4.5</v>
      </c>
      <c r="AP99" s="1">
        <v>4.3</v>
      </c>
      <c r="AQ99" s="1">
        <v>5.625</v>
      </c>
      <c r="AR99" s="1">
        <v>7.3</v>
      </c>
      <c r="AS99" s="1">
        <v>10</v>
      </c>
      <c r="AT99" s="1" t="s">
        <v>258</v>
      </c>
      <c r="AU99" s="1" t="s">
        <v>98</v>
      </c>
      <c r="AV99" s="1" t="s">
        <v>105</v>
      </c>
      <c r="AW99" s="1"/>
      <c r="AX99" s="1" t="s">
        <v>102</v>
      </c>
      <c r="AY99" s="1" t="s">
        <v>98</v>
      </c>
      <c r="AZ99" s="1">
        <v>10</v>
      </c>
      <c r="BA99" s="1"/>
      <c r="BB99" s="1">
        <v>7</v>
      </c>
      <c r="BC99" s="1" t="s">
        <v>1496</v>
      </c>
      <c r="BD99" s="1" t="s">
        <v>1404</v>
      </c>
      <c r="BE99" s="1">
        <v>46.475901451687903</v>
      </c>
      <c r="BF99" s="1">
        <v>45.668984147520298</v>
      </c>
      <c r="BG99" s="1">
        <v>49.4175491094094</v>
      </c>
      <c r="BH99" s="1">
        <v>52.190151030162603</v>
      </c>
      <c r="BI99">
        <v>52.719748101111698</v>
      </c>
      <c r="BJ99">
        <v>49.424722994348002</v>
      </c>
      <c r="BK99" t="s">
        <v>1405</v>
      </c>
      <c r="BL99" t="s">
        <v>1406</v>
      </c>
      <c r="BM99">
        <v>5057.6769999999997</v>
      </c>
      <c r="BN99">
        <v>0.52959707094909403</v>
      </c>
      <c r="BO99">
        <v>2.7726019207531998</v>
      </c>
      <c r="BP99">
        <v>5.2959707094909403</v>
      </c>
      <c r="BQ99">
        <v>9.2420064025106807</v>
      </c>
      <c r="BR99">
        <v>9.2420064025106807</v>
      </c>
      <c r="BS99" t="s">
        <v>1400</v>
      </c>
      <c r="BT99" t="s">
        <v>1401</v>
      </c>
      <c r="BU99" t="s">
        <v>1402</v>
      </c>
      <c r="CF99" t="s">
        <v>103</v>
      </c>
    </row>
    <row r="100" spans="1:111" x14ac:dyDescent="0.2">
      <c r="A100" s="3">
        <v>1</v>
      </c>
      <c r="B100" s="3" t="s">
        <v>672</v>
      </c>
      <c r="C100" s="3" t="s">
        <v>673</v>
      </c>
      <c r="D100" s="1"/>
      <c r="E100" s="1">
        <f t="shared" si="9"/>
        <v>3.8571428571428599</v>
      </c>
      <c r="F100" s="1">
        <f t="shared" si="10"/>
        <v>3.8571428571428599</v>
      </c>
      <c r="G100" s="1">
        <f t="shared" si="11"/>
        <v>0</v>
      </c>
      <c r="H100" s="1"/>
      <c r="I100" s="1">
        <v>98</v>
      </c>
      <c r="J100" s="1"/>
      <c r="K100" s="1"/>
      <c r="L100" s="1"/>
      <c r="M100" s="1"/>
      <c r="N100" s="1"/>
      <c r="O100" s="1">
        <v>1.9</v>
      </c>
      <c r="P100" s="1">
        <v>8</v>
      </c>
      <c r="Q100" s="1"/>
      <c r="R100" s="1"/>
      <c r="S100" s="1">
        <v>4.8</v>
      </c>
      <c r="T100" s="1">
        <v>4.8</v>
      </c>
      <c r="U100" s="1">
        <v>4.9000000000000004</v>
      </c>
      <c r="V100" s="1">
        <v>6.8</v>
      </c>
      <c r="W100" s="1">
        <v>0.3</v>
      </c>
      <c r="X100" s="1">
        <v>3.6</v>
      </c>
      <c r="Y100" s="1">
        <v>4.2</v>
      </c>
      <c r="Z100" s="1">
        <v>3.9</v>
      </c>
      <c r="AA100" s="1">
        <v>2.6</v>
      </c>
      <c r="AB100" s="1"/>
      <c r="AC100" s="1">
        <v>3.3</v>
      </c>
      <c r="AD100" s="1">
        <v>4.4000000000000004</v>
      </c>
      <c r="AE100" s="1">
        <v>2.2000000000000002</v>
      </c>
      <c r="AF100" s="1">
        <v>4</v>
      </c>
      <c r="AG100" s="1">
        <v>1.1000000000000001</v>
      </c>
      <c r="AH100" s="1">
        <v>20.100000000000001</v>
      </c>
      <c r="AI100" s="1">
        <v>6.7</v>
      </c>
      <c r="AJ100" s="1">
        <v>10.199999999999999</v>
      </c>
      <c r="AK100" s="1">
        <v>4.5999999999999996</v>
      </c>
      <c r="AL100" s="1">
        <v>5</v>
      </c>
      <c r="AM100" s="1">
        <v>0.7</v>
      </c>
      <c r="AN100" s="1">
        <v>4.3</v>
      </c>
      <c r="AO100" s="1">
        <v>3.8</v>
      </c>
      <c r="AP100" s="1">
        <v>4</v>
      </c>
      <c r="AQ100" s="1">
        <v>4.375</v>
      </c>
      <c r="AR100" s="1">
        <v>2.7</v>
      </c>
      <c r="AS100" s="1">
        <v>3.8571428571428599</v>
      </c>
      <c r="AT100" s="1" t="s">
        <v>675</v>
      </c>
      <c r="AU100" s="1" t="s">
        <v>98</v>
      </c>
      <c r="AV100" s="1" t="s">
        <v>105</v>
      </c>
      <c r="AW100" s="1"/>
      <c r="AX100" s="1" t="s">
        <v>102</v>
      </c>
      <c r="AY100" s="1" t="s">
        <v>98</v>
      </c>
      <c r="AZ100" s="1">
        <v>10</v>
      </c>
      <c r="BA100" s="1"/>
      <c r="BB100" s="1">
        <v>7</v>
      </c>
      <c r="BC100" s="1"/>
      <c r="BD100" s="1"/>
      <c r="BE100" s="1"/>
      <c r="BF100" s="1"/>
      <c r="BG100" s="1"/>
      <c r="BH100" s="1"/>
      <c r="BS100" t="s">
        <v>1400</v>
      </c>
      <c r="BT100" t="s">
        <v>1401</v>
      </c>
      <c r="BU100" t="s">
        <v>1402</v>
      </c>
      <c r="CF100" t="s">
        <v>103</v>
      </c>
    </row>
    <row r="101" spans="1:111" x14ac:dyDescent="0.2">
      <c r="A101" s="3">
        <v>1</v>
      </c>
      <c r="B101" s="3" t="s">
        <v>676</v>
      </c>
      <c r="C101" s="3" t="s">
        <v>677</v>
      </c>
      <c r="D101" s="1"/>
      <c r="E101" s="1">
        <f t="shared" si="9"/>
        <v>6.1927217997240653</v>
      </c>
      <c r="F101" s="1">
        <f t="shared" si="10"/>
        <v>4.4285714285714297</v>
      </c>
      <c r="G101" s="1">
        <f t="shared" si="11"/>
        <v>8.6596330006917306</v>
      </c>
      <c r="H101" s="1"/>
      <c r="I101" s="1">
        <v>99</v>
      </c>
      <c r="J101" s="1"/>
      <c r="K101" s="1"/>
      <c r="L101" s="1"/>
      <c r="M101" s="1"/>
      <c r="N101" s="1"/>
      <c r="O101" s="1">
        <v>8.1999999999999993</v>
      </c>
      <c r="P101" s="1">
        <v>1.9</v>
      </c>
      <c r="Q101" s="1">
        <v>1.3</v>
      </c>
      <c r="R101" s="1"/>
      <c r="S101" s="1">
        <v>0</v>
      </c>
      <c r="T101" s="1">
        <v>0</v>
      </c>
      <c r="U101" s="1">
        <v>2.9</v>
      </c>
      <c r="V101" s="1">
        <v>6.4</v>
      </c>
      <c r="W101" s="1">
        <v>10</v>
      </c>
      <c r="X101" s="1">
        <v>8.1999999999999993</v>
      </c>
      <c r="Y101" s="1">
        <v>5.5</v>
      </c>
      <c r="Z101" s="1">
        <v>3.1</v>
      </c>
      <c r="AA101" s="1">
        <v>1.7</v>
      </c>
      <c r="AB101" s="1"/>
      <c r="AC101" s="1">
        <v>2.4</v>
      </c>
      <c r="AD101" s="1">
        <v>0</v>
      </c>
      <c r="AE101" s="1">
        <v>0</v>
      </c>
      <c r="AF101" s="1"/>
      <c r="AG101" s="1"/>
      <c r="AH101" s="1">
        <v>18.8</v>
      </c>
      <c r="AI101" s="1">
        <v>5.9</v>
      </c>
      <c r="AJ101" s="1">
        <v>11.6</v>
      </c>
      <c r="AK101" s="1">
        <v>5.3</v>
      </c>
      <c r="AL101" s="1">
        <v>4</v>
      </c>
      <c r="AM101" s="1">
        <v>0.1</v>
      </c>
      <c r="AN101" s="1">
        <v>3.8</v>
      </c>
      <c r="AO101" s="1">
        <v>3.1</v>
      </c>
      <c r="AP101" s="1">
        <v>4.3</v>
      </c>
      <c r="AQ101" s="1">
        <v>5.625</v>
      </c>
      <c r="AR101" s="1">
        <v>3.1</v>
      </c>
      <c r="AS101" s="1">
        <v>4.4285714285714297</v>
      </c>
      <c r="AT101" s="1" t="s">
        <v>679</v>
      </c>
      <c r="AU101" s="1" t="s">
        <v>98</v>
      </c>
      <c r="AV101" s="1" t="s">
        <v>105</v>
      </c>
      <c r="AW101" s="1"/>
      <c r="AX101" s="1" t="s">
        <v>105</v>
      </c>
      <c r="AY101" s="1"/>
      <c r="AZ101" s="1">
        <v>10</v>
      </c>
      <c r="BA101" s="1"/>
      <c r="BB101" s="1"/>
      <c r="BC101" s="1" t="s">
        <v>1497</v>
      </c>
      <c r="BD101" s="1" t="s">
        <v>1404</v>
      </c>
      <c r="BE101" s="1">
        <v>4.4799020000000001</v>
      </c>
      <c r="BF101" s="1">
        <v>4.3737240000000002</v>
      </c>
      <c r="BG101" s="1">
        <v>4.3737240000000002</v>
      </c>
      <c r="BH101" s="1">
        <v>5.4331719999999999</v>
      </c>
      <c r="BI101">
        <v>4.7465140000000003</v>
      </c>
      <c r="BJ101">
        <v>4.5802459999999998</v>
      </c>
      <c r="BK101" t="s">
        <v>1405</v>
      </c>
      <c r="BL101" t="s">
        <v>1408</v>
      </c>
      <c r="BM101">
        <v>183.62899999999999</v>
      </c>
      <c r="BN101">
        <v>-0.68665799999999999</v>
      </c>
      <c r="BO101">
        <v>1.0594479999999999</v>
      </c>
      <c r="BP101">
        <v>0</v>
      </c>
      <c r="BQ101">
        <v>3.53149333333333</v>
      </c>
      <c r="BR101">
        <v>3.53149333333333</v>
      </c>
      <c r="BS101" t="s">
        <v>1400</v>
      </c>
      <c r="BT101" t="s">
        <v>1401</v>
      </c>
      <c r="BU101" t="s">
        <v>1402</v>
      </c>
      <c r="CF101" t="s">
        <v>103</v>
      </c>
      <c r="CO101">
        <v>94.550117492675795</v>
      </c>
      <c r="CT101">
        <v>65.188606262207003</v>
      </c>
      <c r="CU101">
        <v>70.865562438964801</v>
      </c>
      <c r="CW101">
        <v>9.5109128952026403</v>
      </c>
      <c r="DB101">
        <v>2.7249412536621098</v>
      </c>
      <c r="DD101">
        <v>9.3985449473063092</v>
      </c>
      <c r="DF101">
        <v>6.0617431004842102</v>
      </c>
      <c r="DG101">
        <v>8.6596330006917306</v>
      </c>
    </row>
    <row r="102" spans="1:111" x14ac:dyDescent="0.2">
      <c r="A102" s="3">
        <v>1</v>
      </c>
      <c r="B102" s="3" t="s">
        <v>680</v>
      </c>
      <c r="C102" s="3" t="s">
        <v>681</v>
      </c>
      <c r="D102" s="1"/>
      <c r="E102" s="1">
        <f t="shared" si="9"/>
        <v>0</v>
      </c>
      <c r="F102" s="1">
        <f t="shared" si="10"/>
        <v>0</v>
      </c>
      <c r="G102" s="1">
        <f t="shared" si="11"/>
        <v>0</v>
      </c>
      <c r="H102" s="1"/>
      <c r="I102" s="1">
        <v>100</v>
      </c>
      <c r="J102" s="1"/>
      <c r="K102" s="1"/>
      <c r="L102" s="1"/>
      <c r="M102" s="1"/>
      <c r="N102" s="1"/>
      <c r="O102" s="1">
        <v>7.9</v>
      </c>
      <c r="P102" s="1">
        <v>1.4</v>
      </c>
      <c r="Q102" s="1"/>
      <c r="R102" s="1">
        <v>0.8</v>
      </c>
      <c r="S102" s="1">
        <v>0.6</v>
      </c>
      <c r="T102" s="1">
        <v>0.6</v>
      </c>
      <c r="U102" s="1">
        <v>2.7</v>
      </c>
      <c r="V102" s="1">
        <v>5.2</v>
      </c>
      <c r="W102" s="1">
        <v>10</v>
      </c>
      <c r="X102" s="1">
        <v>7.6</v>
      </c>
      <c r="Y102" s="1">
        <v>5.0999999999999996</v>
      </c>
      <c r="Z102" s="1">
        <v>0</v>
      </c>
      <c r="AA102" s="1"/>
      <c r="AB102" s="1"/>
      <c r="AC102" s="1">
        <v>0</v>
      </c>
      <c r="AD102" s="1">
        <v>0</v>
      </c>
      <c r="AE102" s="1">
        <v>0</v>
      </c>
      <c r="AF102" s="1"/>
      <c r="AG102" s="1"/>
      <c r="AH102" s="1"/>
      <c r="AI102" s="1"/>
      <c r="AJ102" s="1">
        <v>9.4</v>
      </c>
      <c r="AK102" s="1">
        <v>4.0999999999999996</v>
      </c>
      <c r="AL102" s="1">
        <v>3</v>
      </c>
      <c r="AM102" s="1"/>
      <c r="AN102" s="1">
        <v>3.6</v>
      </c>
      <c r="AO102" s="1">
        <v>1.8</v>
      </c>
      <c r="AP102" s="1">
        <v>3.5</v>
      </c>
      <c r="AQ102" s="1">
        <v>2.2916666666666701</v>
      </c>
      <c r="AR102" s="1">
        <v>0</v>
      </c>
      <c r="AS102" s="1">
        <v>0</v>
      </c>
      <c r="AT102" s="1" t="s">
        <v>105</v>
      </c>
      <c r="AU102" s="1"/>
      <c r="AV102" s="1" t="s">
        <v>105</v>
      </c>
      <c r="AW102" s="1"/>
      <c r="AX102" s="1" t="s">
        <v>105</v>
      </c>
      <c r="AY102" s="1"/>
      <c r="AZ102" s="1"/>
      <c r="BA102" s="1"/>
      <c r="BB102" s="1"/>
      <c r="BC102" s="1"/>
      <c r="BD102" s="1"/>
      <c r="BE102" s="1"/>
      <c r="BF102" s="1"/>
      <c r="BG102" s="1"/>
      <c r="BH102" s="1"/>
    </row>
    <row r="103" spans="1:111" x14ac:dyDescent="0.2">
      <c r="A103" s="3">
        <v>1</v>
      </c>
      <c r="B103" s="3" t="s">
        <v>683</v>
      </c>
      <c r="C103" s="3" t="s">
        <v>684</v>
      </c>
      <c r="D103" s="1"/>
      <c r="E103" s="1">
        <f t="shared" si="9"/>
        <v>5.4772255750516639</v>
      </c>
      <c r="F103" s="1">
        <f t="shared" si="10"/>
        <v>4.28571428571429</v>
      </c>
      <c r="G103" s="1">
        <f t="shared" si="11"/>
        <v>7</v>
      </c>
      <c r="H103" s="1"/>
      <c r="I103" s="1">
        <v>101</v>
      </c>
      <c r="J103" s="1">
        <v>33.130013239999997</v>
      </c>
      <c r="K103" s="1">
        <v>15.464731390000001</v>
      </c>
      <c r="L103" s="1">
        <v>3.8</v>
      </c>
      <c r="M103" s="1">
        <v>2.6</v>
      </c>
      <c r="N103" s="1">
        <v>3.8</v>
      </c>
      <c r="O103" s="1">
        <v>8.5</v>
      </c>
      <c r="P103" s="1">
        <v>1.8</v>
      </c>
      <c r="Q103" s="1"/>
      <c r="R103" s="1"/>
      <c r="S103" s="1">
        <v>0.2</v>
      </c>
      <c r="T103" s="1">
        <v>0.2</v>
      </c>
      <c r="U103" s="1">
        <v>3.5</v>
      </c>
      <c r="V103" s="1">
        <v>4.5999999999999996</v>
      </c>
      <c r="W103" s="1">
        <v>4.0999999999999996</v>
      </c>
      <c r="X103" s="1">
        <v>4.4000000000000004</v>
      </c>
      <c r="Y103" s="1">
        <v>3.9</v>
      </c>
      <c r="Z103" s="1">
        <v>2.6</v>
      </c>
      <c r="AA103" s="1"/>
      <c r="AB103" s="1">
        <v>0.1</v>
      </c>
      <c r="AC103" s="1">
        <v>1.3</v>
      </c>
      <c r="AD103" s="1">
        <v>0</v>
      </c>
      <c r="AE103" s="1">
        <v>0</v>
      </c>
      <c r="AF103" s="1">
        <v>10</v>
      </c>
      <c r="AG103" s="1">
        <v>4.4000000000000004</v>
      </c>
      <c r="AH103" s="1">
        <v>17.399999999999999</v>
      </c>
      <c r="AI103" s="1">
        <v>4.9000000000000004</v>
      </c>
      <c r="AJ103" s="1">
        <v>10.7</v>
      </c>
      <c r="AK103" s="1">
        <v>4.8</v>
      </c>
      <c r="AL103" s="1">
        <v>5</v>
      </c>
      <c r="AM103" s="1">
        <v>1.2</v>
      </c>
      <c r="AN103" s="1">
        <v>4</v>
      </c>
      <c r="AO103" s="1">
        <v>3</v>
      </c>
      <c r="AP103" s="1">
        <v>3.5</v>
      </c>
      <c r="AQ103" s="1">
        <v>2.2916666666666701</v>
      </c>
      <c r="AR103" s="1">
        <v>3</v>
      </c>
      <c r="AS103" s="1">
        <v>4.28571428571429</v>
      </c>
      <c r="AT103" s="1" t="s">
        <v>686</v>
      </c>
      <c r="AU103" s="1" t="s">
        <v>98</v>
      </c>
      <c r="AV103" s="1" t="s">
        <v>475</v>
      </c>
      <c r="AW103" s="1" t="s">
        <v>100</v>
      </c>
      <c r="AX103" s="1" t="s">
        <v>102</v>
      </c>
      <c r="AY103" s="1" t="s">
        <v>98</v>
      </c>
      <c r="AZ103" s="1">
        <v>10</v>
      </c>
      <c r="BA103" s="1">
        <v>7</v>
      </c>
      <c r="BB103" s="1">
        <v>7</v>
      </c>
      <c r="BC103" s="1" t="s">
        <v>1498</v>
      </c>
      <c r="BD103" s="1" t="s">
        <v>1404</v>
      </c>
      <c r="BE103" s="1">
        <v>0.81452304140303899</v>
      </c>
      <c r="BF103" s="1">
        <v>0.709714205001857</v>
      </c>
      <c r="BG103" s="1">
        <v>0.60729209253648297</v>
      </c>
      <c r="BH103" s="1">
        <v>1.8</v>
      </c>
      <c r="BI103">
        <v>1.7</v>
      </c>
      <c r="BJ103">
        <v>1.6</v>
      </c>
      <c r="BK103" t="s">
        <v>1405</v>
      </c>
      <c r="BL103" t="s">
        <v>1420</v>
      </c>
      <c r="BM103">
        <v>21413.25</v>
      </c>
      <c r="BN103">
        <v>-0.1</v>
      </c>
      <c r="BO103">
        <v>1.1927079074635201</v>
      </c>
      <c r="BP103">
        <v>0</v>
      </c>
      <c r="BQ103">
        <v>3.9756930248783902</v>
      </c>
      <c r="BR103">
        <v>3.9756930248783902</v>
      </c>
      <c r="BS103" t="s">
        <v>1400</v>
      </c>
      <c r="BT103" t="s">
        <v>1401</v>
      </c>
      <c r="BU103" t="s">
        <v>1402</v>
      </c>
      <c r="BW103">
        <v>4.2</v>
      </c>
      <c r="BX103">
        <v>4.4000000000000004</v>
      </c>
      <c r="BY103">
        <v>4.8</v>
      </c>
      <c r="BZ103">
        <v>8.35</v>
      </c>
      <c r="CA103">
        <v>7</v>
      </c>
      <c r="CB103">
        <v>5.5</v>
      </c>
      <c r="CC103">
        <v>4.4000000000000004</v>
      </c>
      <c r="CD103">
        <v>4.4000000000000004</v>
      </c>
      <c r="CE103">
        <v>4.4000000000000004</v>
      </c>
      <c r="CF103" t="s">
        <v>1499</v>
      </c>
      <c r="CG103">
        <v>-1.35</v>
      </c>
      <c r="CH103">
        <v>3.55</v>
      </c>
      <c r="CI103">
        <v>0</v>
      </c>
      <c r="CJ103">
        <v>10</v>
      </c>
      <c r="CK103">
        <v>10</v>
      </c>
      <c r="CL103">
        <v>7</v>
      </c>
    </row>
    <row r="104" spans="1:111" x14ac:dyDescent="0.2">
      <c r="A104" s="3">
        <v>1</v>
      </c>
      <c r="B104" s="3" t="s">
        <v>688</v>
      </c>
      <c r="C104" s="3" t="s">
        <v>689</v>
      </c>
      <c r="D104" s="1"/>
      <c r="E104" s="1">
        <f t="shared" si="9"/>
        <v>9.1428571428571406</v>
      </c>
      <c r="F104" s="1">
        <f t="shared" si="10"/>
        <v>9.1428571428571406</v>
      </c>
      <c r="G104" s="1">
        <f t="shared" si="11"/>
        <v>0</v>
      </c>
      <c r="H104" s="1"/>
      <c r="I104" s="1">
        <v>102</v>
      </c>
      <c r="J104" s="1">
        <v>6.3226136080000002</v>
      </c>
      <c r="K104" s="1"/>
      <c r="L104" s="1">
        <v>0.6</v>
      </c>
      <c r="M104" s="1"/>
      <c r="N104" s="1">
        <v>0.6</v>
      </c>
      <c r="O104" s="1">
        <v>6.1</v>
      </c>
      <c r="P104" s="1">
        <v>2.8</v>
      </c>
      <c r="Q104" s="1">
        <v>6.6</v>
      </c>
      <c r="R104" s="1">
        <v>3.4</v>
      </c>
      <c r="S104" s="1">
        <v>0</v>
      </c>
      <c r="T104" s="1">
        <v>0</v>
      </c>
      <c r="U104" s="1">
        <v>3.8</v>
      </c>
      <c r="V104" s="1">
        <v>6</v>
      </c>
      <c r="W104" s="1">
        <v>1.7</v>
      </c>
      <c r="X104" s="1">
        <v>3.9</v>
      </c>
      <c r="Y104" s="1">
        <v>3.8</v>
      </c>
      <c r="Z104" s="1">
        <v>7.6</v>
      </c>
      <c r="AA104" s="1">
        <v>8.6999999999999993</v>
      </c>
      <c r="AB104" s="1">
        <v>2.7</v>
      </c>
      <c r="AC104" s="1">
        <v>6.3</v>
      </c>
      <c r="AD104" s="1">
        <v>14.1</v>
      </c>
      <c r="AE104" s="1">
        <v>7.1</v>
      </c>
      <c r="AF104" s="1">
        <v>5</v>
      </c>
      <c r="AG104" s="1">
        <v>1.7</v>
      </c>
      <c r="AH104" s="1">
        <v>26.6</v>
      </c>
      <c r="AI104" s="1">
        <v>10</v>
      </c>
      <c r="AJ104" s="1">
        <v>4.5</v>
      </c>
      <c r="AK104" s="1">
        <v>1.4</v>
      </c>
      <c r="AL104" s="1">
        <v>5</v>
      </c>
      <c r="AM104" s="1">
        <v>10</v>
      </c>
      <c r="AN104" s="1">
        <v>6.6</v>
      </c>
      <c r="AO104" s="1">
        <v>4.5</v>
      </c>
      <c r="AP104" s="1">
        <v>4.2</v>
      </c>
      <c r="AQ104" s="1">
        <v>5.2083333333333304</v>
      </c>
      <c r="AR104" s="1">
        <v>6.4</v>
      </c>
      <c r="AS104" s="1">
        <v>9.1428571428571406</v>
      </c>
      <c r="AT104" s="1" t="s">
        <v>691</v>
      </c>
      <c r="AU104" s="1" t="s">
        <v>98</v>
      </c>
      <c r="AV104" s="1" t="s">
        <v>105</v>
      </c>
      <c r="AW104" s="1"/>
      <c r="AX104" s="1" t="s">
        <v>102</v>
      </c>
      <c r="AY104" s="1" t="s">
        <v>98</v>
      </c>
      <c r="AZ104" s="1">
        <v>10</v>
      </c>
      <c r="BA104" s="1"/>
      <c r="BB104" s="1">
        <v>7</v>
      </c>
      <c r="BC104" s="1" t="s">
        <v>1500</v>
      </c>
      <c r="BD104" s="1" t="s">
        <v>1404</v>
      </c>
      <c r="BE104" s="1">
        <v>27.823730534266598</v>
      </c>
      <c r="BF104" s="1">
        <v>27.809116505725299</v>
      </c>
      <c r="BG104" s="1">
        <v>27.6939331817469</v>
      </c>
      <c r="BH104" s="1">
        <v>30.492504704487501</v>
      </c>
      <c r="BI104">
        <v>29.8281048997307</v>
      </c>
      <c r="BJ104">
        <v>28.143694726076198</v>
      </c>
      <c r="BK104" t="s">
        <v>1405</v>
      </c>
      <c r="BL104" t="s">
        <v>1406</v>
      </c>
      <c r="BM104">
        <v>2142.252</v>
      </c>
      <c r="BN104">
        <v>-0.66439980475680105</v>
      </c>
      <c r="BO104">
        <v>2.7985715227406001</v>
      </c>
      <c r="BP104">
        <v>0</v>
      </c>
      <c r="BQ104">
        <v>9.3285717424686698</v>
      </c>
      <c r="BR104">
        <v>9.3285717424686698</v>
      </c>
      <c r="BS104" t="s">
        <v>1400</v>
      </c>
      <c r="BT104" t="s">
        <v>1401</v>
      </c>
      <c r="BU104" t="s">
        <v>1402</v>
      </c>
      <c r="CF104" t="s">
        <v>103</v>
      </c>
    </row>
    <row r="105" spans="1:111" x14ac:dyDescent="0.2">
      <c r="A105" s="3">
        <v>1</v>
      </c>
      <c r="B105" s="3" t="s">
        <v>693</v>
      </c>
      <c r="C105" s="3" t="s">
        <v>694</v>
      </c>
      <c r="D105" s="1"/>
      <c r="E105" s="1">
        <f t="shared" si="9"/>
        <v>3.1622776601683809</v>
      </c>
      <c r="F105" s="1">
        <f t="shared" si="10"/>
        <v>1.4285714285714299</v>
      </c>
      <c r="G105" s="1">
        <f t="shared" si="11"/>
        <v>7</v>
      </c>
      <c r="H105" s="1"/>
      <c r="I105" s="1">
        <v>103</v>
      </c>
      <c r="J105" s="1">
        <v>81.905310689999993</v>
      </c>
      <c r="K105" s="1">
        <v>33.187428369999999</v>
      </c>
      <c r="L105" s="1">
        <v>9.8000000000000007</v>
      </c>
      <c r="M105" s="1">
        <v>6.2</v>
      </c>
      <c r="N105" s="1">
        <v>9.8000000000000007</v>
      </c>
      <c r="O105" s="1">
        <v>5.5</v>
      </c>
      <c r="P105" s="1">
        <v>6.8</v>
      </c>
      <c r="Q105" s="1"/>
      <c r="R105" s="1">
        <v>1</v>
      </c>
      <c r="S105" s="1">
        <v>0.1</v>
      </c>
      <c r="T105" s="1">
        <v>0.1</v>
      </c>
      <c r="U105" s="1">
        <v>3.4</v>
      </c>
      <c r="V105" s="1">
        <v>7.1</v>
      </c>
      <c r="W105" s="1">
        <v>10</v>
      </c>
      <c r="X105" s="1">
        <v>8.6</v>
      </c>
      <c r="Y105" s="1">
        <v>6</v>
      </c>
      <c r="Z105" s="1">
        <v>0.8</v>
      </c>
      <c r="AA105" s="1"/>
      <c r="AB105" s="1">
        <v>0.1</v>
      </c>
      <c r="AC105" s="1">
        <v>0.5</v>
      </c>
      <c r="AD105" s="1">
        <v>0</v>
      </c>
      <c r="AE105" s="1">
        <v>0</v>
      </c>
      <c r="AF105" s="1">
        <v>20</v>
      </c>
      <c r="AG105" s="1">
        <v>10</v>
      </c>
      <c r="AH105" s="1">
        <v>20.7</v>
      </c>
      <c r="AI105" s="1">
        <v>7.1</v>
      </c>
      <c r="AJ105" s="1">
        <v>3.8</v>
      </c>
      <c r="AK105" s="1">
        <v>1</v>
      </c>
      <c r="AL105" s="1">
        <v>5</v>
      </c>
      <c r="AM105" s="1">
        <v>0.9</v>
      </c>
      <c r="AN105" s="1">
        <v>3.5</v>
      </c>
      <c r="AO105" s="1">
        <v>4.5999999999999996</v>
      </c>
      <c r="AP105" s="1">
        <v>5.3</v>
      </c>
      <c r="AQ105" s="1">
        <v>9.7916666666666696</v>
      </c>
      <c r="AR105" s="1">
        <v>1</v>
      </c>
      <c r="AS105" s="1">
        <v>1.4285714285714299</v>
      </c>
      <c r="AT105" s="1" t="s">
        <v>376</v>
      </c>
      <c r="AU105" s="1" t="s">
        <v>98</v>
      </c>
      <c r="AV105" s="1" t="s">
        <v>696</v>
      </c>
      <c r="AW105" s="1" t="s">
        <v>100</v>
      </c>
      <c r="AX105" s="1" t="s">
        <v>183</v>
      </c>
      <c r="AY105" s="1" t="s">
        <v>96</v>
      </c>
      <c r="AZ105" s="1">
        <v>10</v>
      </c>
      <c r="BA105" s="1">
        <v>7</v>
      </c>
      <c r="BB105" s="1">
        <v>3</v>
      </c>
      <c r="BC105" s="1"/>
      <c r="BD105" s="1"/>
      <c r="BE105" s="1"/>
      <c r="BF105" s="1"/>
      <c r="BG105" s="1"/>
      <c r="BH105" s="1"/>
      <c r="BS105" t="s">
        <v>1400</v>
      </c>
      <c r="BT105" t="s">
        <v>1401</v>
      </c>
      <c r="BU105" t="s">
        <v>1402</v>
      </c>
      <c r="BW105">
        <v>7.0730000000000004</v>
      </c>
      <c r="BX105">
        <v>6.1459999999999999</v>
      </c>
      <c r="BY105">
        <v>6.2539999999999996</v>
      </c>
      <c r="BZ105">
        <v>8.1999999999999993</v>
      </c>
      <c r="CA105">
        <v>7.5</v>
      </c>
      <c r="CB105">
        <v>6.9</v>
      </c>
      <c r="CC105">
        <v>6.4</v>
      </c>
      <c r="CD105">
        <v>5.9</v>
      </c>
      <c r="CE105">
        <v>5.6</v>
      </c>
      <c r="CF105" t="s">
        <v>1501</v>
      </c>
      <c r="CG105">
        <v>-0.69999999999999896</v>
      </c>
      <c r="CH105">
        <v>1.946</v>
      </c>
      <c r="CI105">
        <v>0</v>
      </c>
      <c r="CJ105">
        <v>6.4866666666666699</v>
      </c>
      <c r="CK105">
        <v>6.4866666666666699</v>
      </c>
    </row>
    <row r="106" spans="1:111" x14ac:dyDescent="0.2">
      <c r="A106" s="3">
        <v>1</v>
      </c>
      <c r="B106" s="3" t="s">
        <v>698</v>
      </c>
      <c r="C106" s="3" t="s">
        <v>699</v>
      </c>
      <c r="D106" s="1"/>
      <c r="E106" s="1">
        <f t="shared" si="9"/>
        <v>2.4494897427831765</v>
      </c>
      <c r="F106" s="1">
        <f t="shared" si="10"/>
        <v>0.85714285714285599</v>
      </c>
      <c r="G106" s="1">
        <f t="shared" si="11"/>
        <v>7</v>
      </c>
      <c r="H106" s="1"/>
      <c r="I106" s="1">
        <v>104</v>
      </c>
      <c r="J106" s="1"/>
      <c r="K106" s="1"/>
      <c r="L106" s="1"/>
      <c r="M106" s="1"/>
      <c r="N106" s="1"/>
      <c r="O106" s="1">
        <v>8</v>
      </c>
      <c r="P106" s="1">
        <v>9.1</v>
      </c>
      <c r="Q106" s="1"/>
      <c r="R106" s="1">
        <v>1</v>
      </c>
      <c r="S106" s="1">
        <v>0.6</v>
      </c>
      <c r="T106" s="1">
        <v>0.6</v>
      </c>
      <c r="U106" s="1">
        <v>4.7</v>
      </c>
      <c r="V106" s="1">
        <v>2.6</v>
      </c>
      <c r="W106" s="1">
        <v>10</v>
      </c>
      <c r="X106" s="1">
        <v>6.3</v>
      </c>
      <c r="Y106" s="1">
        <v>5.5</v>
      </c>
      <c r="Z106" s="1">
        <v>0</v>
      </c>
      <c r="AA106" s="1"/>
      <c r="AB106" s="1">
        <v>0</v>
      </c>
      <c r="AC106" s="1">
        <v>0</v>
      </c>
      <c r="AD106" s="1">
        <v>0</v>
      </c>
      <c r="AE106" s="1">
        <v>0</v>
      </c>
      <c r="AF106" s="1">
        <v>14</v>
      </c>
      <c r="AG106" s="1">
        <v>6.7</v>
      </c>
      <c r="AH106" s="1">
        <v>10</v>
      </c>
      <c r="AI106" s="1">
        <v>0</v>
      </c>
      <c r="AJ106" s="1">
        <v>5</v>
      </c>
      <c r="AK106" s="1">
        <v>1.7</v>
      </c>
      <c r="AL106" s="1">
        <v>4</v>
      </c>
      <c r="AM106" s="1">
        <v>0.1</v>
      </c>
      <c r="AN106" s="1">
        <v>1.5</v>
      </c>
      <c r="AO106" s="1">
        <v>0.7</v>
      </c>
      <c r="AP106" s="1">
        <v>3.1</v>
      </c>
      <c r="AQ106" s="1">
        <v>0.625</v>
      </c>
      <c r="AR106" s="1">
        <v>0.6</v>
      </c>
      <c r="AS106" s="1">
        <v>0.85714285714285599</v>
      </c>
      <c r="AT106" s="1" t="s">
        <v>278</v>
      </c>
      <c r="AU106" s="1" t="s">
        <v>98</v>
      </c>
      <c r="AV106" s="1" t="s">
        <v>191</v>
      </c>
      <c r="AW106" s="1" t="s">
        <v>100</v>
      </c>
      <c r="AX106" s="1" t="s">
        <v>137</v>
      </c>
      <c r="AY106" s="1" t="s">
        <v>100</v>
      </c>
      <c r="AZ106" s="1">
        <v>10</v>
      </c>
      <c r="BA106" s="1">
        <v>7</v>
      </c>
      <c r="BB106" s="1">
        <v>0</v>
      </c>
      <c r="BC106" s="1"/>
      <c r="BD106" s="1"/>
      <c r="BE106" s="1"/>
      <c r="BF106" s="1"/>
      <c r="BG106" s="1"/>
      <c r="BH106" s="1"/>
      <c r="BS106" t="s">
        <v>1400</v>
      </c>
      <c r="BT106" t="s">
        <v>1401</v>
      </c>
      <c r="BU106" t="s">
        <v>1402</v>
      </c>
      <c r="BW106">
        <v>5.8449999999999998</v>
      </c>
      <c r="BX106">
        <v>5.1050000000000004</v>
      </c>
      <c r="BY106">
        <v>5.4009999999999998</v>
      </c>
      <c r="BZ106">
        <v>6.47</v>
      </c>
      <c r="CA106">
        <v>7</v>
      </c>
      <c r="CB106">
        <v>6.8730000000000002</v>
      </c>
      <c r="CC106">
        <v>6.327</v>
      </c>
      <c r="CD106">
        <v>6.08</v>
      </c>
      <c r="CE106">
        <v>6.0019999999999998</v>
      </c>
      <c r="CF106" t="s">
        <v>1502</v>
      </c>
      <c r="CG106">
        <v>0.53</v>
      </c>
      <c r="CH106">
        <v>1.069</v>
      </c>
      <c r="CI106">
        <v>5.3</v>
      </c>
      <c r="CJ106">
        <v>3.5633333333333299</v>
      </c>
      <c r="CK106">
        <v>5.3</v>
      </c>
    </row>
    <row r="107" spans="1:111" x14ac:dyDescent="0.2">
      <c r="A107" s="3">
        <v>1</v>
      </c>
      <c r="B107" s="3" t="s">
        <v>702</v>
      </c>
      <c r="C107" s="3" t="s">
        <v>703</v>
      </c>
      <c r="D107" s="1"/>
      <c r="E107" s="1">
        <f t="shared" si="9"/>
        <v>3.4641016151377602</v>
      </c>
      <c r="F107" s="1">
        <f t="shared" si="10"/>
        <v>1.71428571428572</v>
      </c>
      <c r="G107" s="1">
        <f t="shared" si="11"/>
        <v>7</v>
      </c>
      <c r="H107" s="1"/>
      <c r="I107" s="1">
        <v>105</v>
      </c>
      <c r="J107" s="1">
        <v>80.301248349999995</v>
      </c>
      <c r="K107" s="1">
        <v>32.36936833</v>
      </c>
      <c r="L107" s="1">
        <v>9.6</v>
      </c>
      <c r="M107" s="1">
        <v>6</v>
      </c>
      <c r="N107" s="1">
        <v>9.6</v>
      </c>
      <c r="O107" s="1">
        <v>5</v>
      </c>
      <c r="P107" s="1">
        <v>6.8</v>
      </c>
      <c r="Q107" s="1"/>
      <c r="R107" s="1">
        <v>1.4</v>
      </c>
      <c r="S107" s="1">
        <v>0</v>
      </c>
      <c r="T107" s="1">
        <v>0</v>
      </c>
      <c r="U107" s="1">
        <v>3.3</v>
      </c>
      <c r="V107" s="1">
        <v>6.1</v>
      </c>
      <c r="W107" s="1">
        <v>9</v>
      </c>
      <c r="X107" s="1">
        <v>7.6</v>
      </c>
      <c r="Y107" s="1">
        <v>5.4</v>
      </c>
      <c r="Z107" s="1">
        <v>1.1000000000000001</v>
      </c>
      <c r="AA107" s="1"/>
      <c r="AB107" s="1">
        <v>0.1</v>
      </c>
      <c r="AC107" s="1">
        <v>0.6</v>
      </c>
      <c r="AD107" s="1">
        <v>0</v>
      </c>
      <c r="AE107" s="1">
        <v>0</v>
      </c>
      <c r="AF107" s="1">
        <v>20</v>
      </c>
      <c r="AG107" s="1">
        <v>10</v>
      </c>
      <c r="AH107" s="1">
        <v>21.9</v>
      </c>
      <c r="AI107" s="1">
        <v>7.9</v>
      </c>
      <c r="AJ107" s="1">
        <v>5</v>
      </c>
      <c r="AK107" s="1">
        <v>1.7</v>
      </c>
      <c r="AL107" s="1">
        <v>4</v>
      </c>
      <c r="AM107" s="1">
        <v>0.6</v>
      </c>
      <c r="AN107" s="1">
        <v>3.6</v>
      </c>
      <c r="AO107" s="1">
        <v>4.5999999999999996</v>
      </c>
      <c r="AP107" s="1">
        <v>5</v>
      </c>
      <c r="AQ107" s="1">
        <v>8.5416666666666696</v>
      </c>
      <c r="AR107" s="1">
        <v>1.2</v>
      </c>
      <c r="AS107" s="1">
        <v>1.71428571428572</v>
      </c>
      <c r="AT107" s="1" t="s">
        <v>328</v>
      </c>
      <c r="AU107" s="1" t="s">
        <v>98</v>
      </c>
      <c r="AV107" s="1" t="s">
        <v>705</v>
      </c>
      <c r="AW107" s="1" t="s">
        <v>100</v>
      </c>
      <c r="AX107" s="1" t="s">
        <v>183</v>
      </c>
      <c r="AY107" s="1" t="s">
        <v>96</v>
      </c>
      <c r="AZ107" s="1">
        <v>10</v>
      </c>
      <c r="BA107" s="1">
        <v>7</v>
      </c>
      <c r="BB107" s="1">
        <v>3</v>
      </c>
      <c r="BC107" s="1"/>
      <c r="BD107" s="1"/>
      <c r="BE107" s="1"/>
      <c r="BF107" s="1"/>
      <c r="BG107" s="1"/>
      <c r="BH107" s="1"/>
      <c r="BS107" t="s">
        <v>1400</v>
      </c>
      <c r="BT107" t="s">
        <v>1401</v>
      </c>
      <c r="BU107" t="s">
        <v>1402</v>
      </c>
      <c r="BW107">
        <v>8.7149999999999999</v>
      </c>
      <c r="BX107">
        <v>7.415</v>
      </c>
      <c r="BY107">
        <v>6.3109999999999999</v>
      </c>
      <c r="BZ107">
        <v>9</v>
      </c>
      <c r="CA107">
        <v>8.0120000000000005</v>
      </c>
      <c r="CB107">
        <v>7.54</v>
      </c>
      <c r="CC107">
        <v>7.3869999999999996</v>
      </c>
      <c r="CD107">
        <v>6.9859999999999998</v>
      </c>
      <c r="CE107">
        <v>6.9859999999999998</v>
      </c>
      <c r="CF107" t="s">
        <v>1503</v>
      </c>
      <c r="CG107">
        <v>-0.98799999999999999</v>
      </c>
      <c r="CH107">
        <v>2.6890000000000001</v>
      </c>
      <c r="CI107">
        <v>0</v>
      </c>
      <c r="CJ107">
        <v>8.9633333333333294</v>
      </c>
      <c r="CK107">
        <v>8.9633333333333294</v>
      </c>
    </row>
    <row r="108" spans="1:111" x14ac:dyDescent="0.2">
      <c r="A108" s="3">
        <v>1</v>
      </c>
      <c r="B108" s="3" t="s">
        <v>706</v>
      </c>
      <c r="C108" s="3" t="s">
        <v>707</v>
      </c>
      <c r="D108" s="1"/>
      <c r="E108" s="1">
        <f t="shared" si="9"/>
        <v>6.7082039324993694</v>
      </c>
      <c r="F108" s="1">
        <f t="shared" si="10"/>
        <v>6.4285714285714297</v>
      </c>
      <c r="G108" s="1">
        <f t="shared" si="11"/>
        <v>7</v>
      </c>
      <c r="H108" s="1"/>
      <c r="I108" s="1">
        <v>106</v>
      </c>
      <c r="J108" s="1">
        <v>41.013363490000003</v>
      </c>
      <c r="K108" s="1"/>
      <c r="L108" s="1">
        <v>4.8</v>
      </c>
      <c r="M108" s="1"/>
      <c r="N108" s="1">
        <v>4.8</v>
      </c>
      <c r="O108" s="1">
        <v>6.4</v>
      </c>
      <c r="P108" s="1">
        <v>6.2</v>
      </c>
      <c r="Q108" s="1">
        <v>1.1000000000000001</v>
      </c>
      <c r="R108" s="1">
        <v>8.1</v>
      </c>
      <c r="S108" s="1">
        <v>0</v>
      </c>
      <c r="T108" s="1">
        <v>0</v>
      </c>
      <c r="U108" s="1">
        <v>4.4000000000000004</v>
      </c>
      <c r="V108" s="1">
        <v>3.5</v>
      </c>
      <c r="W108" s="1">
        <v>2.8</v>
      </c>
      <c r="X108" s="1">
        <v>3.2</v>
      </c>
      <c r="Y108" s="1">
        <v>3.8</v>
      </c>
      <c r="Z108" s="1">
        <v>4.7</v>
      </c>
      <c r="AA108" s="1">
        <v>6.8</v>
      </c>
      <c r="AB108" s="1">
        <v>0.1</v>
      </c>
      <c r="AC108" s="1">
        <v>3.9</v>
      </c>
      <c r="AD108" s="1">
        <v>0</v>
      </c>
      <c r="AE108" s="1">
        <v>0</v>
      </c>
      <c r="AF108" s="1">
        <v>7</v>
      </c>
      <c r="AG108" s="1">
        <v>2.8</v>
      </c>
      <c r="AH108" s="1">
        <v>12.4</v>
      </c>
      <c r="AI108" s="1">
        <v>1.6</v>
      </c>
      <c r="AJ108" s="1">
        <v>7</v>
      </c>
      <c r="AK108" s="1">
        <v>2.8</v>
      </c>
      <c r="AL108" s="1">
        <v>7</v>
      </c>
      <c r="AM108" s="1">
        <v>1.8</v>
      </c>
      <c r="AN108" s="1">
        <v>3.3</v>
      </c>
      <c r="AO108" s="1">
        <v>4</v>
      </c>
      <c r="AP108" s="1">
        <v>3.9</v>
      </c>
      <c r="AQ108" s="1">
        <v>3.9583333333333299</v>
      </c>
      <c r="AR108" s="1">
        <v>4.5</v>
      </c>
      <c r="AS108" s="1">
        <v>6.4285714285714297</v>
      </c>
      <c r="AT108" s="1" t="s">
        <v>364</v>
      </c>
      <c r="AU108" s="1" t="s">
        <v>98</v>
      </c>
      <c r="AV108" s="1" t="s">
        <v>709</v>
      </c>
      <c r="AW108" s="1" t="s">
        <v>100</v>
      </c>
      <c r="AX108" s="1" t="s">
        <v>137</v>
      </c>
      <c r="AY108" s="1" t="s">
        <v>100</v>
      </c>
      <c r="AZ108" s="1">
        <v>10</v>
      </c>
      <c r="BA108" s="1">
        <v>7</v>
      </c>
      <c r="BB108" s="1">
        <v>0</v>
      </c>
      <c r="BC108" s="1" t="s">
        <v>1504</v>
      </c>
      <c r="BD108" s="1" t="s">
        <v>1404</v>
      </c>
      <c r="BE108" s="1">
        <v>0.693618219930346</v>
      </c>
      <c r="BF108" s="1">
        <v>0.662411465859016</v>
      </c>
      <c r="BG108" s="1">
        <v>0.62897419312976099</v>
      </c>
      <c r="BH108" s="1">
        <v>0.75751473850084905</v>
      </c>
      <c r="BI108">
        <v>0.68776043573211298</v>
      </c>
      <c r="BJ108">
        <v>0.63098139185271296</v>
      </c>
      <c r="BK108" t="s">
        <v>1405</v>
      </c>
      <c r="BL108" t="s">
        <v>1455</v>
      </c>
      <c r="BM108">
        <v>36910.557999999997</v>
      </c>
      <c r="BN108">
        <v>-6.9754302768736107E-2</v>
      </c>
      <c r="BO108">
        <v>0.128540545371088</v>
      </c>
      <c r="BP108">
        <v>0</v>
      </c>
      <c r="BQ108">
        <v>0.42846848457029402</v>
      </c>
      <c r="BR108">
        <v>0.42846848457029402</v>
      </c>
      <c r="BS108" t="s">
        <v>1400</v>
      </c>
      <c r="BT108" t="s">
        <v>1401</v>
      </c>
      <c r="BU108" t="s">
        <v>1402</v>
      </c>
      <c r="BW108">
        <v>10.199999999999999</v>
      </c>
      <c r="BX108">
        <v>9.8000000000000007</v>
      </c>
      <c r="BY108">
        <v>9.1999999999999993</v>
      </c>
      <c r="BZ108">
        <v>12.5</v>
      </c>
      <c r="CA108">
        <v>10.5</v>
      </c>
      <c r="CB108">
        <v>9.6999999999999993</v>
      </c>
      <c r="CC108">
        <v>9.1</v>
      </c>
      <c r="CD108">
        <v>8.6999999999999993</v>
      </c>
      <c r="CE108">
        <v>8.5</v>
      </c>
      <c r="CF108" t="s">
        <v>1153</v>
      </c>
      <c r="CG108">
        <v>-2</v>
      </c>
      <c r="CH108">
        <v>3.3</v>
      </c>
      <c r="CI108">
        <v>0</v>
      </c>
      <c r="CJ108">
        <v>10</v>
      </c>
      <c r="CK108">
        <v>10</v>
      </c>
      <c r="CL108">
        <v>10</v>
      </c>
    </row>
    <row r="109" spans="1:111" x14ac:dyDescent="0.2">
      <c r="A109" s="3">
        <v>1</v>
      </c>
      <c r="B109" s="3" t="s">
        <v>712</v>
      </c>
      <c r="C109" s="3" t="s">
        <v>713</v>
      </c>
      <c r="D109" s="1"/>
      <c r="E109" s="1">
        <f t="shared" si="9"/>
        <v>4.9999999999999991</v>
      </c>
      <c r="F109" s="1">
        <f t="shared" si="10"/>
        <v>3.5714285714285698</v>
      </c>
      <c r="G109" s="1">
        <f t="shared" si="11"/>
        <v>7</v>
      </c>
      <c r="H109" s="1"/>
      <c r="I109" s="1">
        <v>107</v>
      </c>
      <c r="J109" s="1"/>
      <c r="K109" s="1"/>
      <c r="L109" s="1"/>
      <c r="M109" s="1"/>
      <c r="N109" s="1"/>
      <c r="O109" s="1">
        <v>7</v>
      </c>
      <c r="P109" s="1">
        <v>4.3</v>
      </c>
      <c r="Q109" s="1">
        <v>7.1</v>
      </c>
      <c r="R109" s="1"/>
      <c r="S109" s="1">
        <v>0</v>
      </c>
      <c r="T109" s="1">
        <v>0</v>
      </c>
      <c r="U109" s="1">
        <v>4.5999999999999996</v>
      </c>
      <c r="V109" s="1">
        <v>0.7</v>
      </c>
      <c r="W109" s="1">
        <v>10</v>
      </c>
      <c r="X109" s="1">
        <v>5.4</v>
      </c>
      <c r="Y109" s="1">
        <v>5</v>
      </c>
      <c r="Z109" s="1">
        <v>4</v>
      </c>
      <c r="AA109" s="1">
        <v>2.2999999999999998</v>
      </c>
      <c r="AB109" s="1">
        <v>0</v>
      </c>
      <c r="AC109" s="1">
        <v>2.1</v>
      </c>
      <c r="AD109" s="1">
        <v>0</v>
      </c>
      <c r="AE109" s="1">
        <v>0</v>
      </c>
      <c r="AF109" s="1">
        <v>11</v>
      </c>
      <c r="AG109" s="1">
        <v>5</v>
      </c>
      <c r="AH109" s="1">
        <v>24.9</v>
      </c>
      <c r="AI109" s="1">
        <v>9.9</v>
      </c>
      <c r="AJ109" s="1">
        <v>5.7</v>
      </c>
      <c r="AK109" s="1">
        <v>2.1</v>
      </c>
      <c r="AL109" s="1">
        <v>4</v>
      </c>
      <c r="AM109" s="1">
        <v>1.7</v>
      </c>
      <c r="AN109" s="1">
        <v>4.4000000000000004</v>
      </c>
      <c r="AO109" s="1">
        <v>3.3</v>
      </c>
      <c r="AP109" s="1">
        <v>4.0999999999999996</v>
      </c>
      <c r="AQ109" s="1">
        <v>4.7916666666666696</v>
      </c>
      <c r="AR109" s="1">
        <v>2.5</v>
      </c>
      <c r="AS109" s="1">
        <v>3.5714285714285698</v>
      </c>
      <c r="AT109" s="1" t="s">
        <v>161</v>
      </c>
      <c r="AU109" s="1" t="s">
        <v>98</v>
      </c>
      <c r="AV109" s="1" t="s">
        <v>272</v>
      </c>
      <c r="AW109" s="1" t="s">
        <v>100</v>
      </c>
      <c r="AX109" s="1" t="s">
        <v>137</v>
      </c>
      <c r="AY109" s="1" t="s">
        <v>100</v>
      </c>
      <c r="AZ109" s="1">
        <v>10</v>
      </c>
      <c r="BA109" s="1">
        <v>7</v>
      </c>
      <c r="BB109" s="1">
        <v>0</v>
      </c>
      <c r="BC109" s="1" t="s">
        <v>1505</v>
      </c>
      <c r="BD109" s="1" t="s">
        <v>1404</v>
      </c>
      <c r="BE109" s="1">
        <v>6.1244410785106201E-2</v>
      </c>
      <c r="BF109" s="1">
        <v>1.8238724011873E-2</v>
      </c>
      <c r="BG109" s="1">
        <v>1.8238722924760298E-2</v>
      </c>
      <c r="BH109" s="1">
        <v>1.8238722924760298E-2</v>
      </c>
      <c r="BI109">
        <v>1.8238722924760298E-2</v>
      </c>
      <c r="BJ109">
        <v>1.8238722924760298E-2</v>
      </c>
      <c r="BK109" t="s">
        <v>1405</v>
      </c>
      <c r="BL109" t="s">
        <v>1411</v>
      </c>
      <c r="BM109">
        <v>4033.9630000000002</v>
      </c>
      <c r="BN109">
        <v>0</v>
      </c>
      <c r="BO109">
        <v>0</v>
      </c>
      <c r="BP109">
        <v>0</v>
      </c>
      <c r="BQ109">
        <v>0</v>
      </c>
      <c r="BR109">
        <v>0</v>
      </c>
      <c r="BS109" t="s">
        <v>1400</v>
      </c>
      <c r="BT109" t="s">
        <v>1401</v>
      </c>
      <c r="BU109" t="s">
        <v>1402</v>
      </c>
      <c r="BW109">
        <v>3.9390000000000001</v>
      </c>
      <c r="BX109">
        <v>2.9609999999999999</v>
      </c>
      <c r="BY109">
        <v>5.12</v>
      </c>
      <c r="BZ109">
        <v>8</v>
      </c>
      <c r="CA109">
        <v>5.5</v>
      </c>
      <c r="CB109">
        <v>3</v>
      </c>
      <c r="CC109">
        <v>3</v>
      </c>
      <c r="CD109">
        <v>3</v>
      </c>
      <c r="CE109">
        <v>3</v>
      </c>
      <c r="CF109" t="s">
        <v>1506</v>
      </c>
      <c r="CG109">
        <v>-2.5</v>
      </c>
      <c r="CH109">
        <v>2.88</v>
      </c>
      <c r="CI109">
        <v>0</v>
      </c>
      <c r="CJ109">
        <v>9.6</v>
      </c>
      <c r="CK109">
        <v>9.6</v>
      </c>
    </row>
    <row r="110" spans="1:111" x14ac:dyDescent="0.2">
      <c r="A110" s="3">
        <v>1</v>
      </c>
      <c r="B110" s="3" t="s">
        <v>716</v>
      </c>
      <c r="C110" s="3" t="s">
        <v>717</v>
      </c>
      <c r="D110" s="1"/>
      <c r="E110" s="1">
        <f t="shared" si="9"/>
        <v>8.8908482587130084</v>
      </c>
      <c r="F110" s="1">
        <f t="shared" si="10"/>
        <v>8.4285714285714306</v>
      </c>
      <c r="G110" s="1">
        <f t="shared" si="11"/>
        <v>9.3784793104444208</v>
      </c>
      <c r="H110" s="1"/>
      <c r="I110" s="1">
        <v>108</v>
      </c>
      <c r="J110" s="1">
        <v>5.6994308790000003</v>
      </c>
      <c r="K110" s="1"/>
      <c r="L110" s="1">
        <v>0.5</v>
      </c>
      <c r="M110" s="1"/>
      <c r="N110" s="1">
        <v>0.5</v>
      </c>
      <c r="O110" s="1">
        <v>5.5</v>
      </c>
      <c r="P110" s="1">
        <v>3.7</v>
      </c>
      <c r="Q110" s="1">
        <v>7.5</v>
      </c>
      <c r="R110" s="1">
        <v>7.4</v>
      </c>
      <c r="S110" s="1">
        <v>0</v>
      </c>
      <c r="T110" s="1">
        <v>0</v>
      </c>
      <c r="U110" s="1">
        <v>4.8</v>
      </c>
      <c r="V110" s="1">
        <v>5.0999999999999996</v>
      </c>
      <c r="W110" s="1">
        <v>0.7</v>
      </c>
      <c r="X110" s="1">
        <v>2.9</v>
      </c>
      <c r="Y110" s="1">
        <v>3.9</v>
      </c>
      <c r="Z110" s="1">
        <v>7.6</v>
      </c>
      <c r="AA110" s="1">
        <v>9.6999999999999993</v>
      </c>
      <c r="AB110" s="1">
        <v>7.8</v>
      </c>
      <c r="AC110" s="1">
        <v>8.4</v>
      </c>
      <c r="AD110" s="1">
        <v>5.6</v>
      </c>
      <c r="AE110" s="1">
        <v>2.8</v>
      </c>
      <c r="AF110" s="1">
        <v>3</v>
      </c>
      <c r="AG110" s="1">
        <v>0.6</v>
      </c>
      <c r="AH110" s="1">
        <v>22.9</v>
      </c>
      <c r="AI110" s="1">
        <v>8.6</v>
      </c>
      <c r="AJ110" s="1">
        <v>4.5</v>
      </c>
      <c r="AK110" s="1">
        <v>1.4</v>
      </c>
      <c r="AL110" s="1">
        <v>7</v>
      </c>
      <c r="AM110" s="1">
        <v>4.3</v>
      </c>
      <c r="AN110" s="1">
        <v>5.3</v>
      </c>
      <c r="AO110" s="1">
        <v>4.7</v>
      </c>
      <c r="AP110" s="1">
        <v>4.3</v>
      </c>
      <c r="AQ110" s="1">
        <v>5.625</v>
      </c>
      <c r="AR110" s="1">
        <v>5.9</v>
      </c>
      <c r="AS110" s="1">
        <v>8.4285714285714306</v>
      </c>
      <c r="AT110" s="1" t="s">
        <v>197</v>
      </c>
      <c r="AU110" s="1" t="s">
        <v>98</v>
      </c>
      <c r="AV110" s="1" t="s">
        <v>105</v>
      </c>
      <c r="AW110" s="1"/>
      <c r="AX110" s="1" t="s">
        <v>137</v>
      </c>
      <c r="AY110" s="1" t="s">
        <v>100</v>
      </c>
      <c r="AZ110" s="1">
        <v>10</v>
      </c>
      <c r="BA110" s="1"/>
      <c r="BB110" s="1">
        <v>0</v>
      </c>
      <c r="BC110" s="1" t="s">
        <v>1507</v>
      </c>
      <c r="BD110" s="1" t="s">
        <v>1404</v>
      </c>
      <c r="BE110" s="1">
        <v>76.127736407042093</v>
      </c>
      <c r="BF110" s="1">
        <v>75.254202284833994</v>
      </c>
      <c r="BG110" s="1">
        <v>74.250739854403704</v>
      </c>
      <c r="BH110" s="1">
        <v>76.027241954921607</v>
      </c>
      <c r="BI110">
        <v>75.395198465253102</v>
      </c>
      <c r="BJ110">
        <v>74.023105230197999</v>
      </c>
      <c r="BK110" t="s">
        <v>1405</v>
      </c>
      <c r="BL110" t="s">
        <v>1406</v>
      </c>
      <c r="BM110">
        <v>27691.019</v>
      </c>
      <c r="BN110">
        <v>-0.63204348966850399</v>
      </c>
      <c r="BO110">
        <v>1.7765021005179</v>
      </c>
      <c r="BP110">
        <v>0</v>
      </c>
      <c r="BQ110">
        <v>5.9216736683930096</v>
      </c>
      <c r="BR110">
        <v>5.9216736683930096</v>
      </c>
      <c r="BS110" t="s">
        <v>1400</v>
      </c>
      <c r="BT110" t="s">
        <v>1401</v>
      </c>
      <c r="BU110" t="s">
        <v>1402</v>
      </c>
      <c r="CF110" t="s">
        <v>103</v>
      </c>
      <c r="CM110">
        <v>76.791534423828097</v>
      </c>
      <c r="CN110">
        <v>7.8286252021789604</v>
      </c>
      <c r="CO110">
        <v>79.872573852539105</v>
      </c>
      <c r="CT110">
        <v>52.026634216308601</v>
      </c>
      <c r="CW110">
        <v>3.3818833827972399</v>
      </c>
      <c r="CY110">
        <v>23.470085144043001</v>
      </c>
      <c r="CZ110">
        <v>62.969959259033203</v>
      </c>
      <c r="DA110">
        <v>1.5657250404357901</v>
      </c>
      <c r="DB110">
        <v>10</v>
      </c>
      <c r="DD110">
        <v>10</v>
      </c>
      <c r="DE110">
        <v>4.6940170288085898</v>
      </c>
      <c r="DF110">
        <v>6.5649355173110999</v>
      </c>
      <c r="DG110">
        <v>9.3784793104444208</v>
      </c>
    </row>
    <row r="111" spans="1:111" x14ac:dyDescent="0.2">
      <c r="A111" s="3">
        <v>1</v>
      </c>
      <c r="B111" s="3" t="s">
        <v>721</v>
      </c>
      <c r="C111" s="3" t="s">
        <v>722</v>
      </c>
      <c r="D111" s="1"/>
      <c r="E111" s="1">
        <f t="shared" si="9"/>
        <v>3.4285714285714302</v>
      </c>
      <c r="F111" s="1">
        <f t="shared" si="10"/>
        <v>3.4285714285714302</v>
      </c>
      <c r="G111" s="1">
        <f t="shared" si="11"/>
        <v>0</v>
      </c>
      <c r="H111" s="1"/>
      <c r="I111" s="1">
        <v>109</v>
      </c>
      <c r="J111" s="1">
        <v>14.846608120000001</v>
      </c>
      <c r="K111" s="1">
        <v>24.212998389999999</v>
      </c>
      <c r="L111" s="1">
        <v>1.6</v>
      </c>
      <c r="M111" s="1">
        <v>4.4000000000000004</v>
      </c>
      <c r="N111" s="1">
        <v>1.6</v>
      </c>
      <c r="O111" s="1">
        <v>10</v>
      </c>
      <c r="P111" s="1">
        <v>4</v>
      </c>
      <c r="Q111" s="1">
        <v>3.6</v>
      </c>
      <c r="R111" s="1">
        <v>8.3000000000000007</v>
      </c>
      <c r="S111" s="1">
        <v>0</v>
      </c>
      <c r="T111" s="1">
        <v>0</v>
      </c>
      <c r="U111" s="1">
        <v>5.2</v>
      </c>
      <c r="V111" s="1">
        <v>1.2</v>
      </c>
      <c r="W111" s="1">
        <v>10</v>
      </c>
      <c r="X111" s="1">
        <v>5.6</v>
      </c>
      <c r="Y111" s="1">
        <v>5.4</v>
      </c>
      <c r="Z111" s="1">
        <v>3.7</v>
      </c>
      <c r="AA111" s="1">
        <v>3.2</v>
      </c>
      <c r="AB111" s="1">
        <v>0</v>
      </c>
      <c r="AC111" s="1">
        <v>2.2999999999999998</v>
      </c>
      <c r="AD111" s="1">
        <v>0</v>
      </c>
      <c r="AE111" s="1">
        <v>0</v>
      </c>
      <c r="AF111" s="1">
        <v>4</v>
      </c>
      <c r="AG111" s="1">
        <v>1.1000000000000001</v>
      </c>
      <c r="AH111" s="1">
        <v>13.4</v>
      </c>
      <c r="AI111" s="1">
        <v>2.2999999999999998</v>
      </c>
      <c r="AJ111" s="1">
        <v>9.1999999999999993</v>
      </c>
      <c r="AK111" s="1">
        <v>4</v>
      </c>
      <c r="AL111" s="1">
        <v>6</v>
      </c>
      <c r="AM111" s="1">
        <v>0.7</v>
      </c>
      <c r="AN111" s="1">
        <v>3.3</v>
      </c>
      <c r="AO111" s="1">
        <v>2.4</v>
      </c>
      <c r="AP111" s="1">
        <v>3.9</v>
      </c>
      <c r="AQ111" s="1">
        <v>3.9583333333333299</v>
      </c>
      <c r="AR111" s="1">
        <v>2.4</v>
      </c>
      <c r="AS111" s="1">
        <v>3.4285714285714302</v>
      </c>
      <c r="AT111" s="1" t="s">
        <v>724</v>
      </c>
      <c r="AU111" s="1" t="s">
        <v>98</v>
      </c>
      <c r="AV111" s="1" t="s">
        <v>105</v>
      </c>
      <c r="AW111" s="1"/>
      <c r="AX111" s="1" t="s">
        <v>105</v>
      </c>
      <c r="AY111" s="1"/>
      <c r="AZ111" s="1">
        <v>10</v>
      </c>
      <c r="BA111" s="1"/>
      <c r="BB111" s="1"/>
      <c r="BC111" s="1"/>
      <c r="BD111" s="1"/>
      <c r="BE111" s="1"/>
      <c r="BF111" s="1"/>
      <c r="BG111" s="1"/>
      <c r="BH111" s="1"/>
      <c r="BS111" t="s">
        <v>1400</v>
      </c>
      <c r="BT111" t="s">
        <v>1401</v>
      </c>
      <c r="BU111" t="s">
        <v>1402</v>
      </c>
      <c r="CF111" t="s">
        <v>103</v>
      </c>
    </row>
    <row r="112" spans="1:111" x14ac:dyDescent="0.2">
      <c r="A112" s="3">
        <v>1</v>
      </c>
      <c r="B112" s="3" t="s">
        <v>725</v>
      </c>
      <c r="C112" s="3" t="s">
        <v>726</v>
      </c>
      <c r="D112" s="1"/>
      <c r="E112" s="1">
        <f t="shared" si="9"/>
        <v>5.8309518948453025</v>
      </c>
      <c r="F112" s="1">
        <f t="shared" si="10"/>
        <v>4.8571428571428603</v>
      </c>
      <c r="G112" s="1">
        <f t="shared" si="11"/>
        <v>7</v>
      </c>
      <c r="H112" s="1"/>
      <c r="I112" s="1">
        <v>110</v>
      </c>
      <c r="J112" s="1">
        <v>65.682965089999996</v>
      </c>
      <c r="K112" s="1">
        <v>28.466423880000001</v>
      </c>
      <c r="L112" s="1">
        <v>7.8</v>
      </c>
      <c r="M112" s="1">
        <v>5.2</v>
      </c>
      <c r="N112" s="1">
        <v>7.8</v>
      </c>
      <c r="O112" s="1">
        <v>6</v>
      </c>
      <c r="P112" s="1">
        <v>8</v>
      </c>
      <c r="Q112" s="1">
        <v>1.8</v>
      </c>
      <c r="R112" s="1">
        <v>4.4000000000000004</v>
      </c>
      <c r="S112" s="1">
        <v>0.3</v>
      </c>
      <c r="T112" s="1">
        <v>0.3</v>
      </c>
      <c r="U112" s="1">
        <v>4.0999999999999996</v>
      </c>
      <c r="V112" s="1">
        <v>1.1000000000000001</v>
      </c>
      <c r="W112" s="1">
        <v>1.8</v>
      </c>
      <c r="X112" s="1">
        <v>1.5</v>
      </c>
      <c r="Y112" s="1">
        <v>2.8</v>
      </c>
      <c r="Z112" s="1">
        <v>2.5</v>
      </c>
      <c r="AA112" s="1">
        <v>5.2</v>
      </c>
      <c r="AB112" s="1">
        <v>0.2</v>
      </c>
      <c r="AC112" s="1">
        <v>2.6</v>
      </c>
      <c r="AD112" s="1">
        <v>0</v>
      </c>
      <c r="AE112" s="1">
        <v>0</v>
      </c>
      <c r="AF112" s="1">
        <v>7</v>
      </c>
      <c r="AG112" s="1">
        <v>2.8</v>
      </c>
      <c r="AH112" s="1">
        <v>15.7</v>
      </c>
      <c r="AI112" s="1">
        <v>3.8</v>
      </c>
      <c r="AJ112" s="1">
        <v>13.5</v>
      </c>
      <c r="AK112" s="1">
        <v>6.4</v>
      </c>
      <c r="AL112" s="1">
        <v>4</v>
      </c>
      <c r="AM112" s="1">
        <v>0.4</v>
      </c>
      <c r="AN112" s="1">
        <v>3.7</v>
      </c>
      <c r="AO112" s="1">
        <v>4.7</v>
      </c>
      <c r="AP112" s="1">
        <v>3.7</v>
      </c>
      <c r="AQ112" s="1">
        <v>3.125</v>
      </c>
      <c r="AR112" s="1">
        <v>3.4</v>
      </c>
      <c r="AS112" s="1">
        <v>4.8571428571428603</v>
      </c>
      <c r="AT112" s="1" t="s">
        <v>552</v>
      </c>
      <c r="AU112" s="1" t="s">
        <v>98</v>
      </c>
      <c r="AV112" s="1" t="s">
        <v>727</v>
      </c>
      <c r="AW112" s="1" t="s">
        <v>100</v>
      </c>
      <c r="AX112" s="1" t="s">
        <v>137</v>
      </c>
      <c r="AY112" s="1" t="s">
        <v>100</v>
      </c>
      <c r="AZ112" s="1">
        <v>10</v>
      </c>
      <c r="BA112" s="1">
        <v>7</v>
      </c>
      <c r="BB112" s="1">
        <v>0</v>
      </c>
      <c r="BC112" s="1" t="s">
        <v>1508</v>
      </c>
      <c r="BD112" s="1" t="s">
        <v>1404</v>
      </c>
      <c r="BE112" s="1"/>
      <c r="BF112" s="1">
        <v>1.7317525685235</v>
      </c>
      <c r="BG112" s="1">
        <v>1.6744360281358199</v>
      </c>
      <c r="BH112" s="1">
        <v>2.5380354697938201</v>
      </c>
      <c r="BI112">
        <v>2.41106105227114</v>
      </c>
      <c r="BJ112">
        <v>2.29468620817689</v>
      </c>
      <c r="BK112" t="s">
        <v>1405</v>
      </c>
      <c r="BL112" t="s">
        <v>1408</v>
      </c>
      <c r="BM112">
        <v>128932.753</v>
      </c>
      <c r="BN112">
        <v>-0.12697441752267999</v>
      </c>
      <c r="BO112">
        <v>0.86359944165799996</v>
      </c>
      <c r="BP112">
        <v>0</v>
      </c>
      <c r="BQ112">
        <v>2.8786648055266699</v>
      </c>
      <c r="BR112">
        <v>2.8786648055266699</v>
      </c>
      <c r="BS112" t="s">
        <v>1400</v>
      </c>
      <c r="BT112" t="s">
        <v>1401</v>
      </c>
      <c r="BU112" t="s">
        <v>1402</v>
      </c>
      <c r="BW112">
        <v>3.423</v>
      </c>
      <c r="BX112">
        <v>3.331</v>
      </c>
      <c r="BY112">
        <v>3.4929999999999999</v>
      </c>
      <c r="BZ112">
        <v>5.2380000000000004</v>
      </c>
      <c r="CA112">
        <v>5.8</v>
      </c>
      <c r="CB112">
        <v>4.6660000000000004</v>
      </c>
      <c r="CC112">
        <v>4.423</v>
      </c>
      <c r="CD112">
        <v>4.1870000000000003</v>
      </c>
      <c r="CE112">
        <v>4.0350000000000001</v>
      </c>
      <c r="CF112" t="s">
        <v>1509</v>
      </c>
      <c r="CG112">
        <v>0.56199999999999894</v>
      </c>
      <c r="CH112">
        <v>1.7450000000000001</v>
      </c>
      <c r="CI112">
        <v>5.6199999999999903</v>
      </c>
      <c r="CJ112">
        <v>5.81666666666667</v>
      </c>
      <c r="CK112">
        <v>5.81666666666667</v>
      </c>
      <c r="CL112">
        <v>0</v>
      </c>
      <c r="CM112">
        <v>55.920158386230497</v>
      </c>
      <c r="CO112">
        <v>98.393783569335895</v>
      </c>
      <c r="CR112">
        <v>74.694351196289105</v>
      </c>
      <c r="CS112">
        <v>7.3753194808959996</v>
      </c>
      <c r="CV112">
        <v>5.0681591033935502</v>
      </c>
      <c r="CX112">
        <v>2.07922458648682</v>
      </c>
      <c r="CY112">
        <v>12.193087577819799</v>
      </c>
      <c r="DB112">
        <v>0.80310821533203103</v>
      </c>
      <c r="DC112">
        <v>2.0272636413574201</v>
      </c>
      <c r="DE112">
        <v>2.4386175155639598</v>
      </c>
      <c r="DF112">
        <v>1.7563297907511399</v>
      </c>
      <c r="DG112">
        <v>2.5090425582159099</v>
      </c>
    </row>
    <row r="113" spans="1:111" x14ac:dyDescent="0.2">
      <c r="A113" s="3">
        <v>1</v>
      </c>
      <c r="B113" s="3" t="s">
        <v>731</v>
      </c>
      <c r="C113" s="3" t="s">
        <v>732</v>
      </c>
      <c r="D113" s="1"/>
      <c r="E113" s="1">
        <f t="shared" si="9"/>
        <v>7.7142857142857197</v>
      </c>
      <c r="F113" s="1">
        <f t="shared" si="10"/>
        <v>7.7142857142857197</v>
      </c>
      <c r="G113" s="1">
        <f t="shared" si="11"/>
        <v>0</v>
      </c>
      <c r="H113" s="1"/>
      <c r="I113" s="1">
        <v>111</v>
      </c>
      <c r="J113" s="1">
        <v>22.950524380000001</v>
      </c>
      <c r="K113" s="1">
        <v>8.3333333029999999</v>
      </c>
      <c r="L113" s="1">
        <v>2.6</v>
      </c>
      <c r="M113" s="1">
        <v>1.1000000000000001</v>
      </c>
      <c r="N113" s="1">
        <v>2.6</v>
      </c>
      <c r="O113" s="1">
        <v>8.4</v>
      </c>
      <c r="P113" s="1">
        <v>7.7</v>
      </c>
      <c r="Q113" s="1"/>
      <c r="R113" s="1"/>
      <c r="S113" s="1">
        <v>0</v>
      </c>
      <c r="T113" s="1">
        <v>0</v>
      </c>
      <c r="U113" s="1">
        <v>5.4</v>
      </c>
      <c r="V113" s="1">
        <v>1</v>
      </c>
      <c r="W113" s="1">
        <v>10</v>
      </c>
      <c r="X113" s="1">
        <v>5.5</v>
      </c>
      <c r="Y113" s="1">
        <v>5.4</v>
      </c>
      <c r="Z113" s="1">
        <v>3.8</v>
      </c>
      <c r="AA113" s="1"/>
      <c r="AB113" s="1"/>
      <c r="AC113" s="1">
        <v>3.8</v>
      </c>
      <c r="AD113" s="1">
        <v>0</v>
      </c>
      <c r="AE113" s="1">
        <v>0</v>
      </c>
      <c r="AF113" s="1"/>
      <c r="AG113" s="1"/>
      <c r="AH113" s="1"/>
      <c r="AI113" s="1"/>
      <c r="AJ113" s="1">
        <v>30.5</v>
      </c>
      <c r="AK113" s="1">
        <v>10</v>
      </c>
      <c r="AL113" s="1">
        <v>4</v>
      </c>
      <c r="AM113" s="1">
        <v>8.6999999999999993</v>
      </c>
      <c r="AN113" s="1">
        <v>7.6</v>
      </c>
      <c r="AO113" s="1">
        <v>4.7</v>
      </c>
      <c r="AP113" s="1">
        <v>5</v>
      </c>
      <c r="AQ113" s="1">
        <v>8.5416666666666696</v>
      </c>
      <c r="AR113" s="1">
        <v>5.4</v>
      </c>
      <c r="AS113" s="1">
        <v>7.7142857142857197</v>
      </c>
      <c r="AT113" s="1" t="s">
        <v>161</v>
      </c>
      <c r="AU113" s="1" t="s">
        <v>98</v>
      </c>
      <c r="AV113" s="1" t="s">
        <v>105</v>
      </c>
      <c r="AW113" s="1"/>
      <c r="AX113" s="1" t="s">
        <v>105</v>
      </c>
      <c r="AY113" s="1"/>
      <c r="AZ113" s="1">
        <v>10</v>
      </c>
      <c r="BA113" s="1"/>
      <c r="BB113" s="1"/>
      <c r="BC113" s="1"/>
      <c r="BD113" s="1"/>
      <c r="BE113" s="1"/>
      <c r="BF113" s="1"/>
      <c r="BG113" s="1"/>
      <c r="BH113" s="1"/>
      <c r="BS113" t="s">
        <v>1400</v>
      </c>
      <c r="BT113" t="s">
        <v>1401</v>
      </c>
      <c r="BU113" t="s">
        <v>1402</v>
      </c>
      <c r="CF113" t="s">
        <v>103</v>
      </c>
    </row>
    <row r="114" spans="1:111" x14ac:dyDescent="0.2">
      <c r="A114" s="3">
        <v>1</v>
      </c>
      <c r="B114" s="3" t="s">
        <v>733</v>
      </c>
      <c r="C114" s="3" t="s">
        <v>734</v>
      </c>
      <c r="D114" s="1"/>
      <c r="E114" s="1">
        <f t="shared" si="9"/>
        <v>5.8554004376912001</v>
      </c>
      <c r="F114" s="1">
        <f t="shared" si="10"/>
        <v>3.4285714285714302</v>
      </c>
      <c r="G114" s="1">
        <f t="shared" si="11"/>
        <v>10</v>
      </c>
      <c r="H114" s="1"/>
      <c r="I114" s="1">
        <v>112</v>
      </c>
      <c r="J114" s="1"/>
      <c r="K114" s="1"/>
      <c r="L114" s="1"/>
      <c r="M114" s="1"/>
      <c r="N114" s="1"/>
      <c r="O114" s="1">
        <v>6.4</v>
      </c>
      <c r="P114" s="1">
        <v>5.8</v>
      </c>
      <c r="Q114" s="1">
        <v>0.9</v>
      </c>
      <c r="R114" s="1"/>
      <c r="S114" s="1">
        <v>0</v>
      </c>
      <c r="T114" s="1">
        <v>0</v>
      </c>
      <c r="U114" s="1">
        <v>3.3</v>
      </c>
      <c r="V114" s="1">
        <v>6.3</v>
      </c>
      <c r="W114" s="1">
        <v>5.5</v>
      </c>
      <c r="X114" s="1">
        <v>5.9</v>
      </c>
      <c r="Y114" s="1">
        <v>4.5999999999999996</v>
      </c>
      <c r="Z114" s="1">
        <v>2.9</v>
      </c>
      <c r="AA114" s="1">
        <v>3</v>
      </c>
      <c r="AB114" s="1">
        <v>0.4</v>
      </c>
      <c r="AC114" s="1">
        <v>2.1</v>
      </c>
      <c r="AD114" s="1">
        <v>0</v>
      </c>
      <c r="AE114" s="1">
        <v>0</v>
      </c>
      <c r="AF114" s="1">
        <v>14</v>
      </c>
      <c r="AG114" s="1">
        <v>6.7</v>
      </c>
      <c r="AH114" s="1"/>
      <c r="AI114" s="1"/>
      <c r="AJ114" s="1">
        <v>9.3000000000000007</v>
      </c>
      <c r="AK114" s="1">
        <v>4.0999999999999996</v>
      </c>
      <c r="AL114" s="1">
        <v>6</v>
      </c>
      <c r="AM114" s="1">
        <v>0.2</v>
      </c>
      <c r="AN114" s="1">
        <v>3.4</v>
      </c>
      <c r="AO114" s="1">
        <v>2.8</v>
      </c>
      <c r="AP114" s="1">
        <v>3.7</v>
      </c>
      <c r="AQ114" s="1">
        <v>3.125</v>
      </c>
      <c r="AR114" s="1">
        <v>2.4</v>
      </c>
      <c r="AS114" s="1">
        <v>3.4285714285714302</v>
      </c>
      <c r="AT114" s="1" t="s">
        <v>736</v>
      </c>
      <c r="AU114" s="1" t="s">
        <v>98</v>
      </c>
      <c r="AV114" s="1" t="s">
        <v>468</v>
      </c>
      <c r="AW114" s="1" t="s">
        <v>98</v>
      </c>
      <c r="AX114" s="1" t="s">
        <v>105</v>
      </c>
      <c r="AY114" s="1"/>
      <c r="AZ114" s="1">
        <v>10</v>
      </c>
      <c r="BA114" s="1">
        <v>10</v>
      </c>
      <c r="BB114" s="1"/>
      <c r="BC114" s="1"/>
      <c r="BD114" s="1"/>
      <c r="BE114" s="1"/>
      <c r="BF114" s="1"/>
      <c r="BG114" s="1"/>
      <c r="BH114" s="1"/>
      <c r="BS114" t="s">
        <v>1400</v>
      </c>
      <c r="BT114" t="s">
        <v>1401</v>
      </c>
      <c r="BU114" t="s">
        <v>1402</v>
      </c>
      <c r="BW114">
        <v>22.375</v>
      </c>
      <c r="BX114">
        <v>20.725000000000001</v>
      </c>
      <c r="BY114">
        <v>17.25</v>
      </c>
      <c r="BZ114">
        <v>20.248000000000001</v>
      </c>
      <c r="CA114">
        <v>17.829999999999998</v>
      </c>
      <c r="CB114">
        <v>16.686</v>
      </c>
      <c r="CC114">
        <v>16.009</v>
      </c>
      <c r="CD114">
        <v>15.733000000000001</v>
      </c>
      <c r="CE114">
        <v>15.352</v>
      </c>
      <c r="CF114" t="s">
        <v>1510</v>
      </c>
      <c r="CG114">
        <v>-2.4180000000000001</v>
      </c>
      <c r="CH114">
        <v>2.9980000000000002</v>
      </c>
      <c r="CI114">
        <v>0</v>
      </c>
      <c r="CJ114">
        <v>9.9933333333333394</v>
      </c>
      <c r="CK114">
        <v>9.9933333333333394</v>
      </c>
    </row>
    <row r="115" spans="1:111" x14ac:dyDescent="0.2">
      <c r="A115" s="3">
        <v>1</v>
      </c>
      <c r="B115" s="3" t="s">
        <v>737</v>
      </c>
      <c r="C115" s="3" t="s">
        <v>738</v>
      </c>
      <c r="D115" s="1"/>
      <c r="E115" s="1">
        <f t="shared" si="9"/>
        <v>3.9480456175283996</v>
      </c>
      <c r="F115" s="1">
        <f t="shared" si="10"/>
        <v>10</v>
      </c>
      <c r="G115" s="1">
        <f t="shared" si="11"/>
        <v>1.5587064198085201</v>
      </c>
      <c r="H115" s="1"/>
      <c r="I115" s="1">
        <v>113</v>
      </c>
      <c r="J115" s="1">
        <v>1.3057991339999999</v>
      </c>
      <c r="K115" s="1">
        <v>15.513925260000001</v>
      </c>
      <c r="L115" s="1">
        <v>0</v>
      </c>
      <c r="M115" s="1">
        <v>2.6</v>
      </c>
      <c r="N115" s="1">
        <v>0</v>
      </c>
      <c r="O115" s="1">
        <v>4</v>
      </c>
      <c r="P115" s="1">
        <v>4.2</v>
      </c>
      <c r="Q115" s="1">
        <v>5.2</v>
      </c>
      <c r="R115" s="1">
        <v>9.1999999999999993</v>
      </c>
      <c r="S115" s="1">
        <v>0.8</v>
      </c>
      <c r="T115" s="1">
        <v>0.8</v>
      </c>
      <c r="U115" s="1">
        <v>4.7</v>
      </c>
      <c r="V115" s="1">
        <v>9.5</v>
      </c>
      <c r="W115" s="1">
        <v>0.8</v>
      </c>
      <c r="X115" s="1">
        <v>5.2</v>
      </c>
      <c r="Y115" s="1">
        <v>4.9000000000000004</v>
      </c>
      <c r="Z115" s="1">
        <v>9.5</v>
      </c>
      <c r="AA115" s="1">
        <v>9.9</v>
      </c>
      <c r="AB115" s="1">
        <v>5</v>
      </c>
      <c r="AC115" s="1">
        <v>8.1</v>
      </c>
      <c r="AD115" s="1">
        <v>4.5999999999999996</v>
      </c>
      <c r="AE115" s="1">
        <v>2.2999999999999998</v>
      </c>
      <c r="AF115" s="1">
        <v>3</v>
      </c>
      <c r="AG115" s="1">
        <v>0.6</v>
      </c>
      <c r="AH115" s="1">
        <v>24.6</v>
      </c>
      <c r="AI115" s="1">
        <v>9.6999999999999993</v>
      </c>
      <c r="AJ115" s="1">
        <v>2.4</v>
      </c>
      <c r="AK115" s="1">
        <v>0.2</v>
      </c>
      <c r="AL115" s="1">
        <v>7</v>
      </c>
      <c r="AM115" s="1">
        <v>1</v>
      </c>
      <c r="AN115" s="1">
        <v>4.5</v>
      </c>
      <c r="AO115" s="1">
        <v>4.2</v>
      </c>
      <c r="AP115" s="1">
        <v>4.5999999999999996</v>
      </c>
      <c r="AQ115" s="1">
        <v>6.875</v>
      </c>
      <c r="AR115" s="1">
        <v>7</v>
      </c>
      <c r="AS115" s="1">
        <v>10</v>
      </c>
      <c r="AT115" s="1" t="s">
        <v>219</v>
      </c>
      <c r="AU115" s="1" t="s">
        <v>98</v>
      </c>
      <c r="AV115" s="1" t="s">
        <v>105</v>
      </c>
      <c r="AW115" s="1"/>
      <c r="AX115" s="1" t="s">
        <v>102</v>
      </c>
      <c r="AY115" s="1" t="s">
        <v>98</v>
      </c>
      <c r="AZ115" s="1">
        <v>10</v>
      </c>
      <c r="BA115" s="1"/>
      <c r="BB115" s="1">
        <v>7</v>
      </c>
      <c r="BC115" s="1" t="s">
        <v>1511</v>
      </c>
      <c r="BD115" s="1" t="s">
        <v>1404</v>
      </c>
      <c r="BE115" s="1">
        <v>44.310108536900003</v>
      </c>
      <c r="BF115" s="1">
        <v>43.285677932948197</v>
      </c>
      <c r="BG115" s="1">
        <v>42.0417770351605</v>
      </c>
      <c r="BH115" s="1">
        <v>45.021875933648502</v>
      </c>
      <c r="BI115">
        <v>45.4781482687752</v>
      </c>
      <c r="BJ115">
        <v>43.979318722555803</v>
      </c>
      <c r="BK115" t="s">
        <v>1405</v>
      </c>
      <c r="BL115" t="s">
        <v>1406</v>
      </c>
      <c r="BM115">
        <v>20250.833999999999</v>
      </c>
      <c r="BN115">
        <v>0.45627233512669801</v>
      </c>
      <c r="BO115">
        <v>2.9800988984879999</v>
      </c>
      <c r="BP115">
        <v>4.56272335126698</v>
      </c>
      <c r="BQ115">
        <v>9.9336629949600095</v>
      </c>
      <c r="BR115">
        <v>9.9336629949600095</v>
      </c>
      <c r="BS115" t="s">
        <v>1400</v>
      </c>
      <c r="BT115" t="s">
        <v>1401</v>
      </c>
      <c r="BU115" t="s">
        <v>1402</v>
      </c>
      <c r="CF115" t="s">
        <v>103</v>
      </c>
      <c r="CM115">
        <v>60.3731079101562</v>
      </c>
      <c r="CO115">
        <v>99.846244812011705</v>
      </c>
      <c r="CP115">
        <v>76.799568176269503</v>
      </c>
      <c r="CQ115">
        <v>12.741400718689</v>
      </c>
      <c r="CS115">
        <v>6.6774954795837402</v>
      </c>
      <c r="CT115">
        <v>39.793338775634801</v>
      </c>
      <c r="CY115">
        <v>10.526556968689</v>
      </c>
      <c r="CZ115">
        <v>46.540130615234403</v>
      </c>
      <c r="DB115">
        <v>7.6877593994140597E-2</v>
      </c>
      <c r="DE115">
        <v>2.1053113937377899</v>
      </c>
      <c r="DF115">
        <v>1.0910944938659699</v>
      </c>
      <c r="DG115">
        <v>1.5587064198085201</v>
      </c>
    </row>
    <row r="116" spans="1:111" x14ac:dyDescent="0.2">
      <c r="A116" s="3">
        <v>1</v>
      </c>
      <c r="B116" s="3" t="s">
        <v>742</v>
      </c>
      <c r="C116" s="3" t="s">
        <v>743</v>
      </c>
      <c r="D116" s="1"/>
      <c r="E116" s="1">
        <f t="shared" si="9"/>
        <v>1</v>
      </c>
      <c r="F116" s="1">
        <f t="shared" si="10"/>
        <v>1</v>
      </c>
      <c r="G116" s="1">
        <f t="shared" si="11"/>
        <v>0</v>
      </c>
      <c r="H116" s="1"/>
      <c r="I116" s="1">
        <v>114</v>
      </c>
      <c r="J116" s="1"/>
      <c r="K116" s="1"/>
      <c r="L116" s="1"/>
      <c r="M116" s="1"/>
      <c r="N116" s="1"/>
      <c r="O116" s="1">
        <v>10</v>
      </c>
      <c r="P116" s="1">
        <v>9.5</v>
      </c>
      <c r="Q116" s="1"/>
      <c r="R116" s="1">
        <v>2.1</v>
      </c>
      <c r="S116" s="1">
        <v>2.4</v>
      </c>
      <c r="T116" s="1">
        <v>2.4</v>
      </c>
      <c r="U116" s="1">
        <v>6</v>
      </c>
      <c r="V116" s="1">
        <v>0.1</v>
      </c>
      <c r="W116" s="1">
        <v>10</v>
      </c>
      <c r="X116" s="1">
        <v>5.0999999999999996</v>
      </c>
      <c r="Y116" s="1">
        <v>5.5</v>
      </c>
      <c r="Z116" s="1">
        <v>0.4</v>
      </c>
      <c r="AA116" s="1"/>
      <c r="AB116" s="1">
        <v>0</v>
      </c>
      <c r="AC116" s="1">
        <v>0.2</v>
      </c>
      <c r="AD116" s="1">
        <v>0</v>
      </c>
      <c r="AE116" s="1">
        <v>0</v>
      </c>
      <c r="AF116" s="1">
        <v>20</v>
      </c>
      <c r="AG116" s="1">
        <v>10</v>
      </c>
      <c r="AH116" s="1">
        <v>10.8</v>
      </c>
      <c r="AI116" s="1">
        <v>0.5</v>
      </c>
      <c r="AJ116" s="1">
        <v>8.3000000000000007</v>
      </c>
      <c r="AK116" s="1">
        <v>3.5</v>
      </c>
      <c r="AL116" s="1">
        <v>3</v>
      </c>
      <c r="AM116" s="1">
        <v>0.2</v>
      </c>
      <c r="AN116" s="1">
        <v>1.8</v>
      </c>
      <c r="AO116" s="1">
        <v>1</v>
      </c>
      <c r="AP116" s="1">
        <v>3.3</v>
      </c>
      <c r="AQ116" s="1">
        <v>1.4583333333333299</v>
      </c>
      <c r="AR116" s="1">
        <v>0.7</v>
      </c>
      <c r="AS116" s="1">
        <v>1</v>
      </c>
      <c r="AT116" s="1" t="s">
        <v>271</v>
      </c>
      <c r="AU116" s="1" t="s">
        <v>98</v>
      </c>
      <c r="AV116" s="1" t="s">
        <v>745</v>
      </c>
      <c r="AW116" s="1" t="s">
        <v>96</v>
      </c>
      <c r="AX116" s="1" t="s">
        <v>183</v>
      </c>
      <c r="AY116" s="1" t="s">
        <v>96</v>
      </c>
      <c r="AZ116" s="1">
        <v>10</v>
      </c>
      <c r="BA116" s="1">
        <v>0</v>
      </c>
      <c r="BB116" s="1">
        <v>3</v>
      </c>
      <c r="BC116" s="1"/>
      <c r="BD116" s="1"/>
      <c r="BE116" s="1"/>
      <c r="BF116" s="1"/>
      <c r="BG116" s="1"/>
      <c r="BH116" s="1"/>
      <c r="BS116" t="s">
        <v>1400</v>
      </c>
      <c r="BT116" t="s">
        <v>1401</v>
      </c>
      <c r="BU116" t="s">
        <v>1402</v>
      </c>
      <c r="BW116">
        <v>4</v>
      </c>
      <c r="BX116">
        <v>3.6579999999999999</v>
      </c>
      <c r="BY116">
        <v>3.633</v>
      </c>
      <c r="BZ116">
        <v>4.2</v>
      </c>
      <c r="CA116">
        <v>4.2</v>
      </c>
      <c r="CB116">
        <v>4.2</v>
      </c>
      <c r="CC116">
        <v>4.0999999999999996</v>
      </c>
      <c r="CD116">
        <v>4</v>
      </c>
      <c r="CE116">
        <v>4</v>
      </c>
      <c r="CF116" t="s">
        <v>1512</v>
      </c>
      <c r="CG116">
        <v>0</v>
      </c>
      <c r="CH116">
        <v>0.56699999999999995</v>
      </c>
      <c r="CI116">
        <v>0</v>
      </c>
      <c r="CJ116">
        <v>1.89</v>
      </c>
      <c r="CK116">
        <v>1.89</v>
      </c>
    </row>
    <row r="117" spans="1:111" x14ac:dyDescent="0.2">
      <c r="A117" s="3">
        <v>1</v>
      </c>
      <c r="B117" s="3" t="s">
        <v>746</v>
      </c>
      <c r="C117" s="3" t="s">
        <v>747</v>
      </c>
      <c r="D117" s="1"/>
      <c r="E117" s="1">
        <f t="shared" si="9"/>
        <v>8.4024263844897789</v>
      </c>
      <c r="F117" s="1">
        <f t="shared" si="10"/>
        <v>7.1428571428571397</v>
      </c>
      <c r="G117" s="1">
        <f t="shared" si="11"/>
        <v>9.8841076805477996</v>
      </c>
      <c r="H117" s="1"/>
      <c r="I117" s="1">
        <v>115</v>
      </c>
      <c r="J117" s="1">
        <v>2.3373272749999998</v>
      </c>
      <c r="K117" s="1"/>
      <c r="L117" s="1">
        <v>0.1</v>
      </c>
      <c r="M117" s="1"/>
      <c r="N117" s="1">
        <v>0.1</v>
      </c>
      <c r="O117" s="1">
        <v>6.4</v>
      </c>
      <c r="P117" s="1">
        <v>3.1</v>
      </c>
      <c r="Q117" s="1">
        <v>6.3</v>
      </c>
      <c r="R117" s="1">
        <v>5.6</v>
      </c>
      <c r="S117" s="1">
        <v>0.7</v>
      </c>
      <c r="T117" s="1">
        <v>0.7</v>
      </c>
      <c r="U117" s="1">
        <v>4.4000000000000004</v>
      </c>
      <c r="V117" s="1">
        <v>1.7</v>
      </c>
      <c r="W117" s="1">
        <v>0.6</v>
      </c>
      <c r="X117" s="1">
        <v>1.2</v>
      </c>
      <c r="Y117" s="1">
        <v>2.8</v>
      </c>
      <c r="Z117" s="1">
        <v>6.4</v>
      </c>
      <c r="AA117" s="1">
        <v>8.3000000000000007</v>
      </c>
      <c r="AB117" s="1">
        <v>0.2</v>
      </c>
      <c r="AC117" s="1">
        <v>5</v>
      </c>
      <c r="AD117" s="1">
        <v>1.5</v>
      </c>
      <c r="AE117" s="1">
        <v>0.7</v>
      </c>
      <c r="AF117" s="1">
        <v>6</v>
      </c>
      <c r="AG117" s="1">
        <v>2.2000000000000002</v>
      </c>
      <c r="AH117" s="1">
        <v>24.2</v>
      </c>
      <c r="AI117" s="1">
        <v>9.5</v>
      </c>
      <c r="AJ117" s="1">
        <v>3.9</v>
      </c>
      <c r="AK117" s="1">
        <v>1.1000000000000001</v>
      </c>
      <c r="AL117" s="1">
        <v>4</v>
      </c>
      <c r="AM117" s="1">
        <v>6.5</v>
      </c>
      <c r="AN117" s="1">
        <v>5.3</v>
      </c>
      <c r="AO117" s="1">
        <v>3.4</v>
      </c>
      <c r="AP117" s="1">
        <v>3.1</v>
      </c>
      <c r="AQ117" s="1">
        <v>0.625</v>
      </c>
      <c r="AR117" s="1">
        <v>5</v>
      </c>
      <c r="AS117" s="1">
        <v>7.1428571428571397</v>
      </c>
      <c r="AT117" s="1" t="s">
        <v>212</v>
      </c>
      <c r="AU117" s="1" t="s">
        <v>96</v>
      </c>
      <c r="AV117" s="1" t="s">
        <v>749</v>
      </c>
      <c r="AW117" s="1" t="s">
        <v>96</v>
      </c>
      <c r="AX117" s="1" t="s">
        <v>137</v>
      </c>
      <c r="AY117" s="1" t="s">
        <v>100</v>
      </c>
      <c r="AZ117" s="1">
        <v>0</v>
      </c>
      <c r="BA117" s="1">
        <v>0</v>
      </c>
      <c r="BB117" s="1">
        <v>0</v>
      </c>
      <c r="BC117" s="1"/>
      <c r="BD117" s="1"/>
      <c r="BE117" s="1"/>
      <c r="BF117" s="1"/>
      <c r="BG117" s="1"/>
      <c r="BH117" s="1"/>
      <c r="BS117" t="s">
        <v>1400</v>
      </c>
      <c r="BT117" t="s">
        <v>1401</v>
      </c>
      <c r="BU117" t="s">
        <v>1402</v>
      </c>
      <c r="CF117" t="s">
        <v>103</v>
      </c>
      <c r="CM117">
        <v>34.544742584228501</v>
      </c>
      <c r="CN117">
        <v>56.577491760253899</v>
      </c>
      <c r="CO117">
        <v>98.486747741699205</v>
      </c>
      <c r="CP117">
        <v>72.033638000488295</v>
      </c>
      <c r="CQ117">
        <v>45.6102485656738</v>
      </c>
      <c r="CS117">
        <v>0.45182710886001598</v>
      </c>
      <c r="CU117">
        <v>53.456748962402301</v>
      </c>
      <c r="CV117">
        <v>34.013252258300803</v>
      </c>
      <c r="CX117">
        <v>9.1189460754394496</v>
      </c>
      <c r="CZ117">
        <v>51.741153717041001</v>
      </c>
      <c r="DA117">
        <v>10</v>
      </c>
      <c r="DB117">
        <v>0.75662612915039096</v>
      </c>
      <c r="DC117">
        <v>10</v>
      </c>
      <c r="DF117">
        <v>6.9188753763834603</v>
      </c>
      <c r="DG117">
        <v>9.8841076805477996</v>
      </c>
    </row>
    <row r="118" spans="1:111" x14ac:dyDescent="0.2">
      <c r="A118" s="3">
        <v>1</v>
      </c>
      <c r="B118" s="3" t="s">
        <v>751</v>
      </c>
      <c r="C118" s="3" t="s">
        <v>752</v>
      </c>
      <c r="D118" s="1"/>
      <c r="E118" s="1">
        <f t="shared" si="9"/>
        <v>3.1428571428571401</v>
      </c>
      <c r="F118" s="1">
        <f t="shared" si="10"/>
        <v>3.1428571428571401</v>
      </c>
      <c r="G118" s="1">
        <f t="shared" si="11"/>
        <v>0</v>
      </c>
      <c r="H118" s="1"/>
      <c r="I118" s="1">
        <v>116</v>
      </c>
      <c r="J118" s="1">
        <v>56.44447529</v>
      </c>
      <c r="K118" s="1">
        <v>50.777448120000003</v>
      </c>
      <c r="L118" s="1">
        <v>6.7</v>
      </c>
      <c r="M118" s="1">
        <v>9.8000000000000007</v>
      </c>
      <c r="N118" s="1">
        <v>6.7</v>
      </c>
      <c r="O118" s="1">
        <v>5.6</v>
      </c>
      <c r="P118" s="1">
        <v>6.7</v>
      </c>
      <c r="Q118" s="1">
        <v>3</v>
      </c>
      <c r="R118" s="1">
        <v>3</v>
      </c>
      <c r="S118" s="1">
        <v>0.1</v>
      </c>
      <c r="T118" s="1">
        <v>0.1</v>
      </c>
      <c r="U118" s="1">
        <v>3.7</v>
      </c>
      <c r="V118" s="1">
        <v>4.2</v>
      </c>
      <c r="W118" s="1">
        <v>8.1999999999999993</v>
      </c>
      <c r="X118" s="1">
        <v>6.2</v>
      </c>
      <c r="Y118" s="1">
        <v>4.9000000000000004</v>
      </c>
      <c r="Z118" s="1">
        <v>1.7</v>
      </c>
      <c r="AA118" s="1">
        <v>1</v>
      </c>
      <c r="AB118" s="1">
        <v>0.2</v>
      </c>
      <c r="AC118" s="1">
        <v>1</v>
      </c>
      <c r="AD118" s="1">
        <v>0</v>
      </c>
      <c r="AE118" s="1">
        <v>0</v>
      </c>
      <c r="AF118" s="1">
        <v>15</v>
      </c>
      <c r="AG118" s="1">
        <v>7.2</v>
      </c>
      <c r="AH118" s="1">
        <v>20.6</v>
      </c>
      <c r="AI118" s="1">
        <v>7.1</v>
      </c>
      <c r="AJ118" s="1">
        <v>9</v>
      </c>
      <c r="AK118" s="1">
        <v>3.9</v>
      </c>
      <c r="AL118" s="1">
        <v>6</v>
      </c>
      <c r="AM118" s="1">
        <v>0.3</v>
      </c>
      <c r="AN118" s="1">
        <v>4.3</v>
      </c>
      <c r="AO118" s="1">
        <v>4</v>
      </c>
      <c r="AP118" s="1">
        <v>4.5</v>
      </c>
      <c r="AQ118" s="1">
        <v>6.4583333333333304</v>
      </c>
      <c r="AR118" s="1">
        <v>2.2000000000000002</v>
      </c>
      <c r="AS118" s="1">
        <v>3.1428571428571401</v>
      </c>
      <c r="AT118" s="1" t="s">
        <v>635</v>
      </c>
      <c r="AU118" s="1" t="s">
        <v>98</v>
      </c>
      <c r="AV118" s="1" t="s">
        <v>105</v>
      </c>
      <c r="AW118" s="1"/>
      <c r="AX118" s="1" t="s">
        <v>105</v>
      </c>
      <c r="AY118" s="1"/>
      <c r="AZ118" s="1">
        <v>10</v>
      </c>
      <c r="BA118" s="1"/>
      <c r="BB118" s="1"/>
      <c r="BC118" s="1"/>
      <c r="BD118" s="1"/>
      <c r="BE118" s="1"/>
      <c r="BF118" s="1"/>
      <c r="BG118" s="1"/>
      <c r="BH118" s="1"/>
      <c r="BS118" t="s">
        <v>1400</v>
      </c>
      <c r="BT118" t="s">
        <v>1401</v>
      </c>
      <c r="BU118" t="s">
        <v>1402</v>
      </c>
      <c r="CF118" t="s">
        <v>103</v>
      </c>
    </row>
    <row r="119" spans="1:111" x14ac:dyDescent="0.2">
      <c r="A119" s="3">
        <v>1</v>
      </c>
      <c r="B119" s="3" t="s">
        <v>754</v>
      </c>
      <c r="C119" s="3" t="s">
        <v>755</v>
      </c>
      <c r="D119" s="1"/>
      <c r="E119" s="1">
        <f t="shared" si="9"/>
        <v>6.082762530298222</v>
      </c>
      <c r="F119" s="1">
        <f t="shared" si="10"/>
        <v>5.28571428571429</v>
      </c>
      <c r="G119" s="1">
        <f t="shared" si="11"/>
        <v>7</v>
      </c>
      <c r="H119" s="1"/>
      <c r="I119" s="1">
        <v>117</v>
      </c>
      <c r="J119" s="1">
        <v>99.899075339999996</v>
      </c>
      <c r="K119" s="1">
        <v>20.71394218</v>
      </c>
      <c r="L119" s="1">
        <v>10</v>
      </c>
      <c r="M119" s="1">
        <v>3.6</v>
      </c>
      <c r="N119" s="1">
        <v>10</v>
      </c>
      <c r="O119" s="1">
        <v>1</v>
      </c>
      <c r="P119" s="1">
        <v>6.8</v>
      </c>
      <c r="Q119" s="1">
        <v>4.3</v>
      </c>
      <c r="R119" s="1"/>
      <c r="S119" s="1">
        <v>0</v>
      </c>
      <c r="T119" s="1">
        <v>0</v>
      </c>
      <c r="U119" s="1">
        <v>3</v>
      </c>
      <c r="V119" s="1">
        <v>4.9000000000000004</v>
      </c>
      <c r="W119" s="1">
        <v>0.3</v>
      </c>
      <c r="X119" s="1">
        <v>2.6</v>
      </c>
      <c r="Y119" s="1">
        <v>2.8</v>
      </c>
      <c r="Z119" s="1">
        <v>3.2</v>
      </c>
      <c r="AA119" s="1">
        <v>6.2</v>
      </c>
      <c r="AB119" s="1">
        <v>0.1</v>
      </c>
      <c r="AC119" s="1">
        <v>3.2</v>
      </c>
      <c r="AD119" s="1">
        <v>0</v>
      </c>
      <c r="AE119" s="1">
        <v>0</v>
      </c>
      <c r="AF119" s="1">
        <v>4</v>
      </c>
      <c r="AG119" s="1">
        <v>1.1000000000000001</v>
      </c>
      <c r="AH119" s="1">
        <v>30.2</v>
      </c>
      <c r="AI119" s="1">
        <v>10</v>
      </c>
      <c r="AJ119" s="1">
        <v>4.7</v>
      </c>
      <c r="AK119" s="1">
        <v>1.5</v>
      </c>
      <c r="AL119" s="1">
        <v>5</v>
      </c>
      <c r="AM119" s="1">
        <v>7.8</v>
      </c>
      <c r="AN119" s="1">
        <v>6.1</v>
      </c>
      <c r="AO119" s="1">
        <v>6.4</v>
      </c>
      <c r="AP119" s="1">
        <v>4.5999999999999996</v>
      </c>
      <c r="AQ119" s="1">
        <v>6.875</v>
      </c>
      <c r="AR119" s="1">
        <v>3.7</v>
      </c>
      <c r="AS119" s="1">
        <v>5.28571428571429</v>
      </c>
      <c r="AT119" s="1" t="s">
        <v>219</v>
      </c>
      <c r="AU119" s="1" t="s">
        <v>98</v>
      </c>
      <c r="AV119" s="1" t="s">
        <v>757</v>
      </c>
      <c r="AW119" s="1" t="s">
        <v>100</v>
      </c>
      <c r="AX119" s="1" t="s">
        <v>137</v>
      </c>
      <c r="AY119" s="1" t="s">
        <v>100</v>
      </c>
      <c r="AZ119" s="1">
        <v>10</v>
      </c>
      <c r="BA119" s="1">
        <v>7</v>
      </c>
      <c r="BB119" s="1">
        <v>0</v>
      </c>
      <c r="BC119" s="1" t="s">
        <v>1513</v>
      </c>
      <c r="BD119" s="1" t="s">
        <v>1404</v>
      </c>
      <c r="BE119" s="1"/>
      <c r="BF119" s="1">
        <v>0.50156793089330298</v>
      </c>
      <c r="BG119" s="1">
        <v>0.50326688714451195</v>
      </c>
      <c r="BH119" s="1">
        <v>0.50148765389971595</v>
      </c>
      <c r="BI119">
        <v>0.503511150555353</v>
      </c>
      <c r="BJ119">
        <v>0.50549900212946097</v>
      </c>
      <c r="BK119" t="s">
        <v>1405</v>
      </c>
      <c r="BL119" t="s">
        <v>1439</v>
      </c>
      <c r="BM119">
        <v>3278.2919999999999</v>
      </c>
      <c r="BN119">
        <v>2.0234966556370599E-3</v>
      </c>
      <c r="BO119">
        <v>-1.7792332447960099E-3</v>
      </c>
      <c r="BP119">
        <v>2.0234966556371199E-2</v>
      </c>
      <c r="BQ119">
        <v>0</v>
      </c>
      <c r="BR119">
        <v>2.0234966556371199E-2</v>
      </c>
      <c r="BS119" t="s">
        <v>1400</v>
      </c>
      <c r="BT119" t="s">
        <v>1401</v>
      </c>
      <c r="BU119" t="s">
        <v>1402</v>
      </c>
      <c r="BW119">
        <v>8.8000000000000007</v>
      </c>
      <c r="BX119">
        <v>7.8</v>
      </c>
      <c r="BY119">
        <v>10</v>
      </c>
      <c r="BZ119">
        <v>12</v>
      </c>
      <c r="CA119">
        <v>10.8</v>
      </c>
      <c r="CB119">
        <v>9.7200000000000006</v>
      </c>
      <c r="CC119">
        <v>8.7479999999999993</v>
      </c>
      <c r="CD119">
        <v>7.8730000000000002</v>
      </c>
      <c r="CE119">
        <v>7.0860000000000003</v>
      </c>
      <c r="CF119" t="s">
        <v>147</v>
      </c>
      <c r="CG119">
        <v>-1.2</v>
      </c>
      <c r="CH119">
        <v>2</v>
      </c>
      <c r="CI119">
        <v>0</v>
      </c>
      <c r="CJ119">
        <v>6.6666666666666696</v>
      </c>
      <c r="CK119">
        <v>6.6666666666666696</v>
      </c>
      <c r="CM119">
        <v>53.390769958496101</v>
      </c>
      <c r="CN119">
        <v>18.892040252685501</v>
      </c>
      <c r="CQ119">
        <v>2.3385953903198202</v>
      </c>
      <c r="CS119">
        <v>10.033597946166999</v>
      </c>
      <c r="CT119">
        <v>37.630813598632798</v>
      </c>
      <c r="CV119">
        <v>5.3816223144531197</v>
      </c>
      <c r="CW119">
        <v>80.888122558593807</v>
      </c>
      <c r="CX119">
        <v>2.8760333061218302</v>
      </c>
      <c r="CY119">
        <v>19.748935699462901</v>
      </c>
      <c r="CZ119">
        <v>31.6444282531738</v>
      </c>
      <c r="DA119">
        <v>3.7784080505371098</v>
      </c>
      <c r="DC119">
        <v>2.15264892578125</v>
      </c>
      <c r="DD119">
        <v>0</v>
      </c>
      <c r="DE119">
        <v>3.9497871398925799</v>
      </c>
      <c r="DF119">
        <v>2.4702110290527299</v>
      </c>
      <c r="DG119">
        <v>3.5288728986467599</v>
      </c>
    </row>
    <row r="120" spans="1:111" x14ac:dyDescent="0.2">
      <c r="A120" s="3">
        <v>1</v>
      </c>
      <c r="B120" s="3" t="s">
        <v>759</v>
      </c>
      <c r="C120" s="3" t="s">
        <v>760</v>
      </c>
      <c r="D120" s="1"/>
      <c r="E120" s="1">
        <f t="shared" si="9"/>
        <v>9.2495972534637154</v>
      </c>
      <c r="F120" s="1">
        <f t="shared" si="10"/>
        <v>10</v>
      </c>
      <c r="G120" s="1">
        <f t="shared" si="11"/>
        <v>8.5555049351283508</v>
      </c>
      <c r="H120" s="1"/>
      <c r="I120" s="1">
        <v>118</v>
      </c>
      <c r="J120" s="1">
        <v>6.3128615019999996</v>
      </c>
      <c r="K120" s="1"/>
      <c r="L120" s="1">
        <v>0.6</v>
      </c>
      <c r="M120" s="1"/>
      <c r="N120" s="1">
        <v>0.6</v>
      </c>
      <c r="O120" s="1">
        <v>5.2</v>
      </c>
      <c r="P120" s="1">
        <v>3.6</v>
      </c>
      <c r="Q120" s="1">
        <v>8.5</v>
      </c>
      <c r="R120" s="1">
        <v>5.9</v>
      </c>
      <c r="S120" s="1">
        <v>0.2</v>
      </c>
      <c r="T120" s="1">
        <v>0.2</v>
      </c>
      <c r="U120" s="1">
        <v>4.7</v>
      </c>
      <c r="V120" s="1">
        <v>3.1</v>
      </c>
      <c r="W120" s="1">
        <v>0.4</v>
      </c>
      <c r="X120" s="1">
        <v>1.8</v>
      </c>
      <c r="Y120" s="1">
        <v>3.2</v>
      </c>
      <c r="Z120" s="1">
        <v>9.3000000000000007</v>
      </c>
      <c r="AA120" s="1">
        <v>9.6</v>
      </c>
      <c r="AB120" s="1">
        <v>6.3</v>
      </c>
      <c r="AC120" s="1">
        <v>8.4</v>
      </c>
      <c r="AD120" s="1">
        <v>5.9</v>
      </c>
      <c r="AE120" s="1">
        <v>3</v>
      </c>
      <c r="AF120" s="1">
        <v>3</v>
      </c>
      <c r="AG120" s="1">
        <v>0.6</v>
      </c>
      <c r="AH120" s="1">
        <v>18.399999999999999</v>
      </c>
      <c r="AI120" s="1">
        <v>5.6</v>
      </c>
      <c r="AJ120" s="1">
        <v>3.3</v>
      </c>
      <c r="AK120" s="1">
        <v>0.7</v>
      </c>
      <c r="AL120" s="1">
        <v>10</v>
      </c>
      <c r="AM120" s="1">
        <v>10</v>
      </c>
      <c r="AN120" s="1">
        <v>6.6</v>
      </c>
      <c r="AO120" s="1">
        <v>5.2</v>
      </c>
      <c r="AP120" s="1">
        <v>4.2</v>
      </c>
      <c r="AQ120" s="1">
        <v>5.2083333333333304</v>
      </c>
      <c r="AR120" s="1">
        <v>7.5</v>
      </c>
      <c r="AS120" s="1">
        <v>10</v>
      </c>
      <c r="AT120" s="1" t="s">
        <v>604</v>
      </c>
      <c r="AU120" s="1" t="s">
        <v>100</v>
      </c>
      <c r="AV120" s="1" t="s">
        <v>105</v>
      </c>
      <c r="AW120" s="1"/>
      <c r="AX120" s="1" t="s">
        <v>102</v>
      </c>
      <c r="AY120" s="1" t="s">
        <v>98</v>
      </c>
      <c r="AZ120" s="1">
        <v>7</v>
      </c>
      <c r="BA120" s="1"/>
      <c r="BB120" s="1">
        <v>7</v>
      </c>
      <c r="BC120" s="1" t="s">
        <v>1514</v>
      </c>
      <c r="BD120" s="1" t="s">
        <v>1404</v>
      </c>
      <c r="BE120" s="1">
        <v>62.568002992592199</v>
      </c>
      <c r="BF120" s="1">
        <v>62.404113259068303</v>
      </c>
      <c r="BG120" s="1">
        <v>62.542615353892302</v>
      </c>
      <c r="BH120" s="1">
        <v>63.651152815802298</v>
      </c>
      <c r="BI120">
        <v>63.659135190561301</v>
      </c>
      <c r="BJ120">
        <v>63.091059567939801</v>
      </c>
      <c r="BK120" t="s">
        <v>1405</v>
      </c>
      <c r="BL120" t="s">
        <v>1406</v>
      </c>
      <c r="BM120">
        <v>31255.435000000001</v>
      </c>
      <c r="BN120">
        <v>7.9823747590026493E-3</v>
      </c>
      <c r="BO120">
        <v>1.1085374619099999</v>
      </c>
      <c r="BP120">
        <v>7.98237475900265E-2</v>
      </c>
      <c r="BQ120">
        <v>3.6951248730333202</v>
      </c>
      <c r="BR120">
        <v>3.6951248730333202</v>
      </c>
      <c r="BS120" t="s">
        <v>1400</v>
      </c>
      <c r="BT120" t="s">
        <v>1401</v>
      </c>
      <c r="BU120" t="s">
        <v>1402</v>
      </c>
      <c r="CF120" t="s">
        <v>103</v>
      </c>
      <c r="CM120">
        <v>60.169757843017599</v>
      </c>
      <c r="CO120">
        <v>96.044586181640597</v>
      </c>
      <c r="CQ120">
        <v>19.666566848754901</v>
      </c>
      <c r="CS120">
        <v>26.502361297607401</v>
      </c>
      <c r="CT120">
        <v>36.648189544677699</v>
      </c>
      <c r="CU120">
        <v>74.104164123535199</v>
      </c>
      <c r="CY120">
        <v>58.983726501464801</v>
      </c>
      <c r="CZ120">
        <v>78.706863403320298</v>
      </c>
      <c r="DB120">
        <v>1.9777069091796899</v>
      </c>
      <c r="DE120">
        <v>10</v>
      </c>
      <c r="DF120">
        <v>5.9888534545898402</v>
      </c>
      <c r="DG120">
        <v>8.5555049351283508</v>
      </c>
    </row>
    <row r="121" spans="1:111" x14ac:dyDescent="0.2">
      <c r="A121" s="3">
        <v>1</v>
      </c>
      <c r="B121" s="3" t="s">
        <v>764</v>
      </c>
      <c r="C121" s="3" t="s">
        <v>765</v>
      </c>
      <c r="D121" s="1"/>
      <c r="E121" s="1">
        <f t="shared" si="9"/>
        <v>8.71428571428571</v>
      </c>
      <c r="F121" s="1">
        <f t="shared" si="10"/>
        <v>8.71428571428571</v>
      </c>
      <c r="G121" s="1">
        <f t="shared" si="11"/>
        <v>0</v>
      </c>
      <c r="H121" s="1"/>
      <c r="I121" s="1">
        <v>119</v>
      </c>
      <c r="J121" s="1">
        <v>45.215550329999999</v>
      </c>
      <c r="K121" s="1"/>
      <c r="L121" s="1">
        <v>5.3</v>
      </c>
      <c r="M121" s="1"/>
      <c r="N121" s="1">
        <v>5.3</v>
      </c>
      <c r="O121" s="1">
        <v>2.1</v>
      </c>
      <c r="P121" s="1">
        <v>5.4</v>
      </c>
      <c r="Q121" s="1">
        <v>8.8000000000000007</v>
      </c>
      <c r="R121" s="1"/>
      <c r="S121" s="1">
        <v>1.9</v>
      </c>
      <c r="T121" s="1">
        <v>1.9</v>
      </c>
      <c r="U121" s="1">
        <v>4.5999999999999996</v>
      </c>
      <c r="V121" s="1">
        <v>7.7</v>
      </c>
      <c r="W121" s="1">
        <v>0</v>
      </c>
      <c r="X121" s="1">
        <v>3.9</v>
      </c>
      <c r="Y121" s="1">
        <v>4.2</v>
      </c>
      <c r="Z121" s="1">
        <v>7.6</v>
      </c>
      <c r="AA121" s="1">
        <v>9</v>
      </c>
      <c r="AB121" s="1">
        <v>0.6</v>
      </c>
      <c r="AC121" s="1">
        <v>5.7</v>
      </c>
      <c r="AD121" s="1">
        <v>11</v>
      </c>
      <c r="AE121" s="1">
        <v>5.5</v>
      </c>
      <c r="AF121" s="1">
        <v>3</v>
      </c>
      <c r="AG121" s="1">
        <v>0.6</v>
      </c>
      <c r="AH121" s="1">
        <v>18.100000000000001</v>
      </c>
      <c r="AI121" s="1">
        <v>5.4</v>
      </c>
      <c r="AJ121" s="1">
        <v>7.1</v>
      </c>
      <c r="AK121" s="1">
        <v>2.8</v>
      </c>
      <c r="AL121" s="1">
        <v>7</v>
      </c>
      <c r="AM121" s="1">
        <v>1.8</v>
      </c>
      <c r="AN121" s="1">
        <v>4.3</v>
      </c>
      <c r="AO121" s="1">
        <v>5.0999999999999996</v>
      </c>
      <c r="AP121" s="1">
        <v>4.5999999999999996</v>
      </c>
      <c r="AQ121" s="1">
        <v>6.875</v>
      </c>
      <c r="AR121" s="1">
        <v>6.1</v>
      </c>
      <c r="AS121" s="1">
        <v>8.71428571428571</v>
      </c>
      <c r="AT121" s="1" t="s">
        <v>197</v>
      </c>
      <c r="AU121" s="1" t="s">
        <v>98</v>
      </c>
      <c r="AV121" s="1" t="s">
        <v>105</v>
      </c>
      <c r="AW121" s="1"/>
      <c r="AX121" s="1" t="s">
        <v>102</v>
      </c>
      <c r="AY121" s="1" t="s">
        <v>98</v>
      </c>
      <c r="AZ121" s="1">
        <v>10</v>
      </c>
      <c r="BA121" s="1"/>
      <c r="BB121" s="1">
        <v>7</v>
      </c>
      <c r="BC121" s="1" t="s">
        <v>1515</v>
      </c>
      <c r="BD121" s="1" t="s">
        <v>1404</v>
      </c>
      <c r="BE121" s="1">
        <v>5.8027815330852102</v>
      </c>
      <c r="BF121" s="1">
        <v>5.93772792994341</v>
      </c>
      <c r="BG121" s="1">
        <v>5.4308056681211596</v>
      </c>
      <c r="BH121" s="1">
        <v>6.31263000385424</v>
      </c>
      <c r="BI121">
        <v>6.4367566028377299</v>
      </c>
      <c r="BJ121">
        <v>6.2449616042031897</v>
      </c>
      <c r="BK121" t="s">
        <v>1405</v>
      </c>
      <c r="BL121" t="s">
        <v>1406</v>
      </c>
      <c r="BM121">
        <v>4649.66</v>
      </c>
      <c r="BN121">
        <v>0.12412659898349</v>
      </c>
      <c r="BO121">
        <v>0.88182433573307994</v>
      </c>
      <c r="BP121">
        <v>1.2412659898349001</v>
      </c>
      <c r="BQ121">
        <v>2.9394144524436001</v>
      </c>
      <c r="BR121">
        <v>2.9394144524436001</v>
      </c>
      <c r="BS121" t="s">
        <v>1400</v>
      </c>
      <c r="BT121" t="s">
        <v>1401</v>
      </c>
      <c r="BU121" t="s">
        <v>1402</v>
      </c>
      <c r="CF121" t="s">
        <v>103</v>
      </c>
    </row>
    <row r="122" spans="1:111" x14ac:dyDescent="0.2">
      <c r="A122" s="3">
        <v>1</v>
      </c>
      <c r="B122" s="3" t="s">
        <v>768</v>
      </c>
      <c r="C122" s="3" t="s">
        <v>769</v>
      </c>
      <c r="D122" s="1"/>
      <c r="E122" s="1">
        <f t="shared" si="9"/>
        <v>5.6061191058138782</v>
      </c>
      <c r="F122" s="1">
        <f t="shared" si="10"/>
        <v>3.1428571428571401</v>
      </c>
      <c r="G122" s="1">
        <f t="shared" si="11"/>
        <v>10</v>
      </c>
      <c r="H122" s="1"/>
      <c r="I122" s="1">
        <v>120</v>
      </c>
      <c r="J122" s="1">
        <v>46.626463180000002</v>
      </c>
      <c r="K122" s="1">
        <v>45.865676569999998</v>
      </c>
      <c r="L122" s="1">
        <v>5.5</v>
      </c>
      <c r="M122" s="1">
        <v>8.8000000000000007</v>
      </c>
      <c r="N122" s="1">
        <v>5.5</v>
      </c>
      <c r="O122" s="1">
        <v>9.3000000000000007</v>
      </c>
      <c r="P122" s="1">
        <v>4.0999999999999996</v>
      </c>
      <c r="Q122" s="1"/>
      <c r="R122" s="1">
        <v>3.7</v>
      </c>
      <c r="S122" s="1">
        <v>0</v>
      </c>
      <c r="T122" s="1">
        <v>0</v>
      </c>
      <c r="U122" s="1">
        <v>4.3</v>
      </c>
      <c r="V122" s="1">
        <v>2.8</v>
      </c>
      <c r="W122" s="1">
        <v>10</v>
      </c>
      <c r="X122" s="1">
        <v>6.4</v>
      </c>
      <c r="Y122" s="1">
        <v>5.3</v>
      </c>
      <c r="Z122" s="1">
        <v>2.2000000000000002</v>
      </c>
      <c r="AA122" s="1"/>
      <c r="AB122" s="1">
        <v>0</v>
      </c>
      <c r="AC122" s="1">
        <v>1.1000000000000001</v>
      </c>
      <c r="AD122" s="1">
        <v>0</v>
      </c>
      <c r="AE122" s="1">
        <v>0</v>
      </c>
      <c r="AF122" s="1">
        <v>11</v>
      </c>
      <c r="AG122" s="1">
        <v>5</v>
      </c>
      <c r="AH122" s="1">
        <v>22.6</v>
      </c>
      <c r="AI122" s="1">
        <v>8.4</v>
      </c>
      <c r="AJ122" s="1">
        <v>22</v>
      </c>
      <c r="AK122" s="1">
        <v>10</v>
      </c>
      <c r="AL122" s="1">
        <v>4</v>
      </c>
      <c r="AM122" s="1">
        <v>0.2</v>
      </c>
      <c r="AN122" s="1">
        <v>5.7</v>
      </c>
      <c r="AO122" s="1">
        <v>4.0999999999999996</v>
      </c>
      <c r="AP122" s="1">
        <v>4.7</v>
      </c>
      <c r="AQ122" s="1">
        <v>7.2916666666666696</v>
      </c>
      <c r="AR122" s="1">
        <v>2.2000000000000002</v>
      </c>
      <c r="AS122" s="1">
        <v>3.1428571428571401</v>
      </c>
      <c r="AT122" s="1" t="s">
        <v>772</v>
      </c>
      <c r="AU122" s="1" t="s">
        <v>98</v>
      </c>
      <c r="AV122" s="1" t="s">
        <v>123</v>
      </c>
      <c r="AW122" s="1" t="s">
        <v>98</v>
      </c>
      <c r="AX122" s="1" t="s">
        <v>183</v>
      </c>
      <c r="AY122" s="1" t="s">
        <v>96</v>
      </c>
      <c r="AZ122" s="1">
        <v>10</v>
      </c>
      <c r="BA122" s="1">
        <v>10</v>
      </c>
      <c r="BB122" s="1">
        <v>3</v>
      </c>
      <c r="BC122" s="1"/>
      <c r="BD122" s="1"/>
      <c r="BE122" s="1"/>
      <c r="BF122" s="1"/>
      <c r="BG122" s="1"/>
      <c r="BH122" s="1"/>
      <c r="BS122" t="s">
        <v>1400</v>
      </c>
      <c r="BT122" t="s">
        <v>1401</v>
      </c>
      <c r="BU122" t="s">
        <v>1402</v>
      </c>
      <c r="BW122">
        <v>7.1</v>
      </c>
      <c r="BX122">
        <v>6.9</v>
      </c>
      <c r="BY122">
        <v>6.7</v>
      </c>
      <c r="BZ122">
        <v>21</v>
      </c>
      <c r="CA122">
        <v>11</v>
      </c>
      <c r="CB122">
        <v>7.5</v>
      </c>
      <c r="CC122">
        <v>7.3</v>
      </c>
      <c r="CD122">
        <v>7.3</v>
      </c>
      <c r="CE122">
        <v>7.3</v>
      </c>
      <c r="CF122" t="s">
        <v>1516</v>
      </c>
      <c r="CG122">
        <v>-10</v>
      </c>
      <c r="CH122">
        <v>14.3</v>
      </c>
      <c r="CI122">
        <v>0</v>
      </c>
      <c r="CJ122">
        <v>10</v>
      </c>
      <c r="CK122">
        <v>10</v>
      </c>
    </row>
    <row r="123" spans="1:111" x14ac:dyDescent="0.2">
      <c r="A123" s="3">
        <v>1</v>
      </c>
      <c r="B123" s="3" t="s">
        <v>774</v>
      </c>
      <c r="C123" s="3" t="s">
        <v>775</v>
      </c>
      <c r="D123" s="1"/>
      <c r="E123" s="1">
        <f t="shared" si="9"/>
        <v>10</v>
      </c>
      <c r="F123" s="1">
        <f t="shared" si="10"/>
        <v>10</v>
      </c>
      <c r="G123" s="1">
        <f t="shared" si="11"/>
        <v>10</v>
      </c>
      <c r="H123" s="1"/>
      <c r="I123" s="1">
        <v>121</v>
      </c>
      <c r="J123" s="1">
        <v>41.523122780000001</v>
      </c>
      <c r="K123" s="1">
        <v>4.7152701290000003</v>
      </c>
      <c r="L123" s="1">
        <v>4.9000000000000004</v>
      </c>
      <c r="M123" s="1">
        <v>0.3</v>
      </c>
      <c r="N123" s="1">
        <v>4.9000000000000004</v>
      </c>
      <c r="O123" s="1">
        <v>7.6</v>
      </c>
      <c r="P123" s="1">
        <v>1.7</v>
      </c>
      <c r="Q123" s="1">
        <v>7.4</v>
      </c>
      <c r="R123" s="1">
        <v>6.3</v>
      </c>
      <c r="S123" s="1">
        <v>0.3</v>
      </c>
      <c r="T123" s="1">
        <v>0.3</v>
      </c>
      <c r="U123" s="1">
        <v>4.7</v>
      </c>
      <c r="V123" s="1">
        <v>5.6</v>
      </c>
      <c r="W123" s="1">
        <v>1.8</v>
      </c>
      <c r="X123" s="1">
        <v>3.7</v>
      </c>
      <c r="Y123" s="1">
        <v>4.2</v>
      </c>
      <c r="Z123" s="1">
        <v>8.5</v>
      </c>
      <c r="AA123" s="1">
        <v>8.8000000000000007</v>
      </c>
      <c r="AB123" s="1">
        <v>7</v>
      </c>
      <c r="AC123" s="1">
        <v>8.1</v>
      </c>
      <c r="AD123" s="1">
        <v>17.7</v>
      </c>
      <c r="AE123" s="1">
        <v>8.9</v>
      </c>
      <c r="AF123" s="1">
        <v>3</v>
      </c>
      <c r="AG123" s="1">
        <v>0.6</v>
      </c>
      <c r="AH123" s="1">
        <v>16.399999999999999</v>
      </c>
      <c r="AI123" s="1">
        <v>4.3</v>
      </c>
      <c r="AJ123" s="1">
        <v>4.5</v>
      </c>
      <c r="AK123" s="1">
        <v>1.4</v>
      </c>
      <c r="AL123" s="1">
        <v>6</v>
      </c>
      <c r="AM123" s="1">
        <v>2.4</v>
      </c>
      <c r="AN123" s="1">
        <v>3.5</v>
      </c>
      <c r="AO123" s="1">
        <v>5.5</v>
      </c>
      <c r="AP123" s="1">
        <v>4.8</v>
      </c>
      <c r="AQ123" s="1">
        <v>7.7083333333333304</v>
      </c>
      <c r="AR123" s="1">
        <v>7</v>
      </c>
      <c r="AS123" s="1">
        <v>10</v>
      </c>
      <c r="AT123" s="1" t="s">
        <v>207</v>
      </c>
      <c r="AU123" s="1" t="s">
        <v>100</v>
      </c>
      <c r="AV123" s="1" t="s">
        <v>105</v>
      </c>
      <c r="AW123" s="1"/>
      <c r="AX123" s="1" t="s">
        <v>183</v>
      </c>
      <c r="AY123" s="1" t="s">
        <v>96</v>
      </c>
      <c r="AZ123" s="1">
        <v>7</v>
      </c>
      <c r="BA123" s="1"/>
      <c r="BB123" s="1">
        <v>3</v>
      </c>
      <c r="BC123" s="1" t="s">
        <v>1517</v>
      </c>
      <c r="BD123" s="1" t="s">
        <v>1404</v>
      </c>
      <c r="BE123" s="1">
        <v>70.169925720336494</v>
      </c>
      <c r="BF123" s="1">
        <v>69.686132959492099</v>
      </c>
      <c r="BG123" s="1">
        <v>68.924754158495602</v>
      </c>
      <c r="BH123" s="1">
        <v>69.282104914170603</v>
      </c>
      <c r="BI123">
        <v>68.914522592721994</v>
      </c>
      <c r="BJ123">
        <v>67.707414646187601</v>
      </c>
      <c r="BK123" t="s">
        <v>1405</v>
      </c>
      <c r="BL123" t="s">
        <v>1406</v>
      </c>
      <c r="BM123">
        <v>19129.955000000002</v>
      </c>
      <c r="BN123">
        <v>-0.36758232144860897</v>
      </c>
      <c r="BO123">
        <v>0.35735075567500002</v>
      </c>
      <c r="BP123">
        <v>0</v>
      </c>
      <c r="BQ123">
        <v>1.19116918558333</v>
      </c>
      <c r="BR123">
        <v>1.19116918558333</v>
      </c>
      <c r="BS123" t="s">
        <v>1400</v>
      </c>
      <c r="BT123" t="s">
        <v>1401</v>
      </c>
      <c r="BU123" t="s">
        <v>1402</v>
      </c>
      <c r="CF123" t="s">
        <v>103</v>
      </c>
      <c r="CM123">
        <v>69.004661560058594</v>
      </c>
      <c r="CN123">
        <v>11.6702728271484</v>
      </c>
      <c r="CO123">
        <v>71.998893737792997</v>
      </c>
      <c r="CP123">
        <v>80.577857971191406</v>
      </c>
      <c r="CQ123">
        <v>10.2879962921143</v>
      </c>
      <c r="CS123">
        <v>17.587802886962901</v>
      </c>
      <c r="CT123">
        <v>86.144073486328097</v>
      </c>
      <c r="CU123">
        <v>80.560867309570298</v>
      </c>
      <c r="CW123">
        <v>2.7026832103729199</v>
      </c>
      <c r="CY123">
        <v>71.209510803222699</v>
      </c>
      <c r="CZ123">
        <v>70.645103454589801</v>
      </c>
      <c r="DA123">
        <v>2.3340545654296898</v>
      </c>
      <c r="DB123">
        <v>10</v>
      </c>
      <c r="DD123">
        <v>10</v>
      </c>
      <c r="DE123">
        <v>10</v>
      </c>
      <c r="DF123">
        <v>8.0835136413574205</v>
      </c>
      <c r="DG123">
        <v>10</v>
      </c>
    </row>
    <row r="124" spans="1:111" x14ac:dyDescent="0.2">
      <c r="A124" s="3">
        <v>1</v>
      </c>
      <c r="B124" s="3" t="s">
        <v>778</v>
      </c>
      <c r="C124" s="3" t="s">
        <v>779</v>
      </c>
      <c r="D124" s="1"/>
      <c r="E124" s="1">
        <f t="shared" si="9"/>
        <v>2.8571428571428599</v>
      </c>
      <c r="F124" s="1">
        <f t="shared" si="10"/>
        <v>2.8571428571428599</v>
      </c>
      <c r="G124" s="1">
        <f t="shared" si="11"/>
        <v>0</v>
      </c>
      <c r="H124" s="1"/>
      <c r="I124" s="1">
        <v>122</v>
      </c>
      <c r="J124" s="1">
        <v>84.092855630000003</v>
      </c>
      <c r="K124" s="1">
        <v>4.5127367339999997</v>
      </c>
      <c r="L124" s="1">
        <v>10</v>
      </c>
      <c r="M124" s="1">
        <v>0.3</v>
      </c>
      <c r="N124" s="1">
        <v>10</v>
      </c>
      <c r="O124" s="1">
        <v>6.6</v>
      </c>
      <c r="P124" s="1">
        <v>7.6</v>
      </c>
      <c r="Q124" s="1"/>
      <c r="R124" s="1"/>
      <c r="S124" s="1">
        <v>0.5</v>
      </c>
      <c r="T124" s="1">
        <v>0.5</v>
      </c>
      <c r="U124" s="1">
        <v>4.9000000000000004</v>
      </c>
      <c r="V124" s="1">
        <v>2.8</v>
      </c>
      <c r="W124" s="1">
        <v>2</v>
      </c>
      <c r="X124" s="1">
        <v>2.4</v>
      </c>
      <c r="Y124" s="1">
        <v>3.7</v>
      </c>
      <c r="Z124" s="1">
        <v>2</v>
      </c>
      <c r="AA124" s="1"/>
      <c r="AB124" s="1">
        <v>0</v>
      </c>
      <c r="AC124" s="1">
        <v>1</v>
      </c>
      <c r="AD124" s="1">
        <v>0</v>
      </c>
      <c r="AE124" s="1">
        <v>0</v>
      </c>
      <c r="AF124" s="1">
        <v>7</v>
      </c>
      <c r="AG124" s="1">
        <v>2.8</v>
      </c>
      <c r="AH124" s="1">
        <v>17.2</v>
      </c>
      <c r="AI124" s="1">
        <v>4.8</v>
      </c>
      <c r="AJ124" s="1">
        <v>16.7</v>
      </c>
      <c r="AK124" s="1">
        <v>8.1999999999999993</v>
      </c>
      <c r="AL124" s="1">
        <v>5</v>
      </c>
      <c r="AM124" s="1">
        <v>1.7</v>
      </c>
      <c r="AN124" s="1">
        <v>4.9000000000000004</v>
      </c>
      <c r="AO124" s="1">
        <v>5.3</v>
      </c>
      <c r="AP124" s="1">
        <v>4.5</v>
      </c>
      <c r="AQ124" s="1">
        <v>6.4583333333333304</v>
      </c>
      <c r="AR124" s="1">
        <v>2</v>
      </c>
      <c r="AS124" s="1">
        <v>2.8571428571428599</v>
      </c>
      <c r="AT124" s="1" t="s">
        <v>328</v>
      </c>
      <c r="AU124" s="1" t="s">
        <v>98</v>
      </c>
      <c r="AV124" s="1" t="s">
        <v>238</v>
      </c>
      <c r="AW124" s="1" t="s">
        <v>96</v>
      </c>
      <c r="AX124" s="1" t="s">
        <v>137</v>
      </c>
      <c r="AY124" s="1" t="s">
        <v>100</v>
      </c>
      <c r="AZ124" s="1">
        <v>10</v>
      </c>
      <c r="BA124" s="1">
        <v>0</v>
      </c>
      <c r="BB124" s="1">
        <v>0</v>
      </c>
      <c r="BC124" s="1" t="s">
        <v>1518</v>
      </c>
      <c r="BD124" s="1" t="s">
        <v>1404</v>
      </c>
      <c r="BE124" s="1">
        <v>3.6018631293317002E-3</v>
      </c>
      <c r="BF124" s="1">
        <v>1.6115789793227E-3</v>
      </c>
      <c r="BG124" s="1">
        <v>7.576826623631E-4</v>
      </c>
      <c r="BH124" s="1">
        <v>9.8403058402460005E-4</v>
      </c>
      <c r="BI124">
        <v>4.3181912754699999E-4</v>
      </c>
      <c r="BJ124">
        <v>2.5760499225580002E-4</v>
      </c>
      <c r="BK124" t="s">
        <v>1405</v>
      </c>
      <c r="BL124" t="s">
        <v>1439</v>
      </c>
      <c r="BM124">
        <v>32365.998</v>
      </c>
      <c r="BN124">
        <v>-5.5221145647760001E-4</v>
      </c>
      <c r="BO124">
        <v>2.263479216615E-4</v>
      </c>
      <c r="BP124">
        <v>0</v>
      </c>
      <c r="BQ124">
        <v>7.54493072204099E-4</v>
      </c>
      <c r="BR124">
        <v>7.54493072204099E-4</v>
      </c>
      <c r="BS124" t="s">
        <v>1400</v>
      </c>
      <c r="BT124" t="s">
        <v>1401</v>
      </c>
      <c r="BU124" t="s">
        <v>1402</v>
      </c>
      <c r="BW124">
        <v>3.4249999999999998</v>
      </c>
      <c r="BX124">
        <v>3.3250000000000002</v>
      </c>
      <c r="BY124">
        <v>3.2749999999999999</v>
      </c>
      <c r="BZ124">
        <v>4.9000000000000004</v>
      </c>
      <c r="CA124">
        <v>3.4</v>
      </c>
      <c r="CB124">
        <v>3.3</v>
      </c>
      <c r="CC124">
        <v>3.3</v>
      </c>
      <c r="CD124">
        <v>3.3</v>
      </c>
      <c r="CE124">
        <v>3.3</v>
      </c>
      <c r="CF124" t="s">
        <v>1519</v>
      </c>
      <c r="CG124">
        <v>-1.5</v>
      </c>
      <c r="CH124">
        <v>1.625</v>
      </c>
      <c r="CI124">
        <v>0</v>
      </c>
      <c r="CJ124">
        <v>5.4166666666666696</v>
      </c>
      <c r="CK124">
        <v>5.4166666666666696</v>
      </c>
      <c r="CL124">
        <v>0</v>
      </c>
    </row>
    <row r="125" spans="1:111" x14ac:dyDescent="0.2">
      <c r="A125" s="3">
        <v>1</v>
      </c>
      <c r="B125" s="3" t="s">
        <v>781</v>
      </c>
      <c r="C125" s="3" t="s">
        <v>782</v>
      </c>
      <c r="D125" s="1"/>
      <c r="E125" s="1">
        <f t="shared" si="9"/>
        <v>8</v>
      </c>
      <c r="F125" s="1">
        <f t="shared" si="10"/>
        <v>8</v>
      </c>
      <c r="G125" s="1">
        <f t="shared" si="11"/>
        <v>0</v>
      </c>
      <c r="H125" s="1"/>
      <c r="I125" s="1">
        <v>123</v>
      </c>
      <c r="J125" s="1">
        <v>16.145014710000002</v>
      </c>
      <c r="K125" s="1"/>
      <c r="L125" s="1">
        <v>1.8</v>
      </c>
      <c r="M125" s="1"/>
      <c r="N125" s="1">
        <v>1.8</v>
      </c>
      <c r="O125" s="1">
        <v>1.6</v>
      </c>
      <c r="P125" s="1">
        <v>5</v>
      </c>
      <c r="Q125" s="1">
        <v>4.7</v>
      </c>
      <c r="R125" s="1">
        <v>5.6</v>
      </c>
      <c r="S125" s="1">
        <v>0.2</v>
      </c>
      <c r="T125" s="1">
        <v>0.2</v>
      </c>
      <c r="U125" s="1">
        <v>3.4</v>
      </c>
      <c r="V125" s="1">
        <v>3.8</v>
      </c>
      <c r="W125" s="1">
        <v>0.6</v>
      </c>
      <c r="X125" s="1">
        <v>2.2000000000000002</v>
      </c>
      <c r="Y125" s="1">
        <v>2.8</v>
      </c>
      <c r="Z125" s="1">
        <v>5.0999999999999996</v>
      </c>
      <c r="AA125" s="1">
        <v>8.6</v>
      </c>
      <c r="AB125" s="1">
        <v>1.3</v>
      </c>
      <c r="AC125" s="1">
        <v>5</v>
      </c>
      <c r="AD125" s="1">
        <v>0</v>
      </c>
      <c r="AE125" s="1">
        <v>0</v>
      </c>
      <c r="AF125" s="1">
        <v>4</v>
      </c>
      <c r="AG125" s="1">
        <v>1.1000000000000001</v>
      </c>
      <c r="AH125" s="1">
        <v>21.3</v>
      </c>
      <c r="AI125" s="1">
        <v>7.5</v>
      </c>
      <c r="AJ125" s="1">
        <v>4.5</v>
      </c>
      <c r="AK125" s="1">
        <v>1.4</v>
      </c>
      <c r="AL125" s="1">
        <v>5</v>
      </c>
      <c r="AM125" s="1">
        <v>7.7</v>
      </c>
      <c r="AN125" s="1">
        <v>5.4</v>
      </c>
      <c r="AO125" s="1">
        <v>4.0999999999999996</v>
      </c>
      <c r="AP125" s="1">
        <v>3.4</v>
      </c>
      <c r="AQ125" s="1">
        <v>1.875</v>
      </c>
      <c r="AR125" s="1">
        <v>5.6</v>
      </c>
      <c r="AS125" s="1">
        <v>8</v>
      </c>
      <c r="AT125" s="1" t="s">
        <v>602</v>
      </c>
      <c r="AU125" s="1" t="s">
        <v>98</v>
      </c>
      <c r="AV125" s="1" t="s">
        <v>105</v>
      </c>
      <c r="AW125" s="1"/>
      <c r="AX125" s="1" t="s">
        <v>102</v>
      </c>
      <c r="AY125" s="1" t="s">
        <v>98</v>
      </c>
      <c r="AZ125" s="1">
        <v>10</v>
      </c>
      <c r="BA125" s="1"/>
      <c r="BB125" s="1">
        <v>7</v>
      </c>
      <c r="BC125" s="1" t="s">
        <v>1520</v>
      </c>
      <c r="BD125" s="1" t="s">
        <v>1404</v>
      </c>
      <c r="BE125" s="1">
        <v>15.6487954937441</v>
      </c>
      <c r="BF125" s="1">
        <v>16.244047863800901</v>
      </c>
      <c r="BG125" s="1">
        <v>17.554803919101101</v>
      </c>
      <c r="BH125" s="1">
        <v>21.828043128060202</v>
      </c>
      <c r="BI125">
        <v>21.969530084475402</v>
      </c>
      <c r="BJ125">
        <v>21.9448369835135</v>
      </c>
      <c r="BK125" t="s">
        <v>1405</v>
      </c>
      <c r="BL125" t="s">
        <v>1406</v>
      </c>
      <c r="BM125">
        <v>2540.9160000000002</v>
      </c>
      <c r="BN125">
        <v>0.14148695641520001</v>
      </c>
      <c r="BO125">
        <v>4.2732392089591</v>
      </c>
      <c r="BP125">
        <v>1.4148695641519999</v>
      </c>
      <c r="BQ125">
        <v>10</v>
      </c>
      <c r="BR125">
        <v>10</v>
      </c>
      <c r="BS125" t="s">
        <v>1400</v>
      </c>
      <c r="BT125" t="s">
        <v>1401</v>
      </c>
      <c r="BU125" t="s">
        <v>1402</v>
      </c>
      <c r="CF125" t="s">
        <v>103</v>
      </c>
    </row>
    <row r="126" spans="1:111" x14ac:dyDescent="0.2">
      <c r="A126" s="3">
        <v>1</v>
      </c>
      <c r="B126" s="3" t="s">
        <v>786</v>
      </c>
      <c r="C126" s="3" t="s">
        <v>787</v>
      </c>
      <c r="D126" s="1"/>
      <c r="E126" s="1">
        <f t="shared" si="9"/>
        <v>10</v>
      </c>
      <c r="F126" s="1">
        <f t="shared" si="10"/>
        <v>10</v>
      </c>
      <c r="G126" s="1">
        <f t="shared" si="11"/>
        <v>0</v>
      </c>
      <c r="H126" s="1"/>
      <c r="I126" s="1">
        <v>124</v>
      </c>
      <c r="J126" s="1">
        <v>21.380654870000001</v>
      </c>
      <c r="K126" s="1">
        <v>3.3766944940000001</v>
      </c>
      <c r="L126" s="1">
        <v>2.4</v>
      </c>
      <c r="M126" s="1">
        <v>0.1</v>
      </c>
      <c r="N126" s="1">
        <v>2.4</v>
      </c>
      <c r="O126" s="1">
        <v>4.2</v>
      </c>
      <c r="P126" s="1">
        <v>1.6</v>
      </c>
      <c r="Q126" s="1">
        <v>6.9</v>
      </c>
      <c r="R126" s="1">
        <v>9.8000000000000007</v>
      </c>
      <c r="S126" s="1">
        <v>1.4</v>
      </c>
      <c r="T126" s="1">
        <v>1.4</v>
      </c>
      <c r="U126" s="1">
        <v>4.8</v>
      </c>
      <c r="V126" s="1">
        <v>7.3</v>
      </c>
      <c r="W126" s="1">
        <v>0.3</v>
      </c>
      <c r="X126" s="1">
        <v>3.8</v>
      </c>
      <c r="Y126" s="1">
        <v>4.3</v>
      </c>
      <c r="Z126" s="1">
        <v>10</v>
      </c>
      <c r="AA126" s="1">
        <v>10</v>
      </c>
      <c r="AB126" s="1">
        <v>4.5</v>
      </c>
      <c r="AC126" s="1">
        <v>8.1999999999999993</v>
      </c>
      <c r="AD126" s="1">
        <v>3.4</v>
      </c>
      <c r="AE126" s="1">
        <v>1.7</v>
      </c>
      <c r="AF126" s="1">
        <v>3</v>
      </c>
      <c r="AG126" s="1">
        <v>0.6</v>
      </c>
      <c r="AH126" s="1">
        <v>20</v>
      </c>
      <c r="AI126" s="1">
        <v>6.7</v>
      </c>
      <c r="AJ126" s="1">
        <v>2.4</v>
      </c>
      <c r="AK126" s="1">
        <v>0.2</v>
      </c>
      <c r="AL126" s="1">
        <v>7</v>
      </c>
      <c r="AM126" s="1">
        <v>1.6</v>
      </c>
      <c r="AN126" s="1">
        <v>3.9</v>
      </c>
      <c r="AO126" s="1">
        <v>4.8</v>
      </c>
      <c r="AP126" s="1">
        <v>4.5</v>
      </c>
      <c r="AQ126" s="1">
        <v>6.4583333333333304</v>
      </c>
      <c r="AR126" s="1">
        <v>7.3</v>
      </c>
      <c r="AS126" s="1">
        <v>10</v>
      </c>
      <c r="AT126" s="1" t="s">
        <v>411</v>
      </c>
      <c r="AU126" s="1" t="s">
        <v>100</v>
      </c>
      <c r="AV126" s="1" t="s">
        <v>105</v>
      </c>
      <c r="AW126" s="1"/>
      <c r="AX126" s="1" t="s">
        <v>102</v>
      </c>
      <c r="AY126" s="1" t="s">
        <v>98</v>
      </c>
      <c r="AZ126" s="1">
        <v>7</v>
      </c>
      <c r="BA126" s="1"/>
      <c r="BB126" s="1">
        <v>7</v>
      </c>
      <c r="BC126" s="1" t="s">
        <v>1521</v>
      </c>
      <c r="BD126" s="1" t="s">
        <v>1404</v>
      </c>
      <c r="BE126" s="1">
        <v>43.365913388974597</v>
      </c>
      <c r="BF126" s="1">
        <v>41.534905451164001</v>
      </c>
      <c r="BG126" s="1">
        <v>40.441531076510699</v>
      </c>
      <c r="BH126" s="1">
        <v>42.042911423329002</v>
      </c>
      <c r="BI126">
        <v>39.637807487946503</v>
      </c>
      <c r="BJ126">
        <v>34.623305638826302</v>
      </c>
      <c r="BK126" t="s">
        <v>1405</v>
      </c>
      <c r="BL126" t="s">
        <v>1406</v>
      </c>
      <c r="BM126">
        <v>24206.635999999999</v>
      </c>
      <c r="BN126">
        <v>-2.4051039353824999</v>
      </c>
      <c r="BO126">
        <v>1.6013803468183001</v>
      </c>
      <c r="BP126">
        <v>0</v>
      </c>
      <c r="BQ126">
        <v>5.3379344893943399</v>
      </c>
      <c r="BR126">
        <v>5.3379344893943399</v>
      </c>
      <c r="BS126" t="s">
        <v>1400</v>
      </c>
      <c r="BT126" t="s">
        <v>1401</v>
      </c>
      <c r="BU126" t="s">
        <v>1402</v>
      </c>
      <c r="CF126" t="s">
        <v>103</v>
      </c>
    </row>
    <row r="127" spans="1:111" x14ac:dyDescent="0.2">
      <c r="A127" s="3">
        <v>1</v>
      </c>
      <c r="B127" s="3" t="s">
        <v>793</v>
      </c>
      <c r="C127" s="3" t="s">
        <v>794</v>
      </c>
      <c r="D127" s="1"/>
      <c r="E127" s="1">
        <f t="shared" si="9"/>
        <v>8.8640526042791841</v>
      </c>
      <c r="F127" s="1">
        <f t="shared" si="10"/>
        <v>7.8571428571428603</v>
      </c>
      <c r="G127" s="1">
        <f t="shared" si="11"/>
        <v>10</v>
      </c>
      <c r="H127" s="1"/>
      <c r="I127" s="1">
        <v>125</v>
      </c>
      <c r="J127" s="1">
        <v>6.4137066699999998</v>
      </c>
      <c r="K127" s="1">
        <v>18.345039939999999</v>
      </c>
      <c r="L127" s="1">
        <v>0.6</v>
      </c>
      <c r="M127" s="1">
        <v>3.2</v>
      </c>
      <c r="N127" s="1">
        <v>0.6</v>
      </c>
      <c r="O127" s="1">
        <v>7.8</v>
      </c>
      <c r="P127" s="1">
        <v>5</v>
      </c>
      <c r="Q127" s="1">
        <v>6</v>
      </c>
      <c r="R127" s="1">
        <v>7.3</v>
      </c>
      <c r="S127" s="1">
        <v>1.1000000000000001</v>
      </c>
      <c r="T127" s="1">
        <v>1.1000000000000001</v>
      </c>
      <c r="U127" s="1">
        <v>5.4</v>
      </c>
      <c r="V127" s="1">
        <v>3.5</v>
      </c>
      <c r="W127" s="1">
        <v>1</v>
      </c>
      <c r="X127" s="1">
        <v>2.2999999999999998</v>
      </c>
      <c r="Y127" s="1">
        <v>3.8</v>
      </c>
      <c r="Z127" s="1">
        <v>7.4</v>
      </c>
      <c r="AA127" s="1">
        <v>9.1</v>
      </c>
      <c r="AB127" s="1">
        <v>5.4</v>
      </c>
      <c r="AC127" s="1">
        <v>7.3</v>
      </c>
      <c r="AD127" s="1">
        <v>2.6</v>
      </c>
      <c r="AE127" s="1">
        <v>1.3</v>
      </c>
      <c r="AF127" s="1">
        <v>3</v>
      </c>
      <c r="AG127" s="1">
        <v>0.6</v>
      </c>
      <c r="AH127" s="1">
        <v>22.5</v>
      </c>
      <c r="AI127" s="1">
        <v>8.3000000000000007</v>
      </c>
      <c r="AJ127" s="1">
        <v>3.1</v>
      </c>
      <c r="AK127" s="1">
        <v>0.6</v>
      </c>
      <c r="AL127" s="1">
        <v>7</v>
      </c>
      <c r="AM127" s="1">
        <v>4</v>
      </c>
      <c r="AN127" s="1">
        <v>5</v>
      </c>
      <c r="AO127" s="1">
        <v>4.3</v>
      </c>
      <c r="AP127" s="1">
        <v>4.0999999999999996</v>
      </c>
      <c r="AQ127" s="1">
        <v>4.7916666666666696</v>
      </c>
      <c r="AR127" s="1">
        <v>5.5</v>
      </c>
      <c r="AS127" s="1">
        <v>7.8571428571428603</v>
      </c>
      <c r="AT127" s="1" t="s">
        <v>797</v>
      </c>
      <c r="AU127" s="1" t="s">
        <v>98</v>
      </c>
      <c r="AV127" s="1" t="s">
        <v>105</v>
      </c>
      <c r="AW127" s="1"/>
      <c r="AX127" s="1" t="s">
        <v>102</v>
      </c>
      <c r="AY127" s="1" t="s">
        <v>98</v>
      </c>
      <c r="AZ127" s="1">
        <v>10</v>
      </c>
      <c r="BA127" s="1"/>
      <c r="BB127" s="1">
        <v>7</v>
      </c>
      <c r="BC127" s="1" t="s">
        <v>1522</v>
      </c>
      <c r="BD127" s="1" t="s">
        <v>1404</v>
      </c>
      <c r="BE127" s="1"/>
      <c r="BF127" s="1">
        <v>39.090000000000003</v>
      </c>
      <c r="BG127" s="1">
        <v>39.2936014317131</v>
      </c>
      <c r="BH127" s="1">
        <v>42.210743141377399</v>
      </c>
      <c r="BI127">
        <v>43.2</v>
      </c>
      <c r="BJ127">
        <v>43.968311953581299</v>
      </c>
      <c r="BK127" t="s">
        <v>1405</v>
      </c>
      <c r="BL127" t="s">
        <v>1406</v>
      </c>
      <c r="BM127">
        <v>206139.587</v>
      </c>
      <c r="BN127">
        <v>0.98925685862260304</v>
      </c>
      <c r="BO127">
        <v>2.9171417096643002</v>
      </c>
      <c r="BP127">
        <v>9.8925685862260302</v>
      </c>
      <c r="BQ127">
        <v>9.7238056988809998</v>
      </c>
      <c r="BR127">
        <v>9.8925685862260302</v>
      </c>
      <c r="BS127" t="s">
        <v>1400</v>
      </c>
      <c r="BT127" t="s">
        <v>1401</v>
      </c>
      <c r="BU127" t="s">
        <v>1402</v>
      </c>
      <c r="BW127">
        <v>17.462</v>
      </c>
      <c r="BX127">
        <v>22.562000000000001</v>
      </c>
      <c r="CF127" t="s">
        <v>1431</v>
      </c>
      <c r="CL127">
        <v>10</v>
      </c>
      <c r="CM127">
        <v>86.210838317871094</v>
      </c>
      <c r="CS127">
        <v>6.5321125984191903</v>
      </c>
      <c r="CY127">
        <v>69.191589355468807</v>
      </c>
      <c r="CZ127">
        <v>66.560295104980497</v>
      </c>
      <c r="DE127">
        <v>10</v>
      </c>
      <c r="DF127">
        <v>10</v>
      </c>
      <c r="DG127">
        <v>10</v>
      </c>
    </row>
    <row r="128" spans="1:111" x14ac:dyDescent="0.2">
      <c r="A128" s="3">
        <v>1</v>
      </c>
      <c r="B128" s="3" t="s">
        <v>801</v>
      </c>
      <c r="C128" s="3" t="s">
        <v>802</v>
      </c>
      <c r="D128" s="1"/>
      <c r="E128" s="1">
        <f t="shared" si="9"/>
        <v>7.0710678118654737</v>
      </c>
      <c r="F128" s="1">
        <f t="shared" si="10"/>
        <v>7.1428571428571397</v>
      </c>
      <c r="G128" s="1">
        <f t="shared" si="11"/>
        <v>7</v>
      </c>
      <c r="H128" s="1"/>
      <c r="I128" s="1">
        <v>126</v>
      </c>
      <c r="J128" s="1">
        <v>68.151493329999994</v>
      </c>
      <c r="K128" s="1">
        <v>17.142135809999999</v>
      </c>
      <c r="L128" s="1">
        <v>8.1</v>
      </c>
      <c r="M128" s="1">
        <v>2.9</v>
      </c>
      <c r="N128" s="1">
        <v>8.1</v>
      </c>
      <c r="O128" s="1">
        <v>5.8</v>
      </c>
      <c r="P128" s="1">
        <v>5.9</v>
      </c>
      <c r="Q128" s="1">
        <v>4.8</v>
      </c>
      <c r="R128" s="1"/>
      <c r="S128" s="1">
        <v>0</v>
      </c>
      <c r="T128" s="1">
        <v>0</v>
      </c>
      <c r="U128" s="1">
        <v>4.0999999999999996</v>
      </c>
      <c r="V128" s="1">
        <v>5.9</v>
      </c>
      <c r="W128" s="1">
        <v>1.4</v>
      </c>
      <c r="X128" s="1">
        <v>3.7</v>
      </c>
      <c r="Y128" s="1">
        <v>3.9</v>
      </c>
      <c r="Z128" s="1">
        <v>4.8</v>
      </c>
      <c r="AA128" s="1">
        <v>7.2</v>
      </c>
      <c r="AB128" s="1">
        <v>0.3</v>
      </c>
      <c r="AC128" s="1">
        <v>4.0999999999999996</v>
      </c>
      <c r="AD128" s="1">
        <v>0.3</v>
      </c>
      <c r="AE128" s="1">
        <v>0.2</v>
      </c>
      <c r="AF128" s="1">
        <v>5</v>
      </c>
      <c r="AG128" s="1">
        <v>1.7</v>
      </c>
      <c r="AH128" s="1">
        <v>14.2</v>
      </c>
      <c r="AI128" s="1">
        <v>2.8</v>
      </c>
      <c r="AJ128" s="1">
        <v>11.4</v>
      </c>
      <c r="AK128" s="1">
        <v>5.2</v>
      </c>
      <c r="AL128" s="1">
        <v>4</v>
      </c>
      <c r="AM128" s="1">
        <v>0.8</v>
      </c>
      <c r="AN128" s="1">
        <v>3.2</v>
      </c>
      <c r="AO128" s="1">
        <v>5.0999999999999996</v>
      </c>
      <c r="AP128" s="1">
        <v>4.5</v>
      </c>
      <c r="AQ128" s="1">
        <v>6.4583333333333304</v>
      </c>
      <c r="AR128" s="1">
        <v>5</v>
      </c>
      <c r="AS128" s="1">
        <v>7.1428571428571397</v>
      </c>
      <c r="AT128" s="1" t="s">
        <v>387</v>
      </c>
      <c r="AU128" s="1" t="s">
        <v>98</v>
      </c>
      <c r="AV128" s="1" t="s">
        <v>505</v>
      </c>
      <c r="AW128" s="1" t="s">
        <v>100</v>
      </c>
      <c r="AX128" s="1" t="s">
        <v>102</v>
      </c>
      <c r="AY128" s="1" t="s">
        <v>98</v>
      </c>
      <c r="AZ128" s="1">
        <v>10</v>
      </c>
      <c r="BA128" s="1">
        <v>7</v>
      </c>
      <c r="BB128" s="1">
        <v>7</v>
      </c>
      <c r="BC128" s="1" t="s">
        <v>1523</v>
      </c>
      <c r="BD128" s="1" t="s">
        <v>1404</v>
      </c>
      <c r="BE128" s="1">
        <v>2.0590085252448902</v>
      </c>
      <c r="BF128" s="1">
        <v>2.8660867668329102</v>
      </c>
      <c r="BG128" s="1">
        <v>3.40828798376084</v>
      </c>
      <c r="BH128" s="1">
        <v>4.4918186981378696</v>
      </c>
      <c r="BI128">
        <v>4.4918186981378696</v>
      </c>
      <c r="BJ128">
        <v>4.4705729931906397</v>
      </c>
      <c r="BK128" t="s">
        <v>1405</v>
      </c>
      <c r="BL128" t="s">
        <v>1408</v>
      </c>
      <c r="BM128">
        <v>6624.5540000000001</v>
      </c>
      <c r="BN128">
        <v>0</v>
      </c>
      <c r="BO128">
        <v>1.0835307143770301</v>
      </c>
      <c r="BP128">
        <v>0</v>
      </c>
      <c r="BQ128">
        <v>3.6117690479234299</v>
      </c>
      <c r="BR128">
        <v>3.6117690479234299</v>
      </c>
      <c r="BS128" t="s">
        <v>1400</v>
      </c>
      <c r="BT128" t="s">
        <v>1401</v>
      </c>
      <c r="BU128" t="s">
        <v>1402</v>
      </c>
      <c r="BW128">
        <v>3.67</v>
      </c>
      <c r="BX128">
        <v>5.5</v>
      </c>
      <c r="BY128">
        <v>6.1269999999999998</v>
      </c>
      <c r="BZ128">
        <v>10.601000000000001</v>
      </c>
      <c r="CA128">
        <v>11.1</v>
      </c>
      <c r="CB128">
        <v>7.5179999999999998</v>
      </c>
      <c r="CC128">
        <v>7.157</v>
      </c>
      <c r="CD128">
        <v>6.7629999999999999</v>
      </c>
      <c r="CE128">
        <v>6.3550000000000004</v>
      </c>
      <c r="CF128" t="s">
        <v>1524</v>
      </c>
      <c r="CG128">
        <v>0.498999999999999</v>
      </c>
      <c r="CH128">
        <v>4.4740000000000002</v>
      </c>
      <c r="CI128">
        <v>4.9899999999999904</v>
      </c>
      <c r="CJ128">
        <v>10</v>
      </c>
      <c r="CK128">
        <v>10</v>
      </c>
    </row>
    <row r="129" spans="1:111" x14ac:dyDescent="0.2">
      <c r="A129" s="3">
        <v>1</v>
      </c>
      <c r="B129" s="3" t="s">
        <v>805</v>
      </c>
      <c r="C129" s="3" t="s">
        <v>806</v>
      </c>
      <c r="D129" s="1"/>
      <c r="E129" s="1">
        <f t="shared" si="9"/>
        <v>1.4142135623730956</v>
      </c>
      <c r="F129" s="1">
        <f t="shared" si="10"/>
        <v>0.28571428571428598</v>
      </c>
      <c r="G129" s="1">
        <f t="shared" si="11"/>
        <v>7</v>
      </c>
      <c r="H129" s="1"/>
      <c r="I129" s="1">
        <v>127</v>
      </c>
      <c r="J129" s="1"/>
      <c r="K129" s="1"/>
      <c r="L129" s="1"/>
      <c r="M129" s="1"/>
      <c r="N129" s="1"/>
      <c r="O129" s="1">
        <v>9</v>
      </c>
      <c r="P129" s="1">
        <v>9.1</v>
      </c>
      <c r="Q129" s="1"/>
      <c r="R129" s="1">
        <v>0.6</v>
      </c>
      <c r="S129" s="1">
        <v>0.7</v>
      </c>
      <c r="T129" s="1">
        <v>0.7</v>
      </c>
      <c r="U129" s="1">
        <v>4.9000000000000004</v>
      </c>
      <c r="V129" s="1">
        <v>3.1</v>
      </c>
      <c r="W129" s="1">
        <v>10</v>
      </c>
      <c r="X129" s="1">
        <v>6.6</v>
      </c>
      <c r="Y129" s="1">
        <v>5.7</v>
      </c>
      <c r="Z129" s="1">
        <v>0</v>
      </c>
      <c r="AA129" s="1"/>
      <c r="AB129" s="1">
        <v>0</v>
      </c>
      <c r="AC129" s="1">
        <v>0</v>
      </c>
      <c r="AD129" s="1">
        <v>0</v>
      </c>
      <c r="AE129" s="1">
        <v>0</v>
      </c>
      <c r="AF129" s="1">
        <v>19</v>
      </c>
      <c r="AG129" s="1">
        <v>9.4</v>
      </c>
      <c r="AH129" s="1">
        <v>11.2</v>
      </c>
      <c r="AI129" s="1">
        <v>0.8</v>
      </c>
      <c r="AJ129" s="1">
        <v>5.4</v>
      </c>
      <c r="AK129" s="1">
        <v>1.9</v>
      </c>
      <c r="AL129" s="1">
        <v>3</v>
      </c>
      <c r="AM129" s="1">
        <v>0.1</v>
      </c>
      <c r="AN129" s="1">
        <v>1.5</v>
      </c>
      <c r="AO129" s="1">
        <v>0.7</v>
      </c>
      <c r="AP129" s="1">
        <v>3.2</v>
      </c>
      <c r="AQ129" s="1">
        <v>1.0416666666666701</v>
      </c>
      <c r="AR129" s="1">
        <v>0.2</v>
      </c>
      <c r="AS129" s="1">
        <v>0.28571428571428598</v>
      </c>
      <c r="AT129" s="1" t="s">
        <v>736</v>
      </c>
      <c r="AU129" s="1" t="s">
        <v>98</v>
      </c>
      <c r="AV129" s="1" t="s">
        <v>809</v>
      </c>
      <c r="AW129" s="1" t="s">
        <v>100</v>
      </c>
      <c r="AX129" s="1" t="s">
        <v>183</v>
      </c>
      <c r="AY129" s="1" t="s">
        <v>96</v>
      </c>
      <c r="AZ129" s="1">
        <v>10</v>
      </c>
      <c r="BA129" s="1">
        <v>7</v>
      </c>
      <c r="BB129" s="1">
        <v>3</v>
      </c>
      <c r="BC129" s="1"/>
      <c r="BD129" s="1"/>
      <c r="BE129" s="1"/>
      <c r="BF129" s="1"/>
      <c r="BG129" s="1"/>
      <c r="BH129" s="1"/>
      <c r="BS129" t="s">
        <v>1400</v>
      </c>
      <c r="BT129" t="s">
        <v>1401</v>
      </c>
      <c r="BU129" t="s">
        <v>1402</v>
      </c>
      <c r="BW129">
        <v>4.8540000000000001</v>
      </c>
      <c r="BX129">
        <v>3.839</v>
      </c>
      <c r="BY129">
        <v>3.39</v>
      </c>
      <c r="BZ129">
        <v>5.5</v>
      </c>
      <c r="CA129">
        <v>4.5</v>
      </c>
      <c r="CB129">
        <v>4</v>
      </c>
      <c r="CC129">
        <v>4</v>
      </c>
      <c r="CD129">
        <v>4</v>
      </c>
      <c r="CE129">
        <v>4</v>
      </c>
      <c r="CF129" t="s">
        <v>1525</v>
      </c>
      <c r="CG129">
        <v>-1</v>
      </c>
      <c r="CH129">
        <v>2.11</v>
      </c>
      <c r="CI129">
        <v>0</v>
      </c>
      <c r="CJ129">
        <v>7.0333333333333297</v>
      </c>
      <c r="CK129">
        <v>7.0333333333333297</v>
      </c>
    </row>
    <row r="130" spans="1:111" x14ac:dyDescent="0.2">
      <c r="A130" s="3">
        <v>1</v>
      </c>
      <c r="B130" s="3" t="s">
        <v>810</v>
      </c>
      <c r="C130" s="3" t="s">
        <v>811</v>
      </c>
      <c r="D130" s="1"/>
      <c r="E130" s="1">
        <f t="shared" si="9"/>
        <v>0.28571428571428598</v>
      </c>
      <c r="F130" s="1">
        <f t="shared" si="10"/>
        <v>0.28571428571428598</v>
      </c>
      <c r="G130" s="1">
        <f t="shared" si="11"/>
        <v>0</v>
      </c>
      <c r="H130" s="1"/>
      <c r="I130" s="1">
        <v>128</v>
      </c>
      <c r="J130" s="1"/>
      <c r="K130" s="1"/>
      <c r="L130" s="1"/>
      <c r="M130" s="1"/>
      <c r="N130" s="1"/>
      <c r="O130" s="1">
        <v>3.9</v>
      </c>
      <c r="P130" s="1">
        <v>8.1999999999999993</v>
      </c>
      <c r="Q130" s="1">
        <v>0</v>
      </c>
      <c r="R130" s="1">
        <v>0.5</v>
      </c>
      <c r="S130" s="1">
        <v>1.1000000000000001</v>
      </c>
      <c r="T130" s="1">
        <v>1.1000000000000001</v>
      </c>
      <c r="U130" s="1">
        <v>2.7</v>
      </c>
      <c r="V130" s="1">
        <v>4.9000000000000004</v>
      </c>
      <c r="W130" s="1">
        <v>4.5</v>
      </c>
      <c r="X130" s="1">
        <v>4.7</v>
      </c>
      <c r="Y130" s="1">
        <v>3.7</v>
      </c>
      <c r="Z130" s="1">
        <v>0</v>
      </c>
      <c r="AA130" s="1"/>
      <c r="AB130" s="1">
        <v>0</v>
      </c>
      <c r="AC130" s="1">
        <v>0</v>
      </c>
      <c r="AD130" s="1">
        <v>0</v>
      </c>
      <c r="AE130" s="1">
        <v>0</v>
      </c>
      <c r="AF130" s="1">
        <v>17</v>
      </c>
      <c r="AG130" s="1">
        <v>8.3000000000000007</v>
      </c>
      <c r="AH130" s="1">
        <v>9.1999999999999993</v>
      </c>
      <c r="AI130" s="1">
        <v>0</v>
      </c>
      <c r="AJ130" s="1">
        <v>5.3</v>
      </c>
      <c r="AK130" s="1">
        <v>1.8</v>
      </c>
      <c r="AL130" s="1">
        <v>3</v>
      </c>
      <c r="AM130" s="1">
        <v>0.1</v>
      </c>
      <c r="AN130" s="1">
        <v>1.2</v>
      </c>
      <c r="AO130" s="1">
        <v>0.6</v>
      </c>
      <c r="AP130" s="1">
        <v>2.2000000000000002</v>
      </c>
      <c r="AQ130" s="1">
        <v>0</v>
      </c>
      <c r="AR130" s="1">
        <v>0.2</v>
      </c>
      <c r="AS130" s="1">
        <v>0.28571428571428598</v>
      </c>
      <c r="AT130" s="1" t="s">
        <v>347</v>
      </c>
      <c r="AU130" s="1" t="s">
        <v>98</v>
      </c>
      <c r="AV130" s="1" t="s">
        <v>813</v>
      </c>
      <c r="AW130" s="1" t="s">
        <v>96</v>
      </c>
      <c r="AX130" s="1" t="s">
        <v>183</v>
      </c>
      <c r="AY130" s="1" t="s">
        <v>96</v>
      </c>
      <c r="AZ130" s="1">
        <v>10</v>
      </c>
      <c r="BA130" s="1">
        <v>0</v>
      </c>
      <c r="BB130" s="1">
        <v>3</v>
      </c>
      <c r="BC130" s="1"/>
      <c r="BD130" s="1"/>
      <c r="BE130" s="1"/>
      <c r="BF130" s="1"/>
      <c r="BG130" s="1"/>
      <c r="BH130" s="1"/>
      <c r="BS130" t="s">
        <v>1400</v>
      </c>
      <c r="BT130" t="s">
        <v>1401</v>
      </c>
      <c r="BU130" t="s">
        <v>1402</v>
      </c>
      <c r="BW130">
        <v>4.2160000000000002</v>
      </c>
      <c r="BX130">
        <v>3.8540000000000001</v>
      </c>
      <c r="BY130">
        <v>3.7280000000000002</v>
      </c>
      <c r="BZ130">
        <v>4.5</v>
      </c>
      <c r="CA130">
        <v>4.3</v>
      </c>
      <c r="CB130">
        <v>4</v>
      </c>
      <c r="CC130">
        <v>3.9</v>
      </c>
      <c r="CD130">
        <v>3.8</v>
      </c>
      <c r="CE130">
        <v>3.8</v>
      </c>
      <c r="CF130" t="s">
        <v>1526</v>
      </c>
      <c r="CG130">
        <v>-0.2</v>
      </c>
      <c r="CH130">
        <v>0.77200000000000002</v>
      </c>
      <c r="CI130">
        <v>0</v>
      </c>
      <c r="CJ130">
        <v>2.5733333333333301</v>
      </c>
      <c r="CK130">
        <v>2.5733333333333301</v>
      </c>
    </row>
    <row r="131" spans="1:111" x14ac:dyDescent="0.2">
      <c r="A131" s="3">
        <v>1</v>
      </c>
      <c r="B131" s="3" t="s">
        <v>814</v>
      </c>
      <c r="C131" s="3" t="s">
        <v>815</v>
      </c>
      <c r="D131" s="1"/>
      <c r="E131" s="1">
        <f t="shared" ref="E131:E162" si="12">IFERROR(GEOMEAN(F131, G131), MAX(F131, G131))</f>
        <v>8.2857142857142794</v>
      </c>
      <c r="F131" s="1">
        <f t="shared" ref="F131:F162" si="13">MAX(AS131)</f>
        <v>8.2857142857142794</v>
      </c>
      <c r="G131" s="1">
        <f t="shared" ref="G131:G162" si="14">MAX(BA131, DG131)</f>
        <v>0</v>
      </c>
      <c r="H131" s="1"/>
      <c r="I131" s="1">
        <v>129</v>
      </c>
      <c r="J131" s="1">
        <v>43.485383300000002</v>
      </c>
      <c r="K131" s="1">
        <v>5.9549416759999998</v>
      </c>
      <c r="L131" s="1">
        <v>5.0999999999999996</v>
      </c>
      <c r="M131" s="1">
        <v>0.6</v>
      </c>
      <c r="N131" s="1">
        <v>5.0999999999999996</v>
      </c>
      <c r="O131" s="1">
        <v>7.6</v>
      </c>
      <c r="P131" s="1">
        <v>2</v>
      </c>
      <c r="Q131" s="1">
        <v>5.7</v>
      </c>
      <c r="R131" s="1">
        <v>5.6</v>
      </c>
      <c r="S131" s="1">
        <v>0.1</v>
      </c>
      <c r="T131" s="1">
        <v>0.1</v>
      </c>
      <c r="U131" s="1">
        <v>4.2</v>
      </c>
      <c r="V131" s="1">
        <v>7.8</v>
      </c>
      <c r="W131" s="1">
        <v>1.4</v>
      </c>
      <c r="X131" s="1">
        <v>4.5999999999999996</v>
      </c>
      <c r="Y131" s="1">
        <v>4.4000000000000004</v>
      </c>
      <c r="Z131" s="1">
        <v>6.5</v>
      </c>
      <c r="AA131" s="1">
        <v>8.1</v>
      </c>
      <c r="AB131" s="1">
        <v>1.5</v>
      </c>
      <c r="AC131" s="1">
        <v>5.4</v>
      </c>
      <c r="AD131" s="1">
        <v>0</v>
      </c>
      <c r="AE131" s="1">
        <v>0</v>
      </c>
      <c r="AF131" s="1">
        <v>6</v>
      </c>
      <c r="AG131" s="1">
        <v>2.2000000000000002</v>
      </c>
      <c r="AH131" s="1">
        <v>21.8</v>
      </c>
      <c r="AI131" s="1">
        <v>7.9</v>
      </c>
      <c r="AJ131" s="1">
        <v>7.2</v>
      </c>
      <c r="AK131" s="1">
        <v>2.9</v>
      </c>
      <c r="AL131" s="1">
        <v>4</v>
      </c>
      <c r="AM131" s="1">
        <v>2.8</v>
      </c>
      <c r="AN131" s="1">
        <v>4.4000000000000004</v>
      </c>
      <c r="AO131" s="1">
        <v>5</v>
      </c>
      <c r="AP131" s="1">
        <v>4.7</v>
      </c>
      <c r="AQ131" s="1">
        <v>7.2916666666666696</v>
      </c>
      <c r="AR131" s="1">
        <v>5.8</v>
      </c>
      <c r="AS131" s="1">
        <v>8.2857142857142794</v>
      </c>
      <c r="AT131" s="1" t="s">
        <v>156</v>
      </c>
      <c r="AU131" s="1" t="s">
        <v>100</v>
      </c>
      <c r="AV131" s="1" t="s">
        <v>105</v>
      </c>
      <c r="AW131" s="1"/>
      <c r="AX131" s="1" t="s">
        <v>137</v>
      </c>
      <c r="AY131" s="1" t="s">
        <v>100</v>
      </c>
      <c r="AZ131" s="1">
        <v>7</v>
      </c>
      <c r="BA131" s="1"/>
      <c r="BB131" s="1">
        <v>0</v>
      </c>
      <c r="BC131" s="1"/>
      <c r="BD131" s="1"/>
      <c r="BE131" s="1"/>
      <c r="BF131" s="1"/>
      <c r="BG131" s="1"/>
      <c r="BH131" s="1"/>
      <c r="BS131" t="s">
        <v>1400</v>
      </c>
      <c r="BT131" t="s">
        <v>1401</v>
      </c>
      <c r="BU131" t="s">
        <v>1402</v>
      </c>
      <c r="CF131" t="s">
        <v>103</v>
      </c>
    </row>
    <row r="132" spans="1:111" x14ac:dyDescent="0.2">
      <c r="A132" s="3">
        <v>1</v>
      </c>
      <c r="B132" s="3" t="s">
        <v>819</v>
      </c>
      <c r="C132" s="3" t="s">
        <v>820</v>
      </c>
      <c r="D132" s="1"/>
      <c r="E132" s="1">
        <f t="shared" si="12"/>
        <v>6</v>
      </c>
      <c r="F132" s="1">
        <f t="shared" si="13"/>
        <v>6</v>
      </c>
      <c r="G132" s="1">
        <f t="shared" si="14"/>
        <v>0</v>
      </c>
      <c r="H132" s="1"/>
      <c r="I132" s="1">
        <v>130</v>
      </c>
      <c r="J132" s="1"/>
      <c r="K132" s="1"/>
      <c r="L132" s="1"/>
      <c r="M132" s="1"/>
      <c r="N132" s="1"/>
      <c r="O132" s="1">
        <v>9.3000000000000007</v>
      </c>
      <c r="P132" s="1">
        <v>10</v>
      </c>
      <c r="Q132" s="1"/>
      <c r="R132" s="1"/>
      <c r="S132" s="1">
        <v>12.8</v>
      </c>
      <c r="T132" s="1">
        <v>10</v>
      </c>
      <c r="U132" s="1">
        <v>9.8000000000000007</v>
      </c>
      <c r="V132" s="1">
        <v>2.1</v>
      </c>
      <c r="W132" s="1">
        <v>10</v>
      </c>
      <c r="X132" s="1">
        <v>6.1</v>
      </c>
      <c r="Y132" s="1">
        <v>7.9</v>
      </c>
      <c r="Z132" s="1">
        <v>2.8</v>
      </c>
      <c r="AA132" s="1"/>
      <c r="AB132" s="1"/>
      <c r="AC132" s="1">
        <v>2.8</v>
      </c>
      <c r="AD132" s="1">
        <v>0</v>
      </c>
      <c r="AE132" s="1">
        <v>0</v>
      </c>
      <c r="AF132" s="1"/>
      <c r="AG132" s="1"/>
      <c r="AH132" s="1"/>
      <c r="AI132" s="1"/>
      <c r="AJ132" s="1">
        <v>12</v>
      </c>
      <c r="AK132" s="1">
        <v>5.6</v>
      </c>
      <c r="AL132" s="1">
        <v>5</v>
      </c>
      <c r="AM132" s="1">
        <v>1.7</v>
      </c>
      <c r="AN132" s="1">
        <v>4.0999999999999996</v>
      </c>
      <c r="AO132" s="1">
        <v>3.5</v>
      </c>
      <c r="AP132" s="1">
        <v>5.7</v>
      </c>
      <c r="AQ132" s="1">
        <v>10</v>
      </c>
      <c r="AR132" s="1">
        <v>4.2</v>
      </c>
      <c r="AS132" s="1">
        <v>6</v>
      </c>
      <c r="AT132" s="1" t="s">
        <v>178</v>
      </c>
      <c r="AU132" s="1" t="s">
        <v>100</v>
      </c>
      <c r="AV132" s="1" t="s">
        <v>105</v>
      </c>
      <c r="AW132" s="1"/>
      <c r="AX132" s="1" t="s">
        <v>105</v>
      </c>
      <c r="AY132" s="1"/>
      <c r="AZ132" s="1">
        <v>7</v>
      </c>
      <c r="BA132" s="1"/>
      <c r="BB132" s="1"/>
      <c r="BC132" s="1"/>
      <c r="BD132" s="1"/>
      <c r="BE132" s="1"/>
      <c r="BF132" s="1"/>
      <c r="BG132" s="1"/>
      <c r="BH132" s="1"/>
      <c r="BS132" t="s">
        <v>1400</v>
      </c>
      <c r="BT132" t="s">
        <v>1401</v>
      </c>
      <c r="BU132" t="s">
        <v>1402</v>
      </c>
      <c r="CF132" t="s">
        <v>103</v>
      </c>
    </row>
    <row r="133" spans="1:111" x14ac:dyDescent="0.2">
      <c r="A133" s="3">
        <v>1</v>
      </c>
      <c r="B133" s="3" t="s">
        <v>821</v>
      </c>
      <c r="C133" s="3" t="s">
        <v>822</v>
      </c>
      <c r="D133" s="1"/>
      <c r="E133" s="1">
        <f t="shared" si="12"/>
        <v>2.2360679774997894</v>
      </c>
      <c r="F133" s="1">
        <f t="shared" si="13"/>
        <v>0.71428571428571397</v>
      </c>
      <c r="G133" s="1">
        <f t="shared" si="14"/>
        <v>7</v>
      </c>
      <c r="H133" s="1"/>
      <c r="I133" s="1">
        <v>131</v>
      </c>
      <c r="J133" s="1"/>
      <c r="K133" s="1"/>
      <c r="L133" s="1"/>
      <c r="M133" s="1"/>
      <c r="N133" s="1"/>
      <c r="O133" s="1">
        <v>4.2</v>
      </c>
      <c r="P133" s="1">
        <v>8.6999999999999993</v>
      </c>
      <c r="Q133" s="1"/>
      <c r="R133" s="1">
        <v>1.7</v>
      </c>
      <c r="S133" s="1">
        <v>0</v>
      </c>
      <c r="T133" s="1">
        <v>0</v>
      </c>
      <c r="U133" s="1">
        <v>3.7</v>
      </c>
      <c r="V133" s="1">
        <v>2.5</v>
      </c>
      <c r="W133" s="1">
        <v>4.0999999999999996</v>
      </c>
      <c r="X133" s="1">
        <v>3.3</v>
      </c>
      <c r="Y133" s="1">
        <v>3.5</v>
      </c>
      <c r="Z133" s="1">
        <v>0</v>
      </c>
      <c r="AA133" s="1"/>
      <c r="AB133" s="1"/>
      <c r="AC133" s="1">
        <v>0</v>
      </c>
      <c r="AD133" s="1">
        <v>0</v>
      </c>
      <c r="AE133" s="1">
        <v>0</v>
      </c>
      <c r="AF133" s="1">
        <v>16</v>
      </c>
      <c r="AG133" s="1">
        <v>7.8</v>
      </c>
      <c r="AH133" s="1">
        <v>10.1</v>
      </c>
      <c r="AI133" s="1">
        <v>0.1</v>
      </c>
      <c r="AJ133" s="1">
        <v>6.2</v>
      </c>
      <c r="AK133" s="1">
        <v>2.2999999999999998</v>
      </c>
      <c r="AL133" s="1">
        <v>3</v>
      </c>
      <c r="AM133" s="1">
        <v>0.1</v>
      </c>
      <c r="AN133" s="1">
        <v>1.4</v>
      </c>
      <c r="AO133" s="1">
        <v>0.7</v>
      </c>
      <c r="AP133" s="1">
        <v>2.1</v>
      </c>
      <c r="AQ133" s="1">
        <v>0</v>
      </c>
      <c r="AR133" s="1">
        <v>0.5</v>
      </c>
      <c r="AS133" s="1">
        <v>0.71428571428571397</v>
      </c>
      <c r="AT133" s="1" t="s">
        <v>565</v>
      </c>
      <c r="AU133" s="1" t="s">
        <v>98</v>
      </c>
      <c r="AV133" s="1" t="s">
        <v>603</v>
      </c>
      <c r="AW133" s="1" t="s">
        <v>100</v>
      </c>
      <c r="AX133" s="1" t="s">
        <v>137</v>
      </c>
      <c r="AY133" s="1" t="s">
        <v>100</v>
      </c>
      <c r="AZ133" s="1">
        <v>10</v>
      </c>
      <c r="BA133" s="1">
        <v>7</v>
      </c>
      <c r="BB133" s="1">
        <v>0</v>
      </c>
      <c r="BC133" s="1"/>
      <c r="BD133" s="1"/>
      <c r="BE133" s="1"/>
      <c r="BF133" s="1"/>
      <c r="BG133" s="1"/>
      <c r="BH133" s="1"/>
      <c r="BS133" t="s">
        <v>1400</v>
      </c>
      <c r="BT133" t="s">
        <v>1401</v>
      </c>
      <c r="BU133" t="s">
        <v>1402</v>
      </c>
      <c r="BW133">
        <v>4.7249999999999996</v>
      </c>
      <c r="BX133">
        <v>4.2750000000000004</v>
      </c>
      <c r="BY133">
        <v>4.0750000000000002</v>
      </c>
      <c r="BZ133">
        <v>6.0270000000000001</v>
      </c>
      <c r="CA133">
        <v>6.9779999999999998</v>
      </c>
      <c r="CB133">
        <v>5.4020000000000001</v>
      </c>
      <c r="CC133">
        <v>5.2530000000000001</v>
      </c>
      <c r="CD133">
        <v>5.1210000000000004</v>
      </c>
      <c r="CE133">
        <v>5.0190000000000001</v>
      </c>
      <c r="CF133" t="s">
        <v>1527</v>
      </c>
      <c r="CG133">
        <v>0.95099999999999996</v>
      </c>
      <c r="CH133">
        <v>1.952</v>
      </c>
      <c r="CI133">
        <v>9.51</v>
      </c>
      <c r="CJ133">
        <v>6.5066666666666704</v>
      </c>
      <c r="CK133">
        <v>9.51</v>
      </c>
    </row>
    <row r="134" spans="1:111" x14ac:dyDescent="0.2">
      <c r="A134" s="3">
        <v>1</v>
      </c>
      <c r="B134" s="3" t="s">
        <v>825</v>
      </c>
      <c r="C134" s="3" t="s">
        <v>826</v>
      </c>
      <c r="D134" s="1"/>
      <c r="E134" s="1">
        <f t="shared" si="12"/>
        <v>2.4285714285714302</v>
      </c>
      <c r="F134" s="1">
        <f t="shared" si="13"/>
        <v>2.4285714285714302</v>
      </c>
      <c r="G134" s="1">
        <f t="shared" si="14"/>
        <v>0</v>
      </c>
      <c r="H134" s="1"/>
      <c r="I134" s="1">
        <v>132</v>
      </c>
      <c r="J134" s="1"/>
      <c r="K134" s="1"/>
      <c r="L134" s="1"/>
      <c r="M134" s="1"/>
      <c r="N134" s="1"/>
      <c r="O134" s="1">
        <v>4</v>
      </c>
      <c r="P134" s="1">
        <v>8.5</v>
      </c>
      <c r="Q134" s="1"/>
      <c r="R134" s="1"/>
      <c r="S134" s="1">
        <v>0</v>
      </c>
      <c r="T134" s="1">
        <v>0</v>
      </c>
      <c r="U134" s="1">
        <v>4.2</v>
      </c>
      <c r="V134" s="1">
        <v>2</v>
      </c>
      <c r="W134" s="1">
        <v>1.3</v>
      </c>
      <c r="X134" s="1">
        <v>1.7</v>
      </c>
      <c r="Y134" s="1">
        <v>2.9</v>
      </c>
      <c r="Z134" s="1">
        <v>1.6</v>
      </c>
      <c r="AA134" s="1"/>
      <c r="AB134" s="1"/>
      <c r="AC134" s="1">
        <v>1.6</v>
      </c>
      <c r="AD134" s="1">
        <v>0</v>
      </c>
      <c r="AE134" s="1">
        <v>0</v>
      </c>
      <c r="AF134" s="1">
        <v>2</v>
      </c>
      <c r="AG134" s="1">
        <v>0</v>
      </c>
      <c r="AH134" s="1">
        <v>17.8</v>
      </c>
      <c r="AI134" s="1">
        <v>5.2</v>
      </c>
      <c r="AJ134" s="1">
        <v>10.1</v>
      </c>
      <c r="AK134" s="1">
        <v>4.5</v>
      </c>
      <c r="AL134" s="1">
        <v>10</v>
      </c>
      <c r="AM134" s="1">
        <v>0.1</v>
      </c>
      <c r="AN134" s="1">
        <v>5</v>
      </c>
      <c r="AO134" s="1">
        <v>3.3</v>
      </c>
      <c r="AP134" s="1">
        <v>3.1</v>
      </c>
      <c r="AQ134" s="1">
        <v>0.625</v>
      </c>
      <c r="AR134" s="1">
        <v>1.7</v>
      </c>
      <c r="AS134" s="1">
        <v>2.4285714285714302</v>
      </c>
      <c r="AT134" s="1" t="s">
        <v>828</v>
      </c>
      <c r="AU134" s="1" t="s">
        <v>98</v>
      </c>
      <c r="AV134" s="1" t="s">
        <v>105</v>
      </c>
      <c r="AW134" s="1"/>
      <c r="AX134" s="1" t="s">
        <v>183</v>
      </c>
      <c r="AY134" s="1" t="s">
        <v>96</v>
      </c>
      <c r="AZ134" s="1">
        <v>10</v>
      </c>
      <c r="BA134" s="1"/>
      <c r="BB134" s="1">
        <v>3</v>
      </c>
      <c r="BC134" s="1"/>
      <c r="BD134" s="1"/>
      <c r="BE134" s="1"/>
      <c r="BF134" s="1"/>
      <c r="BG134" s="1"/>
      <c r="BH134" s="1"/>
      <c r="BS134" t="s">
        <v>1400</v>
      </c>
      <c r="BT134" t="s">
        <v>1401</v>
      </c>
      <c r="BU134" t="s">
        <v>1402</v>
      </c>
      <c r="CF134" t="s">
        <v>103</v>
      </c>
    </row>
    <row r="135" spans="1:111" x14ac:dyDescent="0.2">
      <c r="A135" s="3">
        <v>1</v>
      </c>
      <c r="B135" s="3" t="s">
        <v>829</v>
      </c>
      <c r="C135" s="3" t="s">
        <v>830</v>
      </c>
      <c r="D135" s="1"/>
      <c r="E135" s="1">
        <f t="shared" si="12"/>
        <v>7.7142857142857197</v>
      </c>
      <c r="F135" s="1">
        <f t="shared" si="13"/>
        <v>7.7142857142857197</v>
      </c>
      <c r="G135" s="1">
        <f t="shared" si="14"/>
        <v>0</v>
      </c>
      <c r="H135" s="1"/>
      <c r="I135" s="1">
        <v>133</v>
      </c>
      <c r="J135" s="1">
        <v>16.799388709999999</v>
      </c>
      <c r="K135" s="1">
        <v>19.53402277</v>
      </c>
      <c r="L135" s="1">
        <v>1.8</v>
      </c>
      <c r="M135" s="1">
        <v>3.4</v>
      </c>
      <c r="N135" s="1">
        <v>1.8</v>
      </c>
      <c r="O135" s="1">
        <v>8.1</v>
      </c>
      <c r="P135" s="1">
        <v>3.7</v>
      </c>
      <c r="Q135" s="1">
        <v>4.5</v>
      </c>
      <c r="R135" s="1">
        <v>10</v>
      </c>
      <c r="S135" s="1">
        <v>0.7</v>
      </c>
      <c r="T135" s="1">
        <v>0.7</v>
      </c>
      <c r="U135" s="1">
        <v>5.4</v>
      </c>
      <c r="V135" s="1">
        <v>7.8</v>
      </c>
      <c r="W135" s="1">
        <v>1.2</v>
      </c>
      <c r="X135" s="1">
        <v>4.5</v>
      </c>
      <c r="Y135" s="1">
        <v>5</v>
      </c>
      <c r="Z135" s="1">
        <v>6.8</v>
      </c>
      <c r="AA135" s="1">
        <v>8.8000000000000007</v>
      </c>
      <c r="AB135" s="1">
        <v>0.4</v>
      </c>
      <c r="AC135" s="1">
        <v>5.3</v>
      </c>
      <c r="AD135" s="1">
        <v>0.9</v>
      </c>
      <c r="AE135" s="1">
        <v>0.5</v>
      </c>
      <c r="AF135" s="1">
        <v>4</v>
      </c>
      <c r="AG135" s="1">
        <v>1.1000000000000001</v>
      </c>
      <c r="AH135" s="1">
        <v>24.7</v>
      </c>
      <c r="AI135" s="1">
        <v>9.8000000000000007</v>
      </c>
      <c r="AJ135" s="1">
        <v>19.899999999999999</v>
      </c>
      <c r="AK135" s="1">
        <v>9.9</v>
      </c>
      <c r="AL135" s="1">
        <v>5</v>
      </c>
      <c r="AM135" s="1">
        <v>4.9000000000000004</v>
      </c>
      <c r="AN135" s="1">
        <v>7.4</v>
      </c>
      <c r="AO135" s="1">
        <v>4.8</v>
      </c>
      <c r="AP135" s="1">
        <v>4.9000000000000004</v>
      </c>
      <c r="AQ135" s="1">
        <v>8.125</v>
      </c>
      <c r="AR135" s="1">
        <v>5.4</v>
      </c>
      <c r="AS135" s="1">
        <v>7.7142857142857197</v>
      </c>
      <c r="AT135" s="1" t="s">
        <v>832</v>
      </c>
      <c r="AU135" s="1" t="s">
        <v>100</v>
      </c>
      <c r="AV135" s="1" t="s">
        <v>813</v>
      </c>
      <c r="AW135" s="1" t="s">
        <v>96</v>
      </c>
      <c r="AX135" s="1" t="s">
        <v>137</v>
      </c>
      <c r="AY135" s="1" t="s">
        <v>100</v>
      </c>
      <c r="AZ135" s="1">
        <v>7</v>
      </c>
      <c r="BA135" s="1">
        <v>0</v>
      </c>
      <c r="BB135" s="1">
        <v>0</v>
      </c>
      <c r="BC135" s="1"/>
      <c r="BD135" s="1"/>
      <c r="BE135" s="1"/>
      <c r="BF135" s="1"/>
      <c r="BG135" s="1"/>
      <c r="BH135" s="1"/>
      <c r="BS135" t="s">
        <v>1400</v>
      </c>
      <c r="BT135" t="s">
        <v>1401</v>
      </c>
      <c r="BU135" t="s">
        <v>1402</v>
      </c>
      <c r="BW135">
        <v>6.0179999999999998</v>
      </c>
      <c r="BX135">
        <v>5.55</v>
      </c>
      <c r="BY135">
        <v>4.08</v>
      </c>
      <c r="BZ135">
        <v>4.5</v>
      </c>
      <c r="CA135">
        <v>5.1100000000000003</v>
      </c>
      <c r="CB135">
        <v>4.9000000000000004</v>
      </c>
      <c r="CC135">
        <v>4.9470000000000001</v>
      </c>
      <c r="CD135">
        <v>4.9969999999999999</v>
      </c>
      <c r="CE135">
        <v>5.0469999999999997</v>
      </c>
      <c r="CF135" t="s">
        <v>1528</v>
      </c>
      <c r="CG135">
        <v>0.61</v>
      </c>
      <c r="CH135">
        <v>0.42</v>
      </c>
      <c r="CI135">
        <v>6.1</v>
      </c>
      <c r="CJ135">
        <v>1.4</v>
      </c>
      <c r="CK135">
        <v>6.1</v>
      </c>
      <c r="CL135">
        <v>0</v>
      </c>
    </row>
    <row r="136" spans="1:111" x14ac:dyDescent="0.2">
      <c r="A136" s="3">
        <v>1</v>
      </c>
      <c r="B136" s="3" t="s">
        <v>836</v>
      </c>
      <c r="C136" s="3" t="s">
        <v>837</v>
      </c>
      <c r="D136" s="1"/>
      <c r="E136" s="1">
        <f t="shared" si="12"/>
        <v>5.0990195135927818</v>
      </c>
      <c r="F136" s="1">
        <f t="shared" si="13"/>
        <v>3.71428571428571</v>
      </c>
      <c r="G136" s="1">
        <f t="shared" si="14"/>
        <v>7</v>
      </c>
      <c r="H136" s="1"/>
      <c r="I136" s="1">
        <v>134</v>
      </c>
      <c r="J136" s="1">
        <v>63.38658109</v>
      </c>
      <c r="K136" s="1">
        <v>19.722491569999999</v>
      </c>
      <c r="L136" s="1">
        <v>7.5</v>
      </c>
      <c r="M136" s="1">
        <v>3.4</v>
      </c>
      <c r="N136" s="1">
        <v>7.5</v>
      </c>
      <c r="O136" s="1">
        <v>5.8</v>
      </c>
      <c r="P136" s="1">
        <v>6.8</v>
      </c>
      <c r="Q136" s="1">
        <v>2.5</v>
      </c>
      <c r="R136" s="1">
        <v>4.2</v>
      </c>
      <c r="S136" s="1">
        <v>0.4</v>
      </c>
      <c r="T136" s="1">
        <v>0.4</v>
      </c>
      <c r="U136" s="1">
        <v>3.9</v>
      </c>
      <c r="V136" s="1">
        <v>5.7</v>
      </c>
      <c r="W136" s="1">
        <v>1.5</v>
      </c>
      <c r="X136" s="1">
        <v>3.6</v>
      </c>
      <c r="Y136" s="1">
        <v>3.8</v>
      </c>
      <c r="Z136" s="1">
        <v>2.2000000000000002</v>
      </c>
      <c r="AA136" s="1"/>
      <c r="AB136" s="1">
        <v>0.3</v>
      </c>
      <c r="AC136" s="1">
        <v>1.2</v>
      </c>
      <c r="AD136" s="1">
        <v>0</v>
      </c>
      <c r="AE136" s="1">
        <v>0</v>
      </c>
      <c r="AF136" s="1">
        <v>8</v>
      </c>
      <c r="AG136" s="1">
        <v>3.3</v>
      </c>
      <c r="AH136" s="1">
        <v>13</v>
      </c>
      <c r="AI136" s="1">
        <v>2</v>
      </c>
      <c r="AJ136" s="1">
        <v>7.7</v>
      </c>
      <c r="AK136" s="1">
        <v>3.2</v>
      </c>
      <c r="AL136" s="1">
        <v>4</v>
      </c>
      <c r="AM136" s="1">
        <v>1</v>
      </c>
      <c r="AN136" s="1">
        <v>2.6</v>
      </c>
      <c r="AO136" s="1">
        <v>3.8</v>
      </c>
      <c r="AP136" s="1">
        <v>3.8</v>
      </c>
      <c r="AQ136" s="1">
        <v>3.5416666666666701</v>
      </c>
      <c r="AR136" s="1">
        <v>2.6</v>
      </c>
      <c r="AS136" s="1">
        <v>3.71428571428571</v>
      </c>
      <c r="AT136" s="1" t="s">
        <v>552</v>
      </c>
      <c r="AU136" s="1" t="s">
        <v>98</v>
      </c>
      <c r="AV136" s="1" t="s">
        <v>839</v>
      </c>
      <c r="AW136" s="1" t="s">
        <v>100</v>
      </c>
      <c r="AX136" s="1" t="s">
        <v>137</v>
      </c>
      <c r="AY136" s="1" t="s">
        <v>100</v>
      </c>
      <c r="AZ136" s="1">
        <v>10</v>
      </c>
      <c r="BA136" s="1">
        <v>7</v>
      </c>
      <c r="BB136" s="1">
        <v>0</v>
      </c>
      <c r="BC136" s="1" t="s">
        <v>1529</v>
      </c>
      <c r="BD136" s="1" t="s">
        <v>1404</v>
      </c>
      <c r="BE136" s="1">
        <v>2.52310972085075</v>
      </c>
      <c r="BF136" s="1">
        <v>1.70365022422813</v>
      </c>
      <c r="BG136" s="1">
        <v>1.6625006502276101</v>
      </c>
      <c r="BH136" s="1">
        <v>1.9869575001616799</v>
      </c>
      <c r="BI136">
        <v>1.8009105845591999</v>
      </c>
      <c r="BJ136">
        <v>1.7470738517252</v>
      </c>
      <c r="BK136" t="s">
        <v>1405</v>
      </c>
      <c r="BL136" t="s">
        <v>1408</v>
      </c>
      <c r="BM136">
        <v>4314.768</v>
      </c>
      <c r="BN136">
        <v>-0.18604691560247999</v>
      </c>
      <c r="BO136">
        <v>0.32445684993406998</v>
      </c>
      <c r="BP136">
        <v>0</v>
      </c>
      <c r="BQ136">
        <v>1.08152283311357</v>
      </c>
      <c r="BR136">
        <v>1.08152283311357</v>
      </c>
      <c r="BS136" t="s">
        <v>1400</v>
      </c>
      <c r="BT136" t="s">
        <v>1401</v>
      </c>
      <c r="BU136" t="s">
        <v>1402</v>
      </c>
      <c r="BW136">
        <v>6.13</v>
      </c>
      <c r="BX136">
        <v>5.9560000000000004</v>
      </c>
      <c r="BY136">
        <v>7.07</v>
      </c>
      <c r="BZ136">
        <v>10.923</v>
      </c>
      <c r="CA136">
        <v>10.058</v>
      </c>
      <c r="CB136">
        <v>9.2390000000000008</v>
      </c>
      <c r="CC136">
        <v>8.8140000000000001</v>
      </c>
      <c r="CD136">
        <v>8.8130000000000006</v>
      </c>
      <c r="CE136">
        <v>8.8119999999999994</v>
      </c>
      <c r="CF136" t="s">
        <v>1530</v>
      </c>
      <c r="CG136">
        <v>-0.86499999999999999</v>
      </c>
      <c r="CH136">
        <v>3.8530000000000002</v>
      </c>
      <c r="CI136">
        <v>0</v>
      </c>
      <c r="CJ136">
        <v>10</v>
      </c>
      <c r="CK136">
        <v>10</v>
      </c>
    </row>
    <row r="137" spans="1:111" x14ac:dyDescent="0.2">
      <c r="A137" s="3">
        <v>1</v>
      </c>
      <c r="B137" s="3" t="s">
        <v>840</v>
      </c>
      <c r="C137" s="3" t="s">
        <v>841</v>
      </c>
      <c r="D137" s="1"/>
      <c r="E137" s="1">
        <f t="shared" si="12"/>
        <v>5.8309518948453025</v>
      </c>
      <c r="F137" s="1">
        <f t="shared" si="13"/>
        <v>4.8571428571428603</v>
      </c>
      <c r="G137" s="1">
        <f t="shared" si="14"/>
        <v>7</v>
      </c>
      <c r="H137" s="1"/>
      <c r="I137" s="1">
        <v>135</v>
      </c>
      <c r="J137" s="1">
        <v>64.854444000000001</v>
      </c>
      <c r="K137" s="1">
        <v>17.832760279999999</v>
      </c>
      <c r="L137" s="1">
        <v>7.7</v>
      </c>
      <c r="M137" s="1">
        <v>3</v>
      </c>
      <c r="N137" s="1">
        <v>7.7</v>
      </c>
      <c r="O137" s="1">
        <v>4.7</v>
      </c>
      <c r="P137" s="1">
        <v>7.8</v>
      </c>
      <c r="Q137" s="1">
        <v>3.8</v>
      </c>
      <c r="R137" s="1">
        <v>4.4000000000000004</v>
      </c>
      <c r="S137" s="1">
        <v>0.9</v>
      </c>
      <c r="T137" s="1">
        <v>0.9</v>
      </c>
      <c r="U137" s="1">
        <v>4.3</v>
      </c>
      <c r="V137" s="1">
        <v>6</v>
      </c>
      <c r="W137" s="1">
        <v>0.6</v>
      </c>
      <c r="X137" s="1">
        <v>3.3</v>
      </c>
      <c r="Y137" s="1">
        <v>3.8</v>
      </c>
      <c r="Z137" s="1">
        <v>3</v>
      </c>
      <c r="AA137" s="1">
        <v>6.1</v>
      </c>
      <c r="AB137" s="1">
        <v>0.3</v>
      </c>
      <c r="AC137" s="1">
        <v>3.1</v>
      </c>
      <c r="AD137" s="1">
        <v>0.1</v>
      </c>
      <c r="AE137" s="1">
        <v>0.1</v>
      </c>
      <c r="AF137" s="1">
        <v>8</v>
      </c>
      <c r="AG137" s="1">
        <v>3.3</v>
      </c>
      <c r="AH137" s="1">
        <v>12.6</v>
      </c>
      <c r="AI137" s="1">
        <v>1.7</v>
      </c>
      <c r="AJ137" s="1">
        <v>6.6</v>
      </c>
      <c r="AK137" s="1">
        <v>2.6</v>
      </c>
      <c r="AL137" s="1">
        <v>3</v>
      </c>
      <c r="AM137" s="1">
        <v>2.1</v>
      </c>
      <c r="AN137" s="1">
        <v>2.4</v>
      </c>
      <c r="AO137" s="1">
        <v>4.4000000000000004</v>
      </c>
      <c r="AP137" s="1">
        <v>4.0999999999999996</v>
      </c>
      <c r="AQ137" s="1">
        <v>4.7916666666666696</v>
      </c>
      <c r="AR137" s="1">
        <v>3.4</v>
      </c>
      <c r="AS137" s="1">
        <v>4.8571428571428603</v>
      </c>
      <c r="AT137" s="1" t="s">
        <v>843</v>
      </c>
      <c r="AU137" s="1" t="s">
        <v>98</v>
      </c>
      <c r="AV137" s="1" t="s">
        <v>709</v>
      </c>
      <c r="AW137" s="1" t="s">
        <v>100</v>
      </c>
      <c r="AX137" s="1" t="s">
        <v>137</v>
      </c>
      <c r="AY137" s="1" t="s">
        <v>100</v>
      </c>
      <c r="AZ137" s="1">
        <v>10</v>
      </c>
      <c r="BA137" s="1">
        <v>7</v>
      </c>
      <c r="BB137" s="1">
        <v>0</v>
      </c>
      <c r="BC137" s="1" t="s">
        <v>1531</v>
      </c>
      <c r="BD137" s="1" t="s">
        <v>1404</v>
      </c>
      <c r="BE137" s="1">
        <v>3.4233316738064801</v>
      </c>
      <c r="BF137" s="1">
        <v>2.6987424001778999</v>
      </c>
      <c r="BG137" s="1">
        <v>2.5652866682887101</v>
      </c>
      <c r="BH137" s="1">
        <v>4.2582713591574297</v>
      </c>
      <c r="BI137">
        <v>2.8799715606095799</v>
      </c>
      <c r="BJ137">
        <v>2.3853467471168801</v>
      </c>
      <c r="BK137" t="s">
        <v>1405</v>
      </c>
      <c r="BL137" t="s">
        <v>1408</v>
      </c>
      <c r="BM137">
        <v>32971.845999999998</v>
      </c>
      <c r="BN137">
        <v>-1.37829979854785</v>
      </c>
      <c r="BO137">
        <v>1.6929846908687201</v>
      </c>
      <c r="BP137">
        <v>0</v>
      </c>
      <c r="BQ137">
        <v>5.64328230289573</v>
      </c>
      <c r="BR137">
        <v>5.64328230289573</v>
      </c>
      <c r="BS137" t="s">
        <v>1400</v>
      </c>
      <c r="BT137" t="s">
        <v>1401</v>
      </c>
      <c r="BU137" t="s">
        <v>1402</v>
      </c>
      <c r="BW137">
        <v>6.8760000000000003</v>
      </c>
      <c r="BX137">
        <v>6.7</v>
      </c>
      <c r="BY137">
        <v>6.6</v>
      </c>
      <c r="BZ137">
        <v>12.473000000000001</v>
      </c>
      <c r="CA137">
        <v>8.77</v>
      </c>
      <c r="CB137">
        <v>6.8140000000000001</v>
      </c>
      <c r="CC137">
        <v>6.5</v>
      </c>
      <c r="CD137">
        <v>6.5</v>
      </c>
      <c r="CE137">
        <v>6.5</v>
      </c>
      <c r="CF137" t="s">
        <v>1532</v>
      </c>
      <c r="CG137">
        <v>-3.7029999999999998</v>
      </c>
      <c r="CH137">
        <v>5.8730000000000002</v>
      </c>
      <c r="CI137">
        <v>0</v>
      </c>
      <c r="CJ137">
        <v>10</v>
      </c>
      <c r="CK137">
        <v>10</v>
      </c>
      <c r="CL137">
        <v>0</v>
      </c>
      <c r="CM137">
        <v>54.986404418945298</v>
      </c>
      <c r="CO137">
        <v>98.865005493164105</v>
      </c>
      <c r="CR137">
        <v>64.216560363769503</v>
      </c>
      <c r="CS137">
        <v>5.7716803550720197</v>
      </c>
      <c r="CV137">
        <v>13.138786315918001</v>
      </c>
      <c r="CX137">
        <v>3.3529155254364</v>
      </c>
      <c r="CY137">
        <v>21.867630004882798</v>
      </c>
      <c r="DB137">
        <v>0.56749725341796897</v>
      </c>
      <c r="DC137">
        <v>5.2555145263671896</v>
      </c>
      <c r="DE137">
        <v>4.3735260009765602</v>
      </c>
      <c r="DF137">
        <v>3.3988459269205702</v>
      </c>
      <c r="DG137">
        <v>4.8554941813151</v>
      </c>
    </row>
    <row r="138" spans="1:111" x14ac:dyDescent="0.2">
      <c r="A138" s="3">
        <v>1</v>
      </c>
      <c r="B138" s="3" t="s">
        <v>844</v>
      </c>
      <c r="C138" s="3" t="s">
        <v>845</v>
      </c>
      <c r="D138" s="1"/>
      <c r="E138" s="1">
        <f t="shared" si="12"/>
        <v>6.9939436334147862</v>
      </c>
      <c r="F138" s="1">
        <f t="shared" si="13"/>
        <v>5.5714285714285703</v>
      </c>
      <c r="G138" s="1">
        <f t="shared" si="14"/>
        <v>8.7796598161969897</v>
      </c>
      <c r="H138" s="1"/>
      <c r="I138" s="1">
        <v>136</v>
      </c>
      <c r="J138" s="1">
        <v>40.620071609999997</v>
      </c>
      <c r="K138" s="1">
        <v>7.7482718339999996</v>
      </c>
      <c r="L138" s="1">
        <v>4.7</v>
      </c>
      <c r="M138" s="1">
        <v>1</v>
      </c>
      <c r="N138" s="1">
        <v>4.7</v>
      </c>
      <c r="O138" s="1">
        <v>8.5</v>
      </c>
      <c r="P138" s="1">
        <v>4.7</v>
      </c>
      <c r="Q138" s="1">
        <v>4.8</v>
      </c>
      <c r="R138" s="1">
        <v>6.9</v>
      </c>
      <c r="S138" s="1">
        <v>0.3</v>
      </c>
      <c r="T138" s="1">
        <v>0.3</v>
      </c>
      <c r="U138" s="1">
        <v>5</v>
      </c>
      <c r="V138" s="1">
        <v>3.7</v>
      </c>
      <c r="W138" s="1">
        <v>5</v>
      </c>
      <c r="X138" s="1">
        <v>4.4000000000000004</v>
      </c>
      <c r="Y138" s="1">
        <v>4.7</v>
      </c>
      <c r="Z138" s="1">
        <v>4</v>
      </c>
      <c r="AA138" s="1">
        <v>5.6</v>
      </c>
      <c r="AB138" s="1">
        <v>0.6</v>
      </c>
      <c r="AC138" s="1">
        <v>3.4</v>
      </c>
      <c r="AD138" s="1">
        <v>0</v>
      </c>
      <c r="AE138" s="1">
        <v>0</v>
      </c>
      <c r="AF138" s="1">
        <v>5</v>
      </c>
      <c r="AG138" s="1">
        <v>1.7</v>
      </c>
      <c r="AH138" s="1">
        <v>26.8</v>
      </c>
      <c r="AI138" s="1">
        <v>10</v>
      </c>
      <c r="AJ138" s="1">
        <v>7.1</v>
      </c>
      <c r="AK138" s="1">
        <v>2.8</v>
      </c>
      <c r="AL138" s="1">
        <v>4</v>
      </c>
      <c r="AM138" s="1">
        <v>10</v>
      </c>
      <c r="AN138" s="1">
        <v>6.7</v>
      </c>
      <c r="AO138" s="1">
        <v>4.9000000000000004</v>
      </c>
      <c r="AP138" s="1">
        <v>4.8</v>
      </c>
      <c r="AQ138" s="1">
        <v>7.7083333333333304</v>
      </c>
      <c r="AR138" s="1">
        <v>3.9</v>
      </c>
      <c r="AS138" s="1">
        <v>5.5714285714285703</v>
      </c>
      <c r="AT138" s="1" t="s">
        <v>205</v>
      </c>
      <c r="AU138" s="1" t="s">
        <v>98</v>
      </c>
      <c r="AV138" s="1" t="s">
        <v>847</v>
      </c>
      <c r="AW138" s="1" t="s">
        <v>100</v>
      </c>
      <c r="AX138" s="1" t="s">
        <v>137</v>
      </c>
      <c r="AY138" s="1" t="s">
        <v>100</v>
      </c>
      <c r="AZ138" s="1">
        <v>10</v>
      </c>
      <c r="BA138" s="1">
        <v>7</v>
      </c>
      <c r="BB138" s="1">
        <v>0</v>
      </c>
      <c r="BC138" s="1" t="s">
        <v>1533</v>
      </c>
      <c r="BD138" s="1" t="s">
        <v>1404</v>
      </c>
      <c r="BE138" s="1">
        <v>4.5662121376446203</v>
      </c>
      <c r="BF138" s="1">
        <v>4.0427932016966999</v>
      </c>
      <c r="BG138" s="1">
        <v>3.6060173843744199</v>
      </c>
      <c r="BH138" s="1">
        <v>4.3233773055290499</v>
      </c>
      <c r="BI138">
        <v>3.9239516629466702</v>
      </c>
      <c r="BJ138">
        <v>3.5322757513686098</v>
      </c>
      <c r="BK138" t="s">
        <v>1405</v>
      </c>
      <c r="BL138" t="s">
        <v>1439</v>
      </c>
      <c r="BM138">
        <v>109581.08500000001</v>
      </c>
      <c r="BN138">
        <v>-0.39942564258238</v>
      </c>
      <c r="BO138">
        <v>0.71735992115462999</v>
      </c>
      <c r="BP138">
        <v>0</v>
      </c>
      <c r="BQ138">
        <v>2.3911997371821001</v>
      </c>
      <c r="BR138">
        <v>2.3911997371821001</v>
      </c>
      <c r="BS138" t="s">
        <v>1400</v>
      </c>
      <c r="BT138" t="s">
        <v>1401</v>
      </c>
      <c r="BU138" t="s">
        <v>1402</v>
      </c>
      <c r="BW138">
        <v>5.7249999999999996</v>
      </c>
      <c r="BX138">
        <v>5.3250000000000002</v>
      </c>
      <c r="BY138">
        <v>5.0750000000000002</v>
      </c>
      <c r="BZ138">
        <v>10.35</v>
      </c>
      <c r="CA138">
        <v>7.4</v>
      </c>
      <c r="CB138">
        <v>6.694</v>
      </c>
      <c r="CC138">
        <v>6.1539999999999999</v>
      </c>
      <c r="CD138">
        <v>5.6150000000000002</v>
      </c>
      <c r="CE138">
        <v>5.0750000000000002</v>
      </c>
      <c r="CF138" t="s">
        <v>1534</v>
      </c>
      <c r="CG138">
        <v>-2.95</v>
      </c>
      <c r="CH138">
        <v>5.2750000000000004</v>
      </c>
      <c r="CI138">
        <v>0</v>
      </c>
      <c r="CJ138">
        <v>10</v>
      </c>
      <c r="CK138">
        <v>10</v>
      </c>
      <c r="CL138">
        <v>7</v>
      </c>
      <c r="CM138">
        <v>51.0150146484375</v>
      </c>
      <c r="CN138">
        <v>28.460624694824201</v>
      </c>
      <c r="CO138">
        <v>82.218154907226605</v>
      </c>
      <c r="CP138">
        <v>59.693645477294901</v>
      </c>
      <c r="CS138">
        <v>30.366155624389599</v>
      </c>
      <c r="CU138">
        <v>54.633426666259801</v>
      </c>
      <c r="CV138">
        <v>46.991012573242202</v>
      </c>
      <c r="CW138">
        <v>80.758201599121094</v>
      </c>
      <c r="CX138">
        <v>7.1618781089782697</v>
      </c>
      <c r="CZ138">
        <v>73.127922058105497</v>
      </c>
      <c r="DA138">
        <v>5.6921249389648398</v>
      </c>
      <c r="DB138">
        <v>8.8909225463867205</v>
      </c>
      <c r="DC138">
        <v>10</v>
      </c>
      <c r="DD138">
        <v>0</v>
      </c>
      <c r="DF138">
        <v>6.1457618713378901</v>
      </c>
      <c r="DG138">
        <v>8.7796598161969897</v>
      </c>
    </row>
    <row r="139" spans="1:111" x14ac:dyDescent="0.2">
      <c r="A139" s="3">
        <v>1</v>
      </c>
      <c r="B139" s="3" t="s">
        <v>849</v>
      </c>
      <c r="C139" s="3" t="s">
        <v>850</v>
      </c>
      <c r="D139" s="1"/>
      <c r="E139" s="1">
        <f t="shared" si="12"/>
        <v>4.8571428571428603</v>
      </c>
      <c r="F139" s="1">
        <f t="shared" si="13"/>
        <v>4.8571428571428603</v>
      </c>
      <c r="G139" s="1">
        <f t="shared" si="14"/>
        <v>0</v>
      </c>
      <c r="H139" s="1"/>
      <c r="I139" s="1">
        <v>137</v>
      </c>
      <c r="J139" s="1">
        <v>37.4302542</v>
      </c>
      <c r="K139" s="1">
        <v>27.98678009</v>
      </c>
      <c r="L139" s="1">
        <v>4.4000000000000004</v>
      </c>
      <c r="M139" s="1">
        <v>5.0999999999999996</v>
      </c>
      <c r="N139" s="1">
        <v>4.4000000000000004</v>
      </c>
      <c r="O139" s="1">
        <v>5.3</v>
      </c>
      <c r="P139" s="1">
        <v>8</v>
      </c>
      <c r="Q139" s="1"/>
      <c r="R139" s="1"/>
      <c r="S139" s="1">
        <v>0</v>
      </c>
      <c r="T139" s="1">
        <v>0</v>
      </c>
      <c r="U139" s="1">
        <v>4.4000000000000004</v>
      </c>
      <c r="V139" s="1">
        <v>2.7</v>
      </c>
      <c r="W139" s="1">
        <v>6</v>
      </c>
      <c r="X139" s="1">
        <v>4.4000000000000004</v>
      </c>
      <c r="Y139" s="1">
        <v>4.4000000000000004</v>
      </c>
      <c r="Z139" s="1">
        <v>2</v>
      </c>
      <c r="AA139" s="1"/>
      <c r="AB139" s="1"/>
      <c r="AC139" s="1">
        <v>2</v>
      </c>
      <c r="AD139" s="1">
        <v>0</v>
      </c>
      <c r="AE139" s="1">
        <v>0</v>
      </c>
      <c r="AF139" s="1"/>
      <c r="AG139" s="1"/>
      <c r="AH139" s="1"/>
      <c r="AI139" s="1"/>
      <c r="AJ139" s="1">
        <v>17.899999999999999</v>
      </c>
      <c r="AK139" s="1">
        <v>8.8000000000000007</v>
      </c>
      <c r="AL139" s="1">
        <v>4</v>
      </c>
      <c r="AM139" s="1">
        <v>1.9</v>
      </c>
      <c r="AN139" s="1">
        <v>4.9000000000000004</v>
      </c>
      <c r="AO139" s="1">
        <v>3.8</v>
      </c>
      <c r="AP139" s="1">
        <v>4.0999999999999996</v>
      </c>
      <c r="AQ139" s="1">
        <v>4.7916666666666696</v>
      </c>
      <c r="AR139" s="1">
        <v>3.4</v>
      </c>
      <c r="AS139" s="1">
        <v>4.8571428571428603</v>
      </c>
      <c r="AT139" s="1" t="s">
        <v>851</v>
      </c>
      <c r="AU139" s="1" t="s">
        <v>98</v>
      </c>
      <c r="AV139" s="1" t="s">
        <v>105</v>
      </c>
      <c r="AW139" s="1"/>
      <c r="AX139" s="1" t="s">
        <v>105</v>
      </c>
      <c r="AY139" s="1"/>
      <c r="AZ139" s="1">
        <v>10</v>
      </c>
      <c r="BA139" s="1"/>
      <c r="BB139" s="1"/>
      <c r="BC139" s="1"/>
      <c r="BD139" s="1"/>
      <c r="BE139" s="1"/>
      <c r="BF139" s="1"/>
      <c r="BG139" s="1"/>
      <c r="BH139" s="1"/>
      <c r="BS139" t="s">
        <v>1400</v>
      </c>
      <c r="BT139" t="s">
        <v>1401</v>
      </c>
      <c r="BU139" t="s">
        <v>1402</v>
      </c>
      <c r="CF139" t="s">
        <v>103</v>
      </c>
    </row>
    <row r="140" spans="1:111" x14ac:dyDescent="0.2">
      <c r="A140" s="3">
        <v>1</v>
      </c>
      <c r="B140" s="3" t="s">
        <v>852</v>
      </c>
      <c r="C140" s="3" t="s">
        <v>853</v>
      </c>
      <c r="D140" s="1"/>
      <c r="E140" s="1">
        <f t="shared" si="12"/>
        <v>7.9328953503395709</v>
      </c>
      <c r="F140" s="1">
        <f t="shared" si="13"/>
        <v>9</v>
      </c>
      <c r="G140" s="1">
        <f t="shared" si="14"/>
        <v>6.9923142932710203</v>
      </c>
      <c r="H140" s="1"/>
      <c r="I140" s="1">
        <v>138</v>
      </c>
      <c r="J140" s="1">
        <v>4.243659343</v>
      </c>
      <c r="K140" s="1">
        <v>0.45520133699999998</v>
      </c>
      <c r="L140" s="1">
        <v>0.3</v>
      </c>
      <c r="M140" s="1">
        <v>0</v>
      </c>
      <c r="N140" s="1">
        <v>0.3</v>
      </c>
      <c r="O140" s="1">
        <v>4.3</v>
      </c>
      <c r="P140" s="1">
        <v>1.3</v>
      </c>
      <c r="Q140" s="1"/>
      <c r="R140" s="1"/>
      <c r="S140" s="1">
        <v>0.3</v>
      </c>
      <c r="T140" s="1">
        <v>0.3</v>
      </c>
      <c r="U140" s="1">
        <v>2</v>
      </c>
      <c r="V140" s="1">
        <v>0.7</v>
      </c>
      <c r="W140" s="1">
        <v>0.2</v>
      </c>
      <c r="X140" s="1">
        <v>0.5</v>
      </c>
      <c r="Y140" s="1">
        <v>1.2</v>
      </c>
      <c r="Z140" s="1">
        <v>7.1</v>
      </c>
      <c r="AA140" s="1"/>
      <c r="AB140" s="1">
        <v>3.8</v>
      </c>
      <c r="AC140" s="1">
        <v>5.5</v>
      </c>
      <c r="AD140" s="1">
        <v>0</v>
      </c>
      <c r="AE140" s="1">
        <v>0</v>
      </c>
      <c r="AF140" s="1">
        <v>3</v>
      </c>
      <c r="AG140" s="1">
        <v>0.6</v>
      </c>
      <c r="AH140" s="1">
        <v>30</v>
      </c>
      <c r="AI140" s="1">
        <v>10</v>
      </c>
      <c r="AJ140" s="1">
        <v>17.899999999999999</v>
      </c>
      <c r="AK140" s="1">
        <v>8.8000000000000007</v>
      </c>
      <c r="AL140" s="1">
        <v>5</v>
      </c>
      <c r="AM140" s="1">
        <v>7.9</v>
      </c>
      <c r="AN140" s="1">
        <v>7.9</v>
      </c>
      <c r="AO140" s="1">
        <v>4.5999999999999996</v>
      </c>
      <c r="AP140" s="1">
        <v>2.9</v>
      </c>
      <c r="AQ140" s="1">
        <v>0</v>
      </c>
      <c r="AR140" s="1">
        <v>6.3</v>
      </c>
      <c r="AS140" s="1">
        <v>9</v>
      </c>
      <c r="AT140" s="1" t="s">
        <v>855</v>
      </c>
      <c r="AU140" s="1" t="s">
        <v>98</v>
      </c>
      <c r="AV140" s="1" t="s">
        <v>105</v>
      </c>
      <c r="AW140" s="1"/>
      <c r="AX140" s="1" t="s">
        <v>137</v>
      </c>
      <c r="AY140" s="1" t="s">
        <v>100</v>
      </c>
      <c r="AZ140" s="1">
        <v>10</v>
      </c>
      <c r="BA140" s="1"/>
      <c r="BB140" s="1">
        <v>0</v>
      </c>
      <c r="BC140" s="1"/>
      <c r="BD140" s="1"/>
      <c r="BE140" s="1"/>
      <c r="BF140" s="1"/>
      <c r="BG140" s="1"/>
      <c r="BH140" s="1"/>
      <c r="BS140" t="s">
        <v>1400</v>
      </c>
      <c r="BT140" t="s">
        <v>1401</v>
      </c>
      <c r="BU140" t="s">
        <v>1402</v>
      </c>
      <c r="CF140" t="s">
        <v>103</v>
      </c>
      <c r="CM140">
        <v>77.885368347167997</v>
      </c>
      <c r="CN140">
        <v>22.114627838134801</v>
      </c>
      <c r="CO140">
        <v>92.871498107910199</v>
      </c>
      <c r="CP140">
        <v>31.442197799682599</v>
      </c>
      <c r="CQ140">
        <v>4.1217927932739302</v>
      </c>
      <c r="CT140">
        <v>50.871944427490199</v>
      </c>
      <c r="CV140">
        <v>16.7417087554932</v>
      </c>
      <c r="CX140">
        <v>5.4255084991455096</v>
      </c>
      <c r="CZ140">
        <v>63.368885040283203</v>
      </c>
      <c r="DA140">
        <v>4.4229255676269501</v>
      </c>
      <c r="DB140">
        <v>3.5642509460449201</v>
      </c>
      <c r="DC140">
        <v>6.6966835021972697</v>
      </c>
      <c r="DF140">
        <v>4.8946200052897098</v>
      </c>
      <c r="DG140">
        <v>6.9923142932710203</v>
      </c>
    </row>
    <row r="141" spans="1:111" x14ac:dyDescent="0.2">
      <c r="A141" s="3">
        <v>1</v>
      </c>
      <c r="B141" s="3" t="s">
        <v>856</v>
      </c>
      <c r="C141" s="3" t="s">
        <v>857</v>
      </c>
      <c r="D141" s="1"/>
      <c r="E141" s="1">
        <f t="shared" si="12"/>
        <v>3.1255030490521443</v>
      </c>
      <c r="F141" s="1">
        <f t="shared" si="13"/>
        <v>1</v>
      </c>
      <c r="G141" s="1">
        <f t="shared" si="14"/>
        <v>9.7687693096342496</v>
      </c>
      <c r="H141" s="1"/>
      <c r="I141" s="1">
        <v>139</v>
      </c>
      <c r="J141" s="1">
        <v>64.414125909999996</v>
      </c>
      <c r="K141" s="1">
        <v>60.555266209999999</v>
      </c>
      <c r="L141" s="1">
        <v>7.7</v>
      </c>
      <c r="M141" s="1">
        <v>10</v>
      </c>
      <c r="N141" s="1">
        <v>7.7</v>
      </c>
      <c r="O141" s="1">
        <v>7</v>
      </c>
      <c r="P141" s="1">
        <v>6</v>
      </c>
      <c r="Q141" s="1">
        <v>0</v>
      </c>
      <c r="R141" s="1">
        <v>2</v>
      </c>
      <c r="S141" s="1">
        <v>0</v>
      </c>
      <c r="T141" s="1">
        <v>0</v>
      </c>
      <c r="U141" s="1">
        <v>3</v>
      </c>
      <c r="V141" s="1">
        <v>6.3</v>
      </c>
      <c r="W141" s="1">
        <v>10</v>
      </c>
      <c r="X141" s="1">
        <v>8.1999999999999993</v>
      </c>
      <c r="Y141" s="1">
        <v>5.6</v>
      </c>
      <c r="Z141" s="1">
        <v>0.7</v>
      </c>
      <c r="AA141" s="1"/>
      <c r="AB141" s="1">
        <v>0</v>
      </c>
      <c r="AC141" s="1">
        <v>0.4</v>
      </c>
      <c r="AD141" s="1">
        <v>0</v>
      </c>
      <c r="AE141" s="1">
        <v>0</v>
      </c>
      <c r="AF141" s="1">
        <v>18</v>
      </c>
      <c r="AG141" s="1">
        <v>8.9</v>
      </c>
      <c r="AH141" s="1">
        <v>18.7</v>
      </c>
      <c r="AI141" s="1">
        <v>5.8</v>
      </c>
      <c r="AJ141" s="1">
        <v>6.1</v>
      </c>
      <c r="AK141" s="1">
        <v>2.2999999999999998</v>
      </c>
      <c r="AL141" s="1">
        <v>6</v>
      </c>
      <c r="AM141" s="1">
        <v>0.3</v>
      </c>
      <c r="AN141" s="1">
        <v>3.6</v>
      </c>
      <c r="AO141" s="1">
        <v>3.9</v>
      </c>
      <c r="AP141" s="1">
        <v>4.7</v>
      </c>
      <c r="AQ141" s="1">
        <v>7.2916666666666696</v>
      </c>
      <c r="AR141" s="1">
        <v>0.7</v>
      </c>
      <c r="AS141" s="1">
        <v>1</v>
      </c>
      <c r="AT141" s="1" t="s">
        <v>859</v>
      </c>
      <c r="AU141" s="1" t="s">
        <v>98</v>
      </c>
      <c r="AV141" s="1" t="s">
        <v>225</v>
      </c>
      <c r="AW141" s="1" t="s">
        <v>96</v>
      </c>
      <c r="AX141" s="1" t="s">
        <v>183</v>
      </c>
      <c r="AY141" s="1" t="s">
        <v>96</v>
      </c>
      <c r="AZ141" s="1">
        <v>10</v>
      </c>
      <c r="BA141" s="1">
        <v>0</v>
      </c>
      <c r="BB141" s="1">
        <v>3</v>
      </c>
      <c r="BC141" s="1" t="s">
        <v>1535</v>
      </c>
      <c r="BD141" s="1" t="s">
        <v>1404</v>
      </c>
      <c r="BE141" s="1">
        <v>0.42220996039423803</v>
      </c>
      <c r="BF141" s="1">
        <v>0.40912234558765598</v>
      </c>
      <c r="BG141" s="1">
        <v>0.39907098359119703</v>
      </c>
      <c r="BH141" s="1">
        <v>0.40860121478023398</v>
      </c>
      <c r="BI141">
        <v>0.40019006548407998</v>
      </c>
      <c r="BJ141">
        <v>0.391386499414422</v>
      </c>
      <c r="BK141" t="s">
        <v>1405</v>
      </c>
      <c r="BL141" t="s">
        <v>1411</v>
      </c>
      <c r="BM141">
        <v>37846.605000000003</v>
      </c>
      <c r="BN141">
        <v>-8.4111492961540003E-3</v>
      </c>
      <c r="BO141">
        <v>9.5302311890369494E-3</v>
      </c>
      <c r="BP141">
        <v>0</v>
      </c>
      <c r="BQ141">
        <v>3.1767437296789297E-2</v>
      </c>
      <c r="BR141">
        <v>3.1767437296789297E-2</v>
      </c>
      <c r="BS141" t="s">
        <v>1400</v>
      </c>
      <c r="BT141" t="s">
        <v>1401</v>
      </c>
      <c r="BU141" t="s">
        <v>1402</v>
      </c>
      <c r="BW141">
        <v>4.8879999999999999</v>
      </c>
      <c r="BX141">
        <v>3.8460000000000001</v>
      </c>
      <c r="BY141">
        <v>3.2789999999999999</v>
      </c>
      <c r="BZ141">
        <v>3.7669999999999999</v>
      </c>
      <c r="CA141">
        <v>5.1219999999999999</v>
      </c>
      <c r="CB141">
        <v>4.9329999999999998</v>
      </c>
      <c r="CC141">
        <v>4.7110000000000003</v>
      </c>
      <c r="CD141">
        <v>4.4880000000000004</v>
      </c>
      <c r="CE141">
        <v>4.4850000000000003</v>
      </c>
      <c r="CF141" t="s">
        <v>1536</v>
      </c>
      <c r="CG141">
        <v>1.355</v>
      </c>
      <c r="CH141">
        <v>0.48799999999999999</v>
      </c>
      <c r="CI141">
        <v>10</v>
      </c>
      <c r="CJ141">
        <v>1.62666666666667</v>
      </c>
      <c r="CK141">
        <v>10</v>
      </c>
      <c r="CL141">
        <v>0</v>
      </c>
      <c r="CM141">
        <v>78.0791015625</v>
      </c>
      <c r="CN141">
        <v>21.920904159545898</v>
      </c>
      <c r="CS141">
        <v>0</v>
      </c>
      <c r="CU141">
        <v>39.492519378662102</v>
      </c>
      <c r="CW141">
        <v>10.309278488159199</v>
      </c>
      <c r="DA141">
        <v>4.3841808319091804</v>
      </c>
      <c r="DD141">
        <v>9.2920962015787794</v>
      </c>
      <c r="DF141">
        <v>6.8381385167439799</v>
      </c>
      <c r="DG141">
        <v>9.7687693096342496</v>
      </c>
    </row>
    <row r="142" spans="1:111" x14ac:dyDescent="0.2">
      <c r="A142" s="3">
        <v>1</v>
      </c>
      <c r="B142" s="3" t="s">
        <v>860</v>
      </c>
      <c r="C142" s="3" t="s">
        <v>861</v>
      </c>
      <c r="D142" s="1"/>
      <c r="E142" s="1">
        <f t="shared" si="12"/>
        <v>9</v>
      </c>
      <c r="F142" s="1">
        <f t="shared" si="13"/>
        <v>9</v>
      </c>
      <c r="G142" s="1">
        <f t="shared" si="14"/>
        <v>0</v>
      </c>
      <c r="H142" s="1"/>
      <c r="I142" s="1">
        <v>140</v>
      </c>
      <c r="J142" s="1"/>
      <c r="K142" s="1"/>
      <c r="L142" s="1"/>
      <c r="M142" s="1"/>
      <c r="N142" s="1"/>
      <c r="O142" s="1">
        <v>7.8</v>
      </c>
      <c r="P142" s="1">
        <v>6.2</v>
      </c>
      <c r="Q142" s="1"/>
      <c r="R142" s="1">
        <v>4.8</v>
      </c>
      <c r="S142" s="1">
        <v>0</v>
      </c>
      <c r="T142" s="1">
        <v>0</v>
      </c>
      <c r="U142" s="1">
        <v>4.7</v>
      </c>
      <c r="V142" s="1">
        <v>6.3</v>
      </c>
      <c r="W142" s="1">
        <v>2.8</v>
      </c>
      <c r="X142" s="1">
        <v>4.5999999999999996</v>
      </c>
      <c r="Y142" s="1">
        <v>4.5999999999999996</v>
      </c>
      <c r="Z142" s="1">
        <v>8.4</v>
      </c>
      <c r="AA142" s="1"/>
      <c r="AB142" s="1"/>
      <c r="AC142" s="1">
        <v>8.4</v>
      </c>
      <c r="AD142" s="1">
        <v>0</v>
      </c>
      <c r="AE142" s="1">
        <v>0</v>
      </c>
      <c r="AF142" s="1">
        <v>9</v>
      </c>
      <c r="AG142" s="1">
        <v>3.9</v>
      </c>
      <c r="AH142" s="1">
        <v>7.8</v>
      </c>
      <c r="AI142" s="1">
        <v>0</v>
      </c>
      <c r="AJ142" s="1">
        <v>6.4</v>
      </c>
      <c r="AK142" s="1">
        <v>2.4</v>
      </c>
      <c r="AL142" s="1">
        <v>4</v>
      </c>
      <c r="AM142" s="1">
        <v>9.3000000000000007</v>
      </c>
      <c r="AN142" s="1">
        <v>3.9</v>
      </c>
      <c r="AO142" s="1">
        <v>6.2</v>
      </c>
      <c r="AP142" s="1">
        <v>5.4</v>
      </c>
      <c r="AQ142" s="1">
        <v>10</v>
      </c>
      <c r="AR142" s="1">
        <v>6.3</v>
      </c>
      <c r="AS142" s="1">
        <v>9</v>
      </c>
      <c r="AT142" s="1" t="s">
        <v>105</v>
      </c>
      <c r="AU142" s="1"/>
      <c r="AV142" s="1" t="s">
        <v>105</v>
      </c>
      <c r="AW142" s="1"/>
      <c r="AX142" s="1" t="s">
        <v>105</v>
      </c>
      <c r="AY142" s="1"/>
      <c r="AZ142" s="1"/>
      <c r="BA142" s="1"/>
      <c r="BB142" s="1"/>
      <c r="BC142" s="1"/>
      <c r="BD142" s="1"/>
      <c r="BE142" s="1"/>
      <c r="BF142" s="1"/>
      <c r="BG142" s="1"/>
      <c r="BH142" s="1"/>
    </row>
    <row r="143" spans="1:111" x14ac:dyDescent="0.2">
      <c r="A143" s="3">
        <v>1</v>
      </c>
      <c r="B143" s="3" t="s">
        <v>862</v>
      </c>
      <c r="C143" s="3" t="s">
        <v>863</v>
      </c>
      <c r="D143" s="1"/>
      <c r="E143" s="1">
        <f t="shared" si="12"/>
        <v>3.1622776601683809</v>
      </c>
      <c r="F143" s="1">
        <f t="shared" si="13"/>
        <v>1.4285714285714299</v>
      </c>
      <c r="G143" s="1">
        <f t="shared" si="14"/>
        <v>7</v>
      </c>
      <c r="H143" s="1"/>
      <c r="I143" s="1">
        <v>141</v>
      </c>
      <c r="J143" s="1"/>
      <c r="K143" s="1"/>
      <c r="L143" s="1"/>
      <c r="M143" s="1"/>
      <c r="N143" s="1"/>
      <c r="O143" s="1">
        <v>6.8</v>
      </c>
      <c r="P143" s="1">
        <v>6.5</v>
      </c>
      <c r="Q143" s="1">
        <v>0.4</v>
      </c>
      <c r="R143" s="1">
        <v>1.6</v>
      </c>
      <c r="S143" s="1">
        <v>0</v>
      </c>
      <c r="T143" s="1">
        <v>0</v>
      </c>
      <c r="U143" s="1">
        <v>3.1</v>
      </c>
      <c r="V143" s="1">
        <v>5.4</v>
      </c>
      <c r="W143" s="1">
        <v>10</v>
      </c>
      <c r="X143" s="1">
        <v>7.7</v>
      </c>
      <c r="Y143" s="1">
        <v>5.4</v>
      </c>
      <c r="Z143" s="1">
        <v>1.1000000000000001</v>
      </c>
      <c r="AA143" s="1"/>
      <c r="AB143" s="1">
        <v>0</v>
      </c>
      <c r="AC143" s="1">
        <v>0.6</v>
      </c>
      <c r="AD143" s="1">
        <v>0</v>
      </c>
      <c r="AE143" s="1">
        <v>0</v>
      </c>
      <c r="AF143" s="1">
        <v>22</v>
      </c>
      <c r="AG143" s="1">
        <v>10</v>
      </c>
      <c r="AH143" s="1">
        <v>11.1</v>
      </c>
      <c r="AI143" s="1">
        <v>0.7</v>
      </c>
      <c r="AJ143" s="1">
        <v>9.8000000000000007</v>
      </c>
      <c r="AK143" s="1">
        <v>4.3</v>
      </c>
      <c r="AL143" s="1">
        <v>3</v>
      </c>
      <c r="AM143" s="1">
        <v>0.4</v>
      </c>
      <c r="AN143" s="1">
        <v>2.1</v>
      </c>
      <c r="AO143" s="1">
        <v>1.3</v>
      </c>
      <c r="AP143" s="1">
        <v>3.4</v>
      </c>
      <c r="AQ143" s="1">
        <v>1.875</v>
      </c>
      <c r="AR143" s="1">
        <v>1</v>
      </c>
      <c r="AS143" s="1">
        <v>1.4285714285714299</v>
      </c>
      <c r="AT143" s="1" t="s">
        <v>828</v>
      </c>
      <c r="AU143" s="1" t="s">
        <v>98</v>
      </c>
      <c r="AV143" s="1" t="s">
        <v>442</v>
      </c>
      <c r="AW143" s="1" t="s">
        <v>100</v>
      </c>
      <c r="AX143" s="1" t="s">
        <v>137</v>
      </c>
      <c r="AY143" s="1" t="s">
        <v>100</v>
      </c>
      <c r="AZ143" s="1">
        <v>10</v>
      </c>
      <c r="BA143" s="1">
        <v>7</v>
      </c>
      <c r="BB143" s="1">
        <v>0</v>
      </c>
      <c r="BC143" s="1"/>
      <c r="BD143" s="1"/>
      <c r="BE143" s="1"/>
      <c r="BF143" s="1"/>
      <c r="BG143" s="1"/>
      <c r="BH143" s="1"/>
      <c r="BS143" t="s">
        <v>1400</v>
      </c>
      <c r="BT143" t="s">
        <v>1401</v>
      </c>
      <c r="BU143" t="s">
        <v>1402</v>
      </c>
      <c r="BW143">
        <v>8.8670000000000009</v>
      </c>
      <c r="BX143">
        <v>6.9939999999999998</v>
      </c>
      <c r="BY143">
        <v>6.4630000000000001</v>
      </c>
      <c r="BZ143">
        <v>8.125</v>
      </c>
      <c r="CA143">
        <v>7.6769999999999996</v>
      </c>
      <c r="CB143">
        <v>6.9459999999999997</v>
      </c>
      <c r="CC143">
        <v>6.4820000000000002</v>
      </c>
      <c r="CD143">
        <v>6.202</v>
      </c>
      <c r="CE143">
        <v>6.0149999999999997</v>
      </c>
      <c r="CF143" t="s">
        <v>1537</v>
      </c>
      <c r="CG143">
        <v>-0.44800000000000001</v>
      </c>
      <c r="CH143">
        <v>1.6619999999999999</v>
      </c>
      <c r="CI143">
        <v>0</v>
      </c>
      <c r="CJ143">
        <v>5.54</v>
      </c>
      <c r="CK143">
        <v>5.54</v>
      </c>
    </row>
    <row r="144" spans="1:111" x14ac:dyDescent="0.2">
      <c r="A144" s="3">
        <v>1</v>
      </c>
      <c r="B144" s="3" t="s">
        <v>865</v>
      </c>
      <c r="C144" s="3" t="s">
        <v>866</v>
      </c>
      <c r="D144" s="1"/>
      <c r="E144" s="1">
        <f t="shared" si="12"/>
        <v>5.9999999999999982</v>
      </c>
      <c r="F144" s="1">
        <f t="shared" si="13"/>
        <v>5.1428571428571397</v>
      </c>
      <c r="G144" s="1">
        <f t="shared" si="14"/>
        <v>7</v>
      </c>
      <c r="H144" s="1"/>
      <c r="I144" s="1">
        <v>142</v>
      </c>
      <c r="J144" s="1">
        <v>63.376364789999997</v>
      </c>
      <c r="K144" s="1">
        <v>24.27729132</v>
      </c>
      <c r="L144" s="1">
        <v>7.5</v>
      </c>
      <c r="M144" s="1">
        <v>4.4000000000000004</v>
      </c>
      <c r="N144" s="1">
        <v>7.5</v>
      </c>
      <c r="O144" s="1">
        <v>4.0999999999999996</v>
      </c>
      <c r="P144" s="1">
        <v>6.2</v>
      </c>
      <c r="Q144" s="1">
        <v>2</v>
      </c>
      <c r="R144" s="1">
        <v>0</v>
      </c>
      <c r="S144" s="1">
        <v>0</v>
      </c>
      <c r="T144" s="1">
        <v>0</v>
      </c>
      <c r="U144" s="1">
        <v>2.5</v>
      </c>
      <c r="V144" s="1">
        <v>4.5999999999999996</v>
      </c>
      <c r="W144" s="1">
        <v>1.8</v>
      </c>
      <c r="X144" s="1">
        <v>3.2</v>
      </c>
      <c r="Y144" s="1">
        <v>2.8</v>
      </c>
      <c r="Z144" s="1">
        <v>4</v>
      </c>
      <c r="AA144" s="1">
        <v>4.8</v>
      </c>
      <c r="AB144" s="1">
        <v>0.1</v>
      </c>
      <c r="AC144" s="1">
        <v>3</v>
      </c>
      <c r="AD144" s="1">
        <v>0</v>
      </c>
      <c r="AE144" s="1">
        <v>0</v>
      </c>
      <c r="AF144" s="1">
        <v>6</v>
      </c>
      <c r="AG144" s="1">
        <v>2.2000000000000002</v>
      </c>
      <c r="AH144" s="1">
        <v>17.5</v>
      </c>
      <c r="AI144" s="1">
        <v>5</v>
      </c>
      <c r="AJ144" s="1">
        <v>9.6</v>
      </c>
      <c r="AK144" s="1">
        <v>4.2</v>
      </c>
      <c r="AL144" s="1">
        <v>6</v>
      </c>
      <c r="AM144" s="1">
        <v>0.8</v>
      </c>
      <c r="AN144" s="1">
        <v>4</v>
      </c>
      <c r="AO144" s="1">
        <v>4.8</v>
      </c>
      <c r="AP144" s="1">
        <v>3.8</v>
      </c>
      <c r="AQ144" s="1">
        <v>3.5416666666666701</v>
      </c>
      <c r="AR144" s="1">
        <v>3.6</v>
      </c>
      <c r="AS144" s="1">
        <v>5.1428571428571397</v>
      </c>
      <c r="AT144" s="1" t="s">
        <v>122</v>
      </c>
      <c r="AU144" s="1" t="s">
        <v>98</v>
      </c>
      <c r="AV144" s="1" t="s">
        <v>868</v>
      </c>
      <c r="AW144" s="1" t="s">
        <v>100</v>
      </c>
      <c r="AX144" s="1" t="s">
        <v>137</v>
      </c>
      <c r="AY144" s="1" t="s">
        <v>100</v>
      </c>
      <c r="AZ144" s="1">
        <v>10</v>
      </c>
      <c r="BA144" s="1">
        <v>7</v>
      </c>
      <c r="BB144" s="1">
        <v>0</v>
      </c>
      <c r="BC144" s="1" t="s">
        <v>1538</v>
      </c>
      <c r="BD144" s="1" t="s">
        <v>1404</v>
      </c>
      <c r="BE144" s="1">
        <v>1.01357905727762</v>
      </c>
      <c r="BF144" s="1">
        <v>1.40017317931428</v>
      </c>
      <c r="BG144" s="1">
        <v>1.4</v>
      </c>
      <c r="BH144" s="1">
        <v>1.6</v>
      </c>
      <c r="BI144">
        <v>1.55</v>
      </c>
      <c r="BJ144">
        <v>1.5</v>
      </c>
      <c r="BK144" t="s">
        <v>1405</v>
      </c>
      <c r="BL144" t="s">
        <v>1408</v>
      </c>
      <c r="BM144">
        <v>7132.53</v>
      </c>
      <c r="BN144">
        <v>-0.05</v>
      </c>
      <c r="BO144">
        <v>0.2</v>
      </c>
      <c r="BP144">
        <v>0</v>
      </c>
      <c r="BQ144">
        <v>0.66666666666666796</v>
      </c>
      <c r="BR144">
        <v>0.66666666666666796</v>
      </c>
      <c r="BS144" t="s">
        <v>1400</v>
      </c>
      <c r="BT144" t="s">
        <v>1401</v>
      </c>
      <c r="BU144" t="s">
        <v>1402</v>
      </c>
      <c r="BW144">
        <v>6.0860000000000003</v>
      </c>
      <c r="BX144">
        <v>6.2359999999999998</v>
      </c>
      <c r="BY144">
        <v>6.0860000000000003</v>
      </c>
      <c r="BZ144">
        <v>6.9779999999999998</v>
      </c>
      <c r="CA144">
        <v>6.1379999999999999</v>
      </c>
      <c r="CB144">
        <v>5.82</v>
      </c>
      <c r="CC144">
        <v>5.7770000000000001</v>
      </c>
      <c r="CD144">
        <v>5.77</v>
      </c>
      <c r="CE144">
        <v>5.77</v>
      </c>
      <c r="CF144" t="s">
        <v>1539</v>
      </c>
      <c r="CG144">
        <v>-0.84</v>
      </c>
      <c r="CH144">
        <v>0.89199999999999902</v>
      </c>
      <c r="CI144">
        <v>0</v>
      </c>
      <c r="CJ144">
        <v>2.9733333333333301</v>
      </c>
      <c r="CK144">
        <v>2.9733333333333301</v>
      </c>
      <c r="CM144">
        <v>67.140045166015597</v>
      </c>
      <c r="CO144">
        <v>98.389663696289105</v>
      </c>
      <c r="CR144">
        <v>65.640975952148395</v>
      </c>
      <c r="CS144">
        <v>7.2999453544616699</v>
      </c>
      <c r="CV144">
        <v>5.2734131813049299</v>
      </c>
      <c r="CX144">
        <v>5.5742459297180202</v>
      </c>
      <c r="CY144">
        <v>12.5323190689087</v>
      </c>
      <c r="DB144">
        <v>0.80516815185546897</v>
      </c>
      <c r="DC144">
        <v>2.1093652725219698</v>
      </c>
      <c r="DE144">
        <v>2.5064638137817399</v>
      </c>
      <c r="DF144">
        <v>1.8069990793863899</v>
      </c>
      <c r="DG144">
        <v>2.5814272562662799</v>
      </c>
    </row>
    <row r="145" spans="1:111" x14ac:dyDescent="0.2">
      <c r="A145" s="3">
        <v>1</v>
      </c>
      <c r="B145" s="3" t="s">
        <v>870</v>
      </c>
      <c r="C145" s="3" t="s">
        <v>871</v>
      </c>
      <c r="D145" s="1"/>
      <c r="E145" s="1">
        <f t="shared" si="12"/>
        <v>1.71428571428572</v>
      </c>
      <c r="F145" s="1">
        <f t="shared" si="13"/>
        <v>1.71428571428572</v>
      </c>
      <c r="G145" s="1">
        <f t="shared" si="14"/>
        <v>0</v>
      </c>
      <c r="H145" s="1"/>
      <c r="I145" s="1">
        <v>143</v>
      </c>
      <c r="J145" s="1"/>
      <c r="K145" s="1"/>
      <c r="L145" s="1"/>
      <c r="M145" s="1"/>
      <c r="N145" s="1"/>
      <c r="O145" s="1">
        <v>7.9</v>
      </c>
      <c r="P145" s="1">
        <v>9.9</v>
      </c>
      <c r="Q145" s="1"/>
      <c r="R145" s="1"/>
      <c r="S145" s="1">
        <v>0</v>
      </c>
      <c r="T145" s="1">
        <v>0</v>
      </c>
      <c r="U145" s="1">
        <v>5.9</v>
      </c>
      <c r="V145" s="1">
        <v>3.8</v>
      </c>
      <c r="W145" s="1">
        <v>9.5</v>
      </c>
      <c r="X145" s="1">
        <v>6.7</v>
      </c>
      <c r="Y145" s="1">
        <v>6.3</v>
      </c>
      <c r="Z145" s="1">
        <v>0.9</v>
      </c>
      <c r="AA145" s="1"/>
      <c r="AB145" s="1"/>
      <c r="AC145" s="1">
        <v>0.9</v>
      </c>
      <c r="AD145" s="1">
        <v>0</v>
      </c>
      <c r="AE145" s="1">
        <v>0</v>
      </c>
      <c r="AF145" s="1">
        <v>1</v>
      </c>
      <c r="AG145" s="1">
        <v>0</v>
      </c>
      <c r="AH145" s="1">
        <v>15.3</v>
      </c>
      <c r="AI145" s="1">
        <v>3.5</v>
      </c>
      <c r="AJ145" s="1">
        <v>15.6</v>
      </c>
      <c r="AK145" s="1">
        <v>7.6</v>
      </c>
      <c r="AL145" s="1">
        <v>5</v>
      </c>
      <c r="AM145" s="1">
        <v>0.5</v>
      </c>
      <c r="AN145" s="1">
        <v>4.2</v>
      </c>
      <c r="AO145" s="1">
        <v>2.5</v>
      </c>
      <c r="AP145" s="1">
        <v>4.4000000000000004</v>
      </c>
      <c r="AQ145" s="1">
        <v>6.0416666666666696</v>
      </c>
      <c r="AR145" s="1">
        <v>1.2</v>
      </c>
      <c r="AS145" s="1">
        <v>1.71428571428572</v>
      </c>
      <c r="AT145" s="1" t="s">
        <v>161</v>
      </c>
      <c r="AU145" s="1" t="s">
        <v>98</v>
      </c>
      <c r="AV145" s="1" t="s">
        <v>105</v>
      </c>
      <c r="AW145" s="1"/>
      <c r="AX145" s="1" t="s">
        <v>183</v>
      </c>
      <c r="AY145" s="1" t="s">
        <v>96</v>
      </c>
      <c r="AZ145" s="1">
        <v>10</v>
      </c>
      <c r="BA145" s="1"/>
      <c r="BB145" s="1">
        <v>3</v>
      </c>
      <c r="BC145" s="1"/>
      <c r="BD145" s="1"/>
      <c r="BE145" s="1"/>
      <c r="BF145" s="1"/>
      <c r="BG145" s="1"/>
      <c r="BH145" s="1"/>
      <c r="BS145" t="s">
        <v>1400</v>
      </c>
      <c r="BT145" t="s">
        <v>1401</v>
      </c>
      <c r="BU145" t="s">
        <v>1402</v>
      </c>
      <c r="CF145" t="s">
        <v>103</v>
      </c>
      <c r="CL145">
        <v>10</v>
      </c>
    </row>
    <row r="146" spans="1:111" x14ac:dyDescent="0.2">
      <c r="A146" s="3">
        <v>1</v>
      </c>
      <c r="B146" s="3" t="s">
        <v>873</v>
      </c>
      <c r="C146" s="3" t="s">
        <v>874</v>
      </c>
      <c r="D146" s="1"/>
      <c r="E146" s="1">
        <f t="shared" si="12"/>
        <v>4.4993001937238111</v>
      </c>
      <c r="F146" s="1">
        <f t="shared" si="13"/>
        <v>2.71428571428571</v>
      </c>
      <c r="G146" s="1">
        <f t="shared" si="14"/>
        <v>7.4582060859316899</v>
      </c>
      <c r="H146" s="1"/>
      <c r="I146" s="1">
        <v>144</v>
      </c>
      <c r="J146" s="1">
        <v>83.688548819999994</v>
      </c>
      <c r="K146" s="1">
        <v>49.184678949999999</v>
      </c>
      <c r="L146" s="1">
        <v>10</v>
      </c>
      <c r="M146" s="1">
        <v>9.5</v>
      </c>
      <c r="N146" s="1">
        <v>10</v>
      </c>
      <c r="O146" s="1">
        <v>6.4</v>
      </c>
      <c r="P146" s="1">
        <v>5.4</v>
      </c>
      <c r="Q146" s="1">
        <v>1.6</v>
      </c>
      <c r="R146" s="1">
        <v>2.2000000000000002</v>
      </c>
      <c r="S146" s="1">
        <v>0</v>
      </c>
      <c r="T146" s="1">
        <v>0</v>
      </c>
      <c r="U146" s="1">
        <v>3.1</v>
      </c>
      <c r="V146" s="1">
        <v>9</v>
      </c>
      <c r="W146" s="1">
        <v>8.6999999999999993</v>
      </c>
      <c r="X146" s="1">
        <v>8.9</v>
      </c>
      <c r="Y146" s="1">
        <v>6</v>
      </c>
      <c r="Z146" s="1">
        <v>1.8</v>
      </c>
      <c r="AA146" s="1"/>
      <c r="AB146" s="1">
        <v>0.4</v>
      </c>
      <c r="AC146" s="1">
        <v>1.1000000000000001</v>
      </c>
      <c r="AD146" s="1">
        <v>0</v>
      </c>
      <c r="AE146" s="1">
        <v>0</v>
      </c>
      <c r="AF146" s="1">
        <v>18</v>
      </c>
      <c r="AG146" s="1">
        <v>8.9</v>
      </c>
      <c r="AH146" s="1">
        <v>21.4</v>
      </c>
      <c r="AI146" s="1">
        <v>7.6</v>
      </c>
      <c r="AJ146" s="1">
        <v>6.9</v>
      </c>
      <c r="AK146" s="1">
        <v>2.7</v>
      </c>
      <c r="AL146" s="1">
        <v>5</v>
      </c>
      <c r="AM146" s="1">
        <v>1.3</v>
      </c>
      <c r="AN146" s="1">
        <v>4.2</v>
      </c>
      <c r="AO146" s="1">
        <v>5.0999999999999996</v>
      </c>
      <c r="AP146" s="1">
        <v>5.5</v>
      </c>
      <c r="AQ146" s="1">
        <v>10</v>
      </c>
      <c r="AR146" s="1">
        <v>1.9</v>
      </c>
      <c r="AS146" s="1">
        <v>2.71428571428571</v>
      </c>
      <c r="AT146" s="1" t="s">
        <v>691</v>
      </c>
      <c r="AU146" s="1" t="s">
        <v>98</v>
      </c>
      <c r="AV146" s="1" t="s">
        <v>876</v>
      </c>
      <c r="AW146" s="1" t="s">
        <v>100</v>
      </c>
      <c r="AX146" s="1" t="s">
        <v>183</v>
      </c>
      <c r="AY146" s="1" t="s">
        <v>96</v>
      </c>
      <c r="AZ146" s="1">
        <v>10</v>
      </c>
      <c r="BA146" s="1">
        <v>7</v>
      </c>
      <c r="BB146" s="1">
        <v>3</v>
      </c>
      <c r="BC146" s="1" t="s">
        <v>1540</v>
      </c>
      <c r="BD146" s="1" t="s">
        <v>1404</v>
      </c>
      <c r="BE146" s="1">
        <v>3.3272147869494799</v>
      </c>
      <c r="BF146" s="1">
        <v>3.0502727527498799</v>
      </c>
      <c r="BG146" s="1">
        <v>2.8119389091563001</v>
      </c>
      <c r="BH146" s="1">
        <v>3.2464594902941402</v>
      </c>
      <c r="BI146">
        <v>3.1102181570624401</v>
      </c>
      <c r="BJ146">
        <v>3.0130726302605702</v>
      </c>
      <c r="BK146" t="s">
        <v>1405</v>
      </c>
      <c r="BL146" t="s">
        <v>1411</v>
      </c>
      <c r="BM146">
        <v>19237.682000000001</v>
      </c>
      <c r="BN146">
        <v>-0.13624133323170001</v>
      </c>
      <c r="BO146">
        <v>0.43452058113783998</v>
      </c>
      <c r="BP146">
        <v>0</v>
      </c>
      <c r="BQ146">
        <v>1.4484019371261301</v>
      </c>
      <c r="BR146">
        <v>1.4484019371261301</v>
      </c>
      <c r="BS146" t="s">
        <v>1400</v>
      </c>
      <c r="BT146" t="s">
        <v>1401</v>
      </c>
      <c r="BU146" t="s">
        <v>1402</v>
      </c>
      <c r="BW146">
        <v>4.9269999999999996</v>
      </c>
      <c r="BX146">
        <v>4.1870000000000003</v>
      </c>
      <c r="BY146">
        <v>3.9119999999999999</v>
      </c>
      <c r="BZ146">
        <v>7.9</v>
      </c>
      <c r="CA146">
        <v>6</v>
      </c>
      <c r="CB146">
        <v>5.5</v>
      </c>
      <c r="CC146">
        <v>5.5</v>
      </c>
      <c r="CD146">
        <v>5.5</v>
      </c>
      <c r="CE146">
        <v>5.5</v>
      </c>
      <c r="CF146" t="s">
        <v>1541</v>
      </c>
      <c r="CG146">
        <v>-1.9</v>
      </c>
      <c r="CH146">
        <v>3.988</v>
      </c>
      <c r="CI146">
        <v>0</v>
      </c>
      <c r="CJ146">
        <v>10</v>
      </c>
      <c r="CK146">
        <v>10</v>
      </c>
      <c r="CL146">
        <v>0</v>
      </c>
      <c r="CM146">
        <v>74.689277648925795</v>
      </c>
      <c r="CN146">
        <v>25.310724258422901</v>
      </c>
      <c r="CS146">
        <v>25.310724258422901</v>
      </c>
      <c r="CU146">
        <v>37.768363952636697</v>
      </c>
      <c r="CW146">
        <v>39.654922485351598</v>
      </c>
      <c r="DA146">
        <v>5.06214485168457</v>
      </c>
      <c r="DD146">
        <v>5.3793436686197902</v>
      </c>
      <c r="DF146">
        <v>5.2207442601521796</v>
      </c>
      <c r="DG146">
        <v>7.4582060859316899</v>
      </c>
    </row>
    <row r="147" spans="1:111" x14ac:dyDescent="0.2">
      <c r="A147" s="3">
        <v>1</v>
      </c>
      <c r="B147" s="3" t="s">
        <v>877</v>
      </c>
      <c r="C147" s="3" t="s">
        <v>878</v>
      </c>
      <c r="D147" s="1"/>
      <c r="E147" s="1">
        <f t="shared" si="12"/>
        <v>4.0000000000000036</v>
      </c>
      <c r="F147" s="1">
        <f t="shared" si="13"/>
        <v>2.28571428571429</v>
      </c>
      <c r="G147" s="1">
        <f t="shared" si="14"/>
        <v>7</v>
      </c>
      <c r="H147" s="1"/>
      <c r="I147" s="1">
        <v>145</v>
      </c>
      <c r="J147" s="1">
        <v>77.87514109</v>
      </c>
      <c r="K147" s="1">
        <v>25.58163455</v>
      </c>
      <c r="L147" s="1">
        <v>9.3000000000000007</v>
      </c>
      <c r="M147" s="1">
        <v>4.5999999999999996</v>
      </c>
      <c r="N147" s="1">
        <v>9.3000000000000007</v>
      </c>
      <c r="O147" s="1">
        <v>3.2</v>
      </c>
      <c r="P147" s="1">
        <v>7.4</v>
      </c>
      <c r="Q147" s="1"/>
      <c r="R147" s="1">
        <v>1.5</v>
      </c>
      <c r="S147" s="1">
        <v>0.1</v>
      </c>
      <c r="T147" s="1">
        <v>0.1</v>
      </c>
      <c r="U147" s="1">
        <v>3.1</v>
      </c>
      <c r="V147" s="1">
        <v>4.7</v>
      </c>
      <c r="W147" s="1">
        <v>1.1000000000000001</v>
      </c>
      <c r="X147" s="1">
        <v>2.9</v>
      </c>
      <c r="Y147" s="1">
        <v>3</v>
      </c>
      <c r="Z147" s="1">
        <v>1.7</v>
      </c>
      <c r="AA147" s="1"/>
      <c r="AB147" s="1">
        <v>0</v>
      </c>
      <c r="AC147" s="1">
        <v>0.9</v>
      </c>
      <c r="AD147" s="1">
        <v>0</v>
      </c>
      <c r="AE147" s="1">
        <v>0</v>
      </c>
      <c r="AF147" s="1">
        <v>15</v>
      </c>
      <c r="AG147" s="1">
        <v>7.2</v>
      </c>
      <c r="AH147" s="1">
        <v>25.4</v>
      </c>
      <c r="AI147" s="1">
        <v>10</v>
      </c>
      <c r="AJ147" s="1">
        <v>6.1</v>
      </c>
      <c r="AK147" s="1">
        <v>2.2999999999999998</v>
      </c>
      <c r="AL147" s="1">
        <v>6</v>
      </c>
      <c r="AM147" s="1">
        <v>1.1000000000000001</v>
      </c>
      <c r="AN147" s="1">
        <v>4.9000000000000004</v>
      </c>
      <c r="AO147" s="1">
        <v>5</v>
      </c>
      <c r="AP147" s="1">
        <v>4</v>
      </c>
      <c r="AQ147" s="1">
        <v>4.375</v>
      </c>
      <c r="AR147" s="1">
        <v>1.6</v>
      </c>
      <c r="AS147" s="1">
        <v>2.28571428571429</v>
      </c>
      <c r="AT147" s="1" t="s">
        <v>880</v>
      </c>
      <c r="AU147" s="1" t="s">
        <v>98</v>
      </c>
      <c r="AV147" s="1" t="s">
        <v>226</v>
      </c>
      <c r="AW147" s="1" t="s">
        <v>100</v>
      </c>
      <c r="AX147" s="1" t="s">
        <v>137</v>
      </c>
      <c r="AY147" s="1" t="s">
        <v>100</v>
      </c>
      <c r="AZ147" s="1">
        <v>10</v>
      </c>
      <c r="BA147" s="1">
        <v>7</v>
      </c>
      <c r="BB147" s="1">
        <v>0</v>
      </c>
      <c r="BC147" s="1" t="s">
        <v>1542</v>
      </c>
      <c r="BD147" s="1" t="s">
        <v>1404</v>
      </c>
      <c r="BE147" s="1">
        <v>4.3294232205510201E-2</v>
      </c>
      <c r="BF147" s="1">
        <v>3.1218830918350999E-2</v>
      </c>
      <c r="BG147" s="1">
        <v>2.9192206502985801E-2</v>
      </c>
      <c r="BH147" s="1">
        <v>3.6869812827064502E-2</v>
      </c>
      <c r="BI147">
        <v>2.9933012885080799E-2</v>
      </c>
      <c r="BJ147">
        <v>2.9192206670385201E-2</v>
      </c>
      <c r="BK147" t="s">
        <v>1405</v>
      </c>
      <c r="BL147" t="s">
        <v>1411</v>
      </c>
      <c r="BM147">
        <v>145934.46</v>
      </c>
      <c r="BN147">
        <v>-6.9367999419836998E-3</v>
      </c>
      <c r="BO147">
        <v>7.6776063240786997E-3</v>
      </c>
      <c r="BP147">
        <v>0</v>
      </c>
      <c r="BQ147">
        <v>2.5592021080262501E-2</v>
      </c>
      <c r="BR147">
        <v>2.5592021080262501E-2</v>
      </c>
      <c r="BS147" t="s">
        <v>1400</v>
      </c>
      <c r="BT147" t="s">
        <v>1401</v>
      </c>
      <c r="BU147" t="s">
        <v>1402</v>
      </c>
      <c r="BW147">
        <v>5.2</v>
      </c>
      <c r="BX147">
        <v>4.8</v>
      </c>
      <c r="BY147">
        <v>4.5999999999999996</v>
      </c>
      <c r="BZ147">
        <v>5.6</v>
      </c>
      <c r="CA147">
        <v>5.2</v>
      </c>
      <c r="CB147">
        <v>4.7</v>
      </c>
      <c r="CC147">
        <v>4.66</v>
      </c>
      <c r="CD147">
        <v>4.62</v>
      </c>
      <c r="CE147">
        <v>4.5999999999999996</v>
      </c>
      <c r="CF147" t="s">
        <v>121</v>
      </c>
      <c r="CG147">
        <v>-0.39999999999999902</v>
      </c>
      <c r="CH147">
        <v>1</v>
      </c>
      <c r="CI147">
        <v>0</v>
      </c>
      <c r="CJ147">
        <v>3.3333333333333299</v>
      </c>
      <c r="CK147">
        <v>3.3333333333333299</v>
      </c>
    </row>
    <row r="148" spans="1:111" x14ac:dyDescent="0.2">
      <c r="A148" s="3">
        <v>1</v>
      </c>
      <c r="B148" s="3" t="s">
        <v>881</v>
      </c>
      <c r="C148" s="3" t="s">
        <v>882</v>
      </c>
      <c r="D148" s="1"/>
      <c r="E148" s="1">
        <f t="shared" si="12"/>
        <v>9</v>
      </c>
      <c r="F148" s="1">
        <f t="shared" si="13"/>
        <v>9</v>
      </c>
      <c r="G148" s="1">
        <f t="shared" si="14"/>
        <v>0</v>
      </c>
      <c r="H148" s="1"/>
      <c r="I148" s="1">
        <v>146</v>
      </c>
      <c r="J148" s="1">
        <v>31.404767039999999</v>
      </c>
      <c r="K148" s="1">
        <v>4.9253330880000004</v>
      </c>
      <c r="L148" s="1">
        <v>3.6</v>
      </c>
      <c r="M148" s="1">
        <v>0.4</v>
      </c>
      <c r="N148" s="1">
        <v>3.6</v>
      </c>
      <c r="O148" s="1">
        <v>9</v>
      </c>
      <c r="P148" s="1">
        <v>1.7</v>
      </c>
      <c r="Q148" s="1">
        <v>5.0999999999999996</v>
      </c>
      <c r="R148" s="1">
        <v>5.6</v>
      </c>
      <c r="S148" s="1">
        <v>1.2</v>
      </c>
      <c r="T148" s="1">
        <v>1.2</v>
      </c>
      <c r="U148" s="1">
        <v>4.5</v>
      </c>
      <c r="V148" s="1">
        <v>5.5</v>
      </c>
      <c r="W148" s="1">
        <v>3.2</v>
      </c>
      <c r="X148" s="1">
        <v>4.4000000000000004</v>
      </c>
      <c r="Y148" s="1">
        <v>4.4000000000000004</v>
      </c>
      <c r="Z148" s="1">
        <v>7.5</v>
      </c>
      <c r="AA148" s="1">
        <v>9</v>
      </c>
      <c r="AB148" s="1">
        <v>5.6</v>
      </c>
      <c r="AC148" s="1">
        <v>7.4</v>
      </c>
      <c r="AD148" s="1">
        <v>0</v>
      </c>
      <c r="AE148" s="1">
        <v>0</v>
      </c>
      <c r="AF148" s="1">
        <v>3</v>
      </c>
      <c r="AG148" s="1">
        <v>0.6</v>
      </c>
      <c r="AH148" s="1">
        <v>18.2</v>
      </c>
      <c r="AI148" s="1">
        <v>5.5</v>
      </c>
      <c r="AJ148" s="1">
        <v>5.0999999999999996</v>
      </c>
      <c r="AK148" s="1">
        <v>1.7</v>
      </c>
      <c r="AL148" s="1">
        <v>6</v>
      </c>
      <c r="AM148" s="1">
        <v>1</v>
      </c>
      <c r="AN148" s="1">
        <v>3.6</v>
      </c>
      <c r="AO148" s="1">
        <v>4.8</v>
      </c>
      <c r="AP148" s="1">
        <v>4.5999999999999996</v>
      </c>
      <c r="AQ148" s="1">
        <v>6.875</v>
      </c>
      <c r="AR148" s="1">
        <v>6.3</v>
      </c>
      <c r="AS148" s="1">
        <v>9</v>
      </c>
      <c r="AT148" s="1" t="s">
        <v>212</v>
      </c>
      <c r="AU148" s="1" t="s">
        <v>96</v>
      </c>
      <c r="AV148" s="1" t="s">
        <v>105</v>
      </c>
      <c r="AW148" s="1"/>
      <c r="AX148" s="1" t="s">
        <v>137</v>
      </c>
      <c r="AY148" s="1" t="s">
        <v>100</v>
      </c>
      <c r="AZ148" s="1">
        <v>0</v>
      </c>
      <c r="BA148" s="1"/>
      <c r="BB148" s="1">
        <v>0</v>
      </c>
      <c r="BC148" s="1" t="s">
        <v>1543</v>
      </c>
      <c r="BD148" s="1" t="s">
        <v>1404</v>
      </c>
      <c r="BE148" s="1">
        <v>50.4851937567514</v>
      </c>
      <c r="BF148" s="1">
        <v>46.738909510812398</v>
      </c>
      <c r="BG148" s="1">
        <v>43.018183922577599</v>
      </c>
      <c r="BH148" s="1">
        <v>41.925723286604502</v>
      </c>
      <c r="BI148">
        <v>40.845725269865099</v>
      </c>
      <c r="BJ148">
        <v>39.3705239536676</v>
      </c>
      <c r="BK148" t="s">
        <v>1405</v>
      </c>
      <c r="BL148" t="s">
        <v>1406</v>
      </c>
      <c r="BM148">
        <v>12952.209000000001</v>
      </c>
      <c r="BN148">
        <v>-1.0799980167394001</v>
      </c>
      <c r="BO148">
        <v>-1.0924606359730999</v>
      </c>
      <c r="BP148">
        <v>0</v>
      </c>
      <c r="BQ148">
        <v>0</v>
      </c>
      <c r="BR148">
        <v>0</v>
      </c>
      <c r="BS148" t="s">
        <v>1400</v>
      </c>
      <c r="BT148" t="s">
        <v>1401</v>
      </c>
      <c r="BU148" t="s">
        <v>1402</v>
      </c>
      <c r="CF148" t="s">
        <v>103</v>
      </c>
    </row>
    <row r="149" spans="1:111" x14ac:dyDescent="0.2">
      <c r="A149" s="3">
        <v>1</v>
      </c>
      <c r="B149" s="3" t="s">
        <v>884</v>
      </c>
      <c r="C149" s="3" t="s">
        <v>885</v>
      </c>
      <c r="D149" s="1"/>
      <c r="E149" s="1">
        <f t="shared" si="12"/>
        <v>1.71428571428572</v>
      </c>
      <c r="F149" s="1">
        <f t="shared" si="13"/>
        <v>1.71428571428572</v>
      </c>
      <c r="G149" s="1">
        <f t="shared" si="14"/>
        <v>0</v>
      </c>
      <c r="H149" s="1"/>
      <c r="I149" s="1">
        <v>147</v>
      </c>
      <c r="J149" s="1"/>
      <c r="K149" s="1"/>
      <c r="L149" s="1"/>
      <c r="M149" s="1"/>
      <c r="N149" s="1"/>
      <c r="O149" s="1">
        <v>4</v>
      </c>
      <c r="P149" s="1">
        <v>8.4</v>
      </c>
      <c r="Q149" s="1">
        <v>2</v>
      </c>
      <c r="R149" s="1"/>
      <c r="S149" s="1">
        <v>0</v>
      </c>
      <c r="T149" s="1">
        <v>0</v>
      </c>
      <c r="U149" s="1">
        <v>3.6</v>
      </c>
      <c r="V149" s="1">
        <v>4.9000000000000004</v>
      </c>
      <c r="W149" s="1">
        <v>0.5</v>
      </c>
      <c r="X149" s="1">
        <v>2.7</v>
      </c>
      <c r="Y149" s="1">
        <v>3.2</v>
      </c>
      <c r="Z149" s="1">
        <v>0.9</v>
      </c>
      <c r="AA149" s="1"/>
      <c r="AB149" s="1"/>
      <c r="AC149" s="1">
        <v>0.9</v>
      </c>
      <c r="AD149" s="1">
        <v>0</v>
      </c>
      <c r="AE149" s="1">
        <v>0</v>
      </c>
      <c r="AF149" s="1">
        <v>3</v>
      </c>
      <c r="AG149" s="1">
        <v>0.6</v>
      </c>
      <c r="AH149" s="1">
        <v>16.399999999999999</v>
      </c>
      <c r="AI149" s="1">
        <v>4.3</v>
      </c>
      <c r="AJ149" s="1">
        <v>15.8</v>
      </c>
      <c r="AK149" s="1">
        <v>7.7</v>
      </c>
      <c r="AL149" s="1">
        <v>5</v>
      </c>
      <c r="AM149" s="1">
        <v>0.2</v>
      </c>
      <c r="AN149" s="1">
        <v>4.3</v>
      </c>
      <c r="AO149" s="1">
        <v>2.6</v>
      </c>
      <c r="AP149" s="1">
        <v>2.9</v>
      </c>
      <c r="AQ149" s="1">
        <v>0</v>
      </c>
      <c r="AR149" s="1">
        <v>1.2</v>
      </c>
      <c r="AS149" s="1">
        <v>1.71428571428572</v>
      </c>
      <c r="AT149" s="1" t="s">
        <v>736</v>
      </c>
      <c r="AU149" s="1" t="s">
        <v>98</v>
      </c>
      <c r="AV149" s="1" t="s">
        <v>105</v>
      </c>
      <c r="AW149" s="1"/>
      <c r="AX149" s="1" t="s">
        <v>183</v>
      </c>
      <c r="AY149" s="1" t="s">
        <v>96</v>
      </c>
      <c r="AZ149" s="1">
        <v>10</v>
      </c>
      <c r="BA149" s="1"/>
      <c r="BB149" s="1">
        <v>3</v>
      </c>
      <c r="BC149" s="1"/>
      <c r="BD149" s="1"/>
      <c r="BE149" s="1"/>
      <c r="BF149" s="1"/>
      <c r="BG149" s="1"/>
      <c r="BH149" s="1"/>
      <c r="BS149" t="s">
        <v>1400</v>
      </c>
      <c r="BT149" t="s">
        <v>1401</v>
      </c>
      <c r="BU149" t="s">
        <v>1402</v>
      </c>
      <c r="BW149">
        <v>6</v>
      </c>
      <c r="BX149">
        <v>6</v>
      </c>
      <c r="BY149">
        <v>5.625</v>
      </c>
      <c r="CF149" t="s">
        <v>1431</v>
      </c>
      <c r="CL149">
        <v>7</v>
      </c>
    </row>
    <row r="150" spans="1:111" x14ac:dyDescent="0.2">
      <c r="A150" s="3">
        <v>1</v>
      </c>
      <c r="B150" s="3" t="s">
        <v>887</v>
      </c>
      <c r="C150" s="3" t="s">
        <v>888</v>
      </c>
      <c r="D150" s="1"/>
      <c r="E150" s="1">
        <f t="shared" si="12"/>
        <v>9.1807251503197893</v>
      </c>
      <c r="F150" s="1">
        <f t="shared" si="13"/>
        <v>8.4285714285714306</v>
      </c>
      <c r="G150" s="1">
        <f t="shared" si="14"/>
        <v>10</v>
      </c>
      <c r="H150" s="1"/>
      <c r="I150" s="1">
        <v>148</v>
      </c>
      <c r="J150" s="1">
        <v>7.4481555249999998</v>
      </c>
      <c r="K150" s="1">
        <v>1.0513889240000001</v>
      </c>
      <c r="L150" s="1">
        <v>0.7</v>
      </c>
      <c r="M150" s="1">
        <v>0</v>
      </c>
      <c r="N150" s="1">
        <v>0.7</v>
      </c>
      <c r="O150" s="1">
        <v>4.2</v>
      </c>
      <c r="P150" s="1">
        <v>3.5</v>
      </c>
      <c r="Q150" s="1">
        <v>10</v>
      </c>
      <c r="R150" s="1">
        <v>9</v>
      </c>
      <c r="S150" s="1">
        <v>7.4</v>
      </c>
      <c r="T150" s="1">
        <v>7.4</v>
      </c>
      <c r="U150" s="1">
        <v>6.8</v>
      </c>
      <c r="V150" s="1">
        <v>6.9</v>
      </c>
      <c r="W150" s="1">
        <v>0.1</v>
      </c>
      <c r="X150" s="1">
        <v>3.5</v>
      </c>
      <c r="Y150" s="1">
        <v>5.2</v>
      </c>
      <c r="Z150" s="1">
        <v>8</v>
      </c>
      <c r="AA150" s="1">
        <v>9.1</v>
      </c>
      <c r="AB150" s="1">
        <v>1.3</v>
      </c>
      <c r="AC150" s="1">
        <v>6.1</v>
      </c>
      <c r="AD150" s="1">
        <v>14.5</v>
      </c>
      <c r="AE150" s="1">
        <v>7.2</v>
      </c>
      <c r="AF150" s="1">
        <v>4</v>
      </c>
      <c r="AG150" s="1">
        <v>1.1000000000000001</v>
      </c>
      <c r="AH150" s="1">
        <v>26</v>
      </c>
      <c r="AI150" s="1">
        <v>10</v>
      </c>
      <c r="AJ150" s="1">
        <v>22.1</v>
      </c>
      <c r="AK150" s="1">
        <v>10</v>
      </c>
      <c r="AL150" s="1">
        <v>6</v>
      </c>
      <c r="AM150" s="1">
        <v>1.4</v>
      </c>
      <c r="AN150" s="1">
        <v>6.9</v>
      </c>
      <c r="AO150" s="1">
        <v>4.5999999999999996</v>
      </c>
      <c r="AP150" s="1">
        <v>4.9000000000000004</v>
      </c>
      <c r="AQ150" s="1">
        <v>8.125</v>
      </c>
      <c r="AR150" s="1">
        <v>5.9</v>
      </c>
      <c r="AS150" s="1">
        <v>8.4285714285714306</v>
      </c>
      <c r="AT150" s="1" t="s">
        <v>890</v>
      </c>
      <c r="AU150" s="1" t="s">
        <v>98</v>
      </c>
      <c r="AV150" s="1" t="s">
        <v>891</v>
      </c>
      <c r="AW150" s="1" t="s">
        <v>98</v>
      </c>
      <c r="AX150" s="1" t="s">
        <v>137</v>
      </c>
      <c r="AY150" s="1" t="s">
        <v>100</v>
      </c>
      <c r="AZ150" s="1">
        <v>10</v>
      </c>
      <c r="BA150" s="1">
        <v>10</v>
      </c>
      <c r="BB150" s="1">
        <v>0</v>
      </c>
      <c r="BC150" s="1" t="s">
        <v>1544</v>
      </c>
      <c r="BD150" s="1" t="s">
        <v>1404</v>
      </c>
      <c r="BE150" s="1">
        <v>11.1268301852803</v>
      </c>
      <c r="BF150" s="1">
        <v>12.8268091468316</v>
      </c>
      <c r="BG150" s="1">
        <v>14.887046313023101</v>
      </c>
      <c r="BH150" s="1">
        <v>20.672798369580399</v>
      </c>
      <c r="BI150">
        <v>20.564262954718501</v>
      </c>
      <c r="BJ150">
        <v>20.133579754692999</v>
      </c>
      <c r="BK150" t="s">
        <v>1405</v>
      </c>
      <c r="BL150" t="s">
        <v>1406</v>
      </c>
      <c r="BM150">
        <v>43849.269</v>
      </c>
      <c r="BN150">
        <v>-0.10853541486189799</v>
      </c>
      <c r="BO150">
        <v>5.7857520565572997</v>
      </c>
      <c r="BP150">
        <v>0</v>
      </c>
      <c r="BQ150">
        <v>10</v>
      </c>
      <c r="BR150">
        <v>10</v>
      </c>
      <c r="BS150" t="s">
        <v>1400</v>
      </c>
      <c r="BT150" t="s">
        <v>1401</v>
      </c>
      <c r="BU150" t="s">
        <v>1402</v>
      </c>
      <c r="BW150">
        <v>19.600000000000001</v>
      </c>
      <c r="BX150">
        <v>19.5</v>
      </c>
      <c r="BY150">
        <v>22.1</v>
      </c>
      <c r="BZ150">
        <v>25</v>
      </c>
      <c r="CA150">
        <v>22</v>
      </c>
      <c r="CB150">
        <v>19.899999999999999</v>
      </c>
      <c r="CC150">
        <v>19.399999999999999</v>
      </c>
      <c r="CD150">
        <v>19</v>
      </c>
      <c r="CE150">
        <v>18.600000000000001</v>
      </c>
      <c r="CF150" t="s">
        <v>414</v>
      </c>
      <c r="CG150">
        <v>-3</v>
      </c>
      <c r="CH150">
        <v>2.9</v>
      </c>
      <c r="CI150">
        <v>0</v>
      </c>
      <c r="CJ150">
        <v>9.6666666666666607</v>
      </c>
      <c r="CK150">
        <v>9.6666666666666607</v>
      </c>
    </row>
    <row r="151" spans="1:111" x14ac:dyDescent="0.2">
      <c r="A151" s="3">
        <v>1</v>
      </c>
      <c r="B151" s="3" t="s">
        <v>894</v>
      </c>
      <c r="C151" s="3" t="s">
        <v>895</v>
      </c>
      <c r="D151" s="1"/>
      <c r="E151" s="1">
        <f t="shared" si="12"/>
        <v>9.4868329805051381</v>
      </c>
      <c r="F151" s="1">
        <f t="shared" si="13"/>
        <v>9</v>
      </c>
      <c r="G151" s="1">
        <f t="shared" si="14"/>
        <v>10</v>
      </c>
      <c r="H151" s="1"/>
      <c r="I151" s="1">
        <v>149</v>
      </c>
      <c r="J151" s="1">
        <v>16.786619219999999</v>
      </c>
      <c r="K151" s="1">
        <v>11.7938993</v>
      </c>
      <c r="L151" s="1">
        <v>1.8</v>
      </c>
      <c r="M151" s="1">
        <v>1.8</v>
      </c>
      <c r="N151" s="1">
        <v>1.8</v>
      </c>
      <c r="O151" s="1">
        <v>6.4</v>
      </c>
      <c r="P151" s="1">
        <v>4.7</v>
      </c>
      <c r="Q151" s="1">
        <v>3.3</v>
      </c>
      <c r="R151" s="1">
        <v>10</v>
      </c>
      <c r="S151" s="1">
        <v>0.2</v>
      </c>
      <c r="T151" s="1">
        <v>0.2</v>
      </c>
      <c r="U151" s="1">
        <v>4.9000000000000004</v>
      </c>
      <c r="V151" s="1">
        <v>2.6</v>
      </c>
      <c r="W151" s="1">
        <v>1.1000000000000001</v>
      </c>
      <c r="X151" s="1">
        <v>1.9</v>
      </c>
      <c r="Y151" s="1">
        <v>3.4</v>
      </c>
      <c r="Z151" s="1">
        <v>7.9</v>
      </c>
      <c r="AA151" s="1">
        <v>9.1</v>
      </c>
      <c r="AB151" s="1">
        <v>3.8</v>
      </c>
      <c r="AC151" s="1">
        <v>6.9</v>
      </c>
      <c r="AD151" s="1">
        <v>4.9000000000000004</v>
      </c>
      <c r="AE151" s="1">
        <v>2.5</v>
      </c>
      <c r="AF151" s="1">
        <v>3</v>
      </c>
      <c r="AG151" s="1">
        <v>0.6</v>
      </c>
      <c r="AH151" s="1">
        <v>18.100000000000001</v>
      </c>
      <c r="AI151" s="1">
        <v>5.4</v>
      </c>
      <c r="AJ151" s="1">
        <v>2.4</v>
      </c>
      <c r="AK151" s="1">
        <v>0.2</v>
      </c>
      <c r="AL151" s="1">
        <v>6</v>
      </c>
      <c r="AM151" s="1">
        <v>2.2000000000000002</v>
      </c>
      <c r="AN151" s="1">
        <v>3.5</v>
      </c>
      <c r="AO151" s="1">
        <v>4.0999999999999996</v>
      </c>
      <c r="AP151" s="1">
        <v>3.7</v>
      </c>
      <c r="AQ151" s="1">
        <v>3.125</v>
      </c>
      <c r="AR151" s="1">
        <v>6.3</v>
      </c>
      <c r="AS151" s="1">
        <v>9</v>
      </c>
      <c r="AT151" s="1" t="s">
        <v>897</v>
      </c>
      <c r="AU151" s="1" t="s">
        <v>100</v>
      </c>
      <c r="AV151" s="1" t="s">
        <v>105</v>
      </c>
      <c r="AW151" s="1"/>
      <c r="AX151" s="1" t="s">
        <v>102</v>
      </c>
      <c r="AY151" s="1" t="s">
        <v>98</v>
      </c>
      <c r="AZ151" s="1">
        <v>7</v>
      </c>
      <c r="BA151" s="1"/>
      <c r="BB151" s="1">
        <v>7</v>
      </c>
      <c r="BC151" s="1" t="s">
        <v>1545</v>
      </c>
      <c r="BD151" s="1" t="s">
        <v>1404</v>
      </c>
      <c r="BE151" s="1">
        <v>34.679937219647798</v>
      </c>
      <c r="BF151" s="1">
        <v>33.917048415595801</v>
      </c>
      <c r="BG151" s="1">
        <v>33.388475776241101</v>
      </c>
      <c r="BH151" s="1">
        <v>34.091229658999502</v>
      </c>
      <c r="BI151">
        <v>33.924776116199801</v>
      </c>
      <c r="BJ151">
        <v>33.301123645958498</v>
      </c>
      <c r="BK151" t="s">
        <v>1405</v>
      </c>
      <c r="BL151" t="s">
        <v>1406</v>
      </c>
      <c r="BM151">
        <v>16743.93</v>
      </c>
      <c r="BN151">
        <v>-0.16645354279970101</v>
      </c>
      <c r="BO151">
        <v>0.70275388275840101</v>
      </c>
      <c r="BP151">
        <v>0</v>
      </c>
      <c r="BQ151">
        <v>2.3425129425279998</v>
      </c>
      <c r="BR151">
        <v>2.3425129425279998</v>
      </c>
      <c r="BS151" t="s">
        <v>1400</v>
      </c>
      <c r="BT151" t="s">
        <v>1401</v>
      </c>
      <c r="BU151" t="s">
        <v>1402</v>
      </c>
      <c r="CF151" t="s">
        <v>103</v>
      </c>
      <c r="CM151">
        <v>47.850563049316399</v>
      </c>
      <c r="CN151">
        <v>35.913284301757798</v>
      </c>
      <c r="CT151">
        <v>63.248748779296903</v>
      </c>
      <c r="CU151">
        <v>85.354072570800795</v>
      </c>
      <c r="DA151">
        <v>7.1826568603515604</v>
      </c>
      <c r="DF151">
        <v>7.1826568603515604</v>
      </c>
      <c r="DG151">
        <v>10</v>
      </c>
    </row>
    <row r="152" spans="1:111" x14ac:dyDescent="0.2">
      <c r="A152" s="3">
        <v>1</v>
      </c>
      <c r="B152" s="3" t="s">
        <v>899</v>
      </c>
      <c r="C152" s="3" t="s">
        <v>900</v>
      </c>
      <c r="D152" s="1"/>
      <c r="E152" s="1">
        <f t="shared" si="12"/>
        <v>0.28571428571428598</v>
      </c>
      <c r="F152" s="1">
        <f t="shared" si="13"/>
        <v>0.28571428571428598</v>
      </c>
      <c r="G152" s="1">
        <f t="shared" si="14"/>
        <v>0</v>
      </c>
      <c r="H152" s="1"/>
      <c r="I152" s="1">
        <v>150</v>
      </c>
      <c r="J152" s="1"/>
      <c r="K152" s="1"/>
      <c r="L152" s="1"/>
      <c r="M152" s="1"/>
      <c r="N152" s="1"/>
      <c r="O152" s="1">
        <v>10</v>
      </c>
      <c r="P152" s="1">
        <v>10</v>
      </c>
      <c r="Q152" s="1"/>
      <c r="R152" s="1">
        <v>3.2</v>
      </c>
      <c r="S152" s="1">
        <v>0</v>
      </c>
      <c r="T152" s="1">
        <v>0</v>
      </c>
      <c r="U152" s="1">
        <v>5.8</v>
      </c>
      <c r="V152" s="1">
        <v>5.2</v>
      </c>
      <c r="W152" s="1">
        <v>10</v>
      </c>
      <c r="X152" s="1">
        <v>7.6</v>
      </c>
      <c r="Y152" s="1">
        <v>6.7</v>
      </c>
      <c r="Z152" s="1">
        <v>0</v>
      </c>
      <c r="AA152" s="1"/>
      <c r="AB152" s="1"/>
      <c r="AC152" s="1">
        <v>0</v>
      </c>
      <c r="AD152" s="1">
        <v>0</v>
      </c>
      <c r="AE152" s="1">
        <v>0</v>
      </c>
      <c r="AF152" s="1">
        <v>11</v>
      </c>
      <c r="AG152" s="1">
        <v>5</v>
      </c>
      <c r="AH152" s="1">
        <v>9.3000000000000007</v>
      </c>
      <c r="AI152" s="1">
        <v>0</v>
      </c>
      <c r="AJ152" s="1">
        <v>5.5</v>
      </c>
      <c r="AK152" s="1">
        <v>1.9</v>
      </c>
      <c r="AL152" s="1">
        <v>5</v>
      </c>
      <c r="AM152" s="1">
        <v>0.9</v>
      </c>
      <c r="AN152" s="1">
        <v>2</v>
      </c>
      <c r="AO152" s="1">
        <v>1</v>
      </c>
      <c r="AP152" s="1">
        <v>3.8</v>
      </c>
      <c r="AQ152" s="1">
        <v>3.5416666666666701</v>
      </c>
      <c r="AR152" s="1">
        <v>0.2</v>
      </c>
      <c r="AS152" s="1">
        <v>0.28571428571428598</v>
      </c>
      <c r="AT152" s="1" t="s">
        <v>328</v>
      </c>
      <c r="AU152" s="1" t="s">
        <v>98</v>
      </c>
      <c r="AV152" s="1" t="s">
        <v>192</v>
      </c>
      <c r="AW152" s="1" t="s">
        <v>96</v>
      </c>
      <c r="AX152" s="1" t="s">
        <v>183</v>
      </c>
      <c r="AY152" s="1" t="s">
        <v>96</v>
      </c>
      <c r="AZ152" s="1">
        <v>10</v>
      </c>
      <c r="BA152" s="1">
        <v>0</v>
      </c>
      <c r="BB152" s="1">
        <v>3</v>
      </c>
      <c r="BC152" s="1"/>
      <c r="BD152" s="1"/>
      <c r="BE152" s="1"/>
      <c r="BF152" s="1"/>
      <c r="BG152" s="1"/>
      <c r="BH152" s="1"/>
      <c r="BS152" t="s">
        <v>1400</v>
      </c>
      <c r="BT152" t="s">
        <v>1401</v>
      </c>
      <c r="BU152" t="s">
        <v>1402</v>
      </c>
      <c r="BW152">
        <v>2.1749999999999998</v>
      </c>
      <c r="BX152">
        <v>2.1</v>
      </c>
      <c r="BY152">
        <v>2.25</v>
      </c>
      <c r="BZ152">
        <v>3</v>
      </c>
      <c r="CA152">
        <v>2.6</v>
      </c>
      <c r="CB152">
        <v>2.2999999999999998</v>
      </c>
      <c r="CC152">
        <v>2.1</v>
      </c>
      <c r="CD152">
        <v>2.1</v>
      </c>
      <c r="CE152">
        <v>2.1</v>
      </c>
      <c r="CF152" t="s">
        <v>1546</v>
      </c>
      <c r="CG152">
        <v>-0.4</v>
      </c>
      <c r="CH152">
        <v>0.75</v>
      </c>
      <c r="CI152">
        <v>0</v>
      </c>
      <c r="CJ152">
        <v>2.5</v>
      </c>
      <c r="CK152">
        <v>2.5</v>
      </c>
    </row>
    <row r="153" spans="1:111" x14ac:dyDescent="0.2">
      <c r="A153" s="3">
        <v>1</v>
      </c>
      <c r="B153" s="3" t="s">
        <v>902</v>
      </c>
      <c r="C153" s="3" t="s">
        <v>903</v>
      </c>
      <c r="D153" s="1"/>
      <c r="E153" s="1">
        <f t="shared" si="12"/>
        <v>7.8113729265468628</v>
      </c>
      <c r="F153" s="1">
        <f t="shared" si="13"/>
        <v>8.4285714285714306</v>
      </c>
      <c r="G153" s="1">
        <f t="shared" si="14"/>
        <v>7.2393699827648303</v>
      </c>
      <c r="H153" s="1"/>
      <c r="I153" s="1">
        <v>151</v>
      </c>
      <c r="J153" s="1">
        <v>1.5833808089999999</v>
      </c>
      <c r="K153" s="1">
        <v>24.643807689999999</v>
      </c>
      <c r="L153" s="1">
        <v>0</v>
      </c>
      <c r="M153" s="1">
        <v>4.5</v>
      </c>
      <c r="N153" s="1">
        <v>0</v>
      </c>
      <c r="O153" s="1">
        <v>4.5999999999999996</v>
      </c>
      <c r="P153" s="1">
        <v>2.4</v>
      </c>
      <c r="Q153" s="1"/>
      <c r="R153" s="1"/>
      <c r="S153" s="1">
        <v>0</v>
      </c>
      <c r="T153" s="1">
        <v>0</v>
      </c>
      <c r="U153" s="1">
        <v>2.2999999999999998</v>
      </c>
      <c r="V153" s="1">
        <v>4.3</v>
      </c>
      <c r="W153" s="1">
        <v>0.3</v>
      </c>
      <c r="X153" s="1">
        <v>2.2999999999999998</v>
      </c>
      <c r="Y153" s="1">
        <v>2.2999999999999998</v>
      </c>
      <c r="Z153" s="1">
        <v>7.1</v>
      </c>
      <c r="AA153" s="1"/>
      <c r="AB153" s="1">
        <v>2.5</v>
      </c>
      <c r="AC153" s="1">
        <v>4.8</v>
      </c>
      <c r="AD153" s="1">
        <v>0</v>
      </c>
      <c r="AE153" s="1">
        <v>0</v>
      </c>
      <c r="AF153" s="1">
        <v>4</v>
      </c>
      <c r="AG153" s="1">
        <v>1.1000000000000001</v>
      </c>
      <c r="AH153" s="1">
        <v>23.8</v>
      </c>
      <c r="AI153" s="1">
        <v>9.1999999999999993</v>
      </c>
      <c r="AJ153" s="1">
        <v>19</v>
      </c>
      <c r="AK153" s="1">
        <v>9.4</v>
      </c>
      <c r="AL153" s="1">
        <v>5</v>
      </c>
      <c r="AM153" s="1">
        <v>1.4</v>
      </c>
      <c r="AN153" s="1">
        <v>6.3</v>
      </c>
      <c r="AO153" s="1">
        <v>3.7</v>
      </c>
      <c r="AP153" s="1">
        <v>3</v>
      </c>
      <c r="AQ153" s="1">
        <v>0.20833333333333201</v>
      </c>
      <c r="AR153" s="1">
        <v>5.9</v>
      </c>
      <c r="AS153" s="1">
        <v>8.4285714285714306</v>
      </c>
      <c r="AT153" s="1" t="s">
        <v>104</v>
      </c>
      <c r="AU153" s="1" t="s">
        <v>98</v>
      </c>
      <c r="AV153" s="1" t="s">
        <v>105</v>
      </c>
      <c r="AW153" s="1"/>
      <c r="AX153" s="1" t="s">
        <v>137</v>
      </c>
      <c r="AY153" s="1" t="s">
        <v>100</v>
      </c>
      <c r="AZ153" s="1">
        <v>10</v>
      </c>
      <c r="BA153" s="1"/>
      <c r="BB153" s="1">
        <v>0</v>
      </c>
      <c r="BC153" s="1"/>
      <c r="BD153" s="1"/>
      <c r="BE153" s="1"/>
      <c r="BF153" s="1"/>
      <c r="BG153" s="1"/>
      <c r="BH153" s="1"/>
      <c r="BS153" t="s">
        <v>1400</v>
      </c>
      <c r="BT153" t="s">
        <v>1401</v>
      </c>
      <c r="BU153" t="s">
        <v>1402</v>
      </c>
      <c r="CF153" t="s">
        <v>103</v>
      </c>
      <c r="CM153">
        <v>37.5967826843262</v>
      </c>
      <c r="CN153">
        <v>15.235217094421399</v>
      </c>
      <c r="CO153">
        <v>95.643623352050795</v>
      </c>
      <c r="CP153">
        <v>54.166023254394503</v>
      </c>
      <c r="CQ153">
        <v>7.7493481636047399</v>
      </c>
      <c r="CS153">
        <v>8.4281597137451207</v>
      </c>
      <c r="CV153">
        <v>24.9436130523682</v>
      </c>
      <c r="CX153">
        <v>6.3526697158813503</v>
      </c>
      <c r="DA153">
        <v>3.0470434188842801</v>
      </c>
      <c r="DB153">
        <v>2.1781883239746098</v>
      </c>
      <c r="DC153">
        <v>9.9774452209472706</v>
      </c>
      <c r="DF153">
        <v>5.0675589879353797</v>
      </c>
      <c r="DG153">
        <v>7.2393699827648303</v>
      </c>
    </row>
    <row r="154" spans="1:111" x14ac:dyDescent="0.2">
      <c r="A154" s="3">
        <v>1</v>
      </c>
      <c r="B154" s="3" t="s">
        <v>905</v>
      </c>
      <c r="C154" s="3" t="s">
        <v>906</v>
      </c>
      <c r="D154" s="1"/>
      <c r="E154" s="1">
        <f t="shared" si="12"/>
        <v>9.8571428571428594</v>
      </c>
      <c r="F154" s="1">
        <f t="shared" si="13"/>
        <v>9.8571428571428594</v>
      </c>
      <c r="G154" s="1">
        <f t="shared" si="14"/>
        <v>0</v>
      </c>
      <c r="H154" s="1"/>
      <c r="I154" s="1">
        <v>152</v>
      </c>
      <c r="J154" s="1">
        <v>30.155765500000001</v>
      </c>
      <c r="K154" s="1"/>
      <c r="L154" s="1">
        <v>3.5</v>
      </c>
      <c r="M154" s="1"/>
      <c r="N154" s="1">
        <v>3.5</v>
      </c>
      <c r="O154" s="1">
        <v>6.8</v>
      </c>
      <c r="P154" s="1">
        <v>4.2</v>
      </c>
      <c r="Q154" s="1">
        <v>6.6</v>
      </c>
      <c r="R154" s="1">
        <v>9.6999999999999993</v>
      </c>
      <c r="S154" s="1">
        <v>0</v>
      </c>
      <c r="T154" s="1">
        <v>0</v>
      </c>
      <c r="U154" s="1">
        <v>5.5</v>
      </c>
      <c r="V154" s="1">
        <v>5.9</v>
      </c>
      <c r="W154" s="1">
        <v>2</v>
      </c>
      <c r="X154" s="1">
        <v>4</v>
      </c>
      <c r="Y154" s="1">
        <v>4.7</v>
      </c>
      <c r="Z154" s="1">
        <v>9.6</v>
      </c>
      <c r="AA154" s="1">
        <v>9.6999999999999993</v>
      </c>
      <c r="AB154" s="1">
        <v>5.2</v>
      </c>
      <c r="AC154" s="1">
        <v>8.1999999999999993</v>
      </c>
      <c r="AD154" s="1">
        <v>1.3</v>
      </c>
      <c r="AE154" s="1">
        <v>0.6</v>
      </c>
      <c r="AF154" s="1">
        <v>3</v>
      </c>
      <c r="AG154" s="1">
        <v>0.6</v>
      </c>
      <c r="AH154" s="1">
        <v>30.5</v>
      </c>
      <c r="AI154" s="1">
        <v>10</v>
      </c>
      <c r="AJ154" s="1">
        <v>2.4</v>
      </c>
      <c r="AK154" s="1">
        <v>0.2</v>
      </c>
      <c r="AL154" s="1">
        <v>8</v>
      </c>
      <c r="AM154" s="1">
        <v>5.5</v>
      </c>
      <c r="AN154" s="1">
        <v>5.9</v>
      </c>
      <c r="AO154" s="1">
        <v>5.9</v>
      </c>
      <c r="AP154" s="1">
        <v>5.3</v>
      </c>
      <c r="AQ154" s="1">
        <v>9.7916666666666696</v>
      </c>
      <c r="AR154" s="1">
        <v>6.9</v>
      </c>
      <c r="AS154" s="1">
        <v>9.8571428571428594</v>
      </c>
      <c r="AT154" s="1" t="s">
        <v>907</v>
      </c>
      <c r="AU154" s="1" t="s">
        <v>98</v>
      </c>
      <c r="AV154" s="1" t="s">
        <v>105</v>
      </c>
      <c r="AW154" s="1"/>
      <c r="AX154" s="1" t="s">
        <v>102</v>
      </c>
      <c r="AY154" s="1" t="s">
        <v>98</v>
      </c>
      <c r="AZ154" s="1">
        <v>10</v>
      </c>
      <c r="BA154" s="1"/>
      <c r="BB154" s="1">
        <v>7</v>
      </c>
      <c r="BC154" s="1" t="s">
        <v>1547</v>
      </c>
      <c r="BD154" s="1" t="s">
        <v>1404</v>
      </c>
      <c r="BE154" s="1"/>
      <c r="BF154" s="1">
        <v>42.991021622777701</v>
      </c>
      <c r="BG154" s="1">
        <v>40.599942368413799</v>
      </c>
      <c r="BH154" s="1">
        <v>44.226525398162998</v>
      </c>
      <c r="BI154">
        <v>43.728172131447202</v>
      </c>
      <c r="BJ154">
        <v>41.988714059922501</v>
      </c>
      <c r="BK154" t="s">
        <v>1405</v>
      </c>
      <c r="BL154" t="s">
        <v>1406</v>
      </c>
      <c r="BM154">
        <v>7976.9849999999997</v>
      </c>
      <c r="BN154">
        <v>-0.498353266715796</v>
      </c>
      <c r="BO154">
        <v>3.6265830297492001</v>
      </c>
      <c r="BP154">
        <v>0</v>
      </c>
      <c r="BQ154">
        <v>10</v>
      </c>
      <c r="BR154">
        <v>10</v>
      </c>
      <c r="BS154" t="s">
        <v>1400</v>
      </c>
      <c r="BT154" t="s">
        <v>1401</v>
      </c>
      <c r="BU154" t="s">
        <v>1402</v>
      </c>
      <c r="CF154" t="s">
        <v>103</v>
      </c>
    </row>
    <row r="155" spans="1:111" x14ac:dyDescent="0.2">
      <c r="A155" s="3">
        <v>1</v>
      </c>
      <c r="B155" s="3" t="s">
        <v>910</v>
      </c>
      <c r="C155" s="3" t="s">
        <v>911</v>
      </c>
      <c r="D155" s="1"/>
      <c r="E155" s="1">
        <f t="shared" si="12"/>
        <v>6.6332495807108014</v>
      </c>
      <c r="F155" s="1">
        <f t="shared" si="13"/>
        <v>6.28571428571429</v>
      </c>
      <c r="G155" s="1">
        <f t="shared" si="14"/>
        <v>7</v>
      </c>
      <c r="H155" s="1"/>
      <c r="I155" s="1">
        <v>153</v>
      </c>
      <c r="J155" s="1">
        <v>58.092898589999997</v>
      </c>
      <c r="K155" s="1">
        <v>25.86274396</v>
      </c>
      <c r="L155" s="1">
        <v>6.9</v>
      </c>
      <c r="M155" s="1">
        <v>4.7</v>
      </c>
      <c r="N155" s="1">
        <v>6.9</v>
      </c>
      <c r="O155" s="1">
        <v>8.3000000000000007</v>
      </c>
      <c r="P155" s="1">
        <v>7.2</v>
      </c>
      <c r="Q155" s="1">
        <v>2.5</v>
      </c>
      <c r="R155" s="1">
        <v>5.2</v>
      </c>
      <c r="S155" s="1">
        <v>0</v>
      </c>
      <c r="T155" s="1">
        <v>0</v>
      </c>
      <c r="U155" s="1">
        <v>4.5999999999999996</v>
      </c>
      <c r="V155" s="1">
        <v>6.9</v>
      </c>
      <c r="W155" s="1">
        <v>5.3</v>
      </c>
      <c r="X155" s="1">
        <v>6.1</v>
      </c>
      <c r="Y155" s="1">
        <v>5.4</v>
      </c>
      <c r="Z155" s="1">
        <v>4.5</v>
      </c>
      <c r="AA155" s="1"/>
      <c r="AB155" s="1">
        <v>0.2</v>
      </c>
      <c r="AC155" s="1">
        <v>2.2999999999999998</v>
      </c>
      <c r="AD155" s="1">
        <v>3.1</v>
      </c>
      <c r="AE155" s="1">
        <v>1.5</v>
      </c>
      <c r="AF155" s="1">
        <v>8</v>
      </c>
      <c r="AG155" s="1">
        <v>3.3</v>
      </c>
      <c r="AH155" s="1">
        <v>14</v>
      </c>
      <c r="AI155" s="1">
        <v>2.7</v>
      </c>
      <c r="AJ155" s="1">
        <v>8.8000000000000007</v>
      </c>
      <c r="AK155" s="1">
        <v>3.8</v>
      </c>
      <c r="AL155" s="1">
        <v>3</v>
      </c>
      <c r="AM155" s="1">
        <v>1.3</v>
      </c>
      <c r="AN155" s="1">
        <v>2.7</v>
      </c>
      <c r="AO155" s="1">
        <v>4</v>
      </c>
      <c r="AP155" s="1">
        <v>4.7</v>
      </c>
      <c r="AQ155" s="1">
        <v>7.2916666666666696</v>
      </c>
      <c r="AR155" s="1">
        <v>4.4000000000000004</v>
      </c>
      <c r="AS155" s="1">
        <v>6.28571428571429</v>
      </c>
      <c r="AT155" s="1" t="s">
        <v>552</v>
      </c>
      <c r="AU155" s="1" t="s">
        <v>98</v>
      </c>
      <c r="AV155" s="1" t="s">
        <v>913</v>
      </c>
      <c r="AW155" s="1" t="s">
        <v>100</v>
      </c>
      <c r="AX155" s="1" t="s">
        <v>137</v>
      </c>
      <c r="AY155" s="1" t="s">
        <v>100</v>
      </c>
      <c r="AZ155" s="1">
        <v>10</v>
      </c>
      <c r="BA155" s="1">
        <v>7</v>
      </c>
      <c r="BB155" s="1">
        <v>0</v>
      </c>
      <c r="BC155" s="1" t="s">
        <v>1548</v>
      </c>
      <c r="BD155" s="1" t="s">
        <v>1404</v>
      </c>
      <c r="BE155" s="1">
        <v>1.90477493334792</v>
      </c>
      <c r="BF155" s="1">
        <v>1.52846948370101</v>
      </c>
      <c r="BG155" s="1">
        <v>1.43590338579094</v>
      </c>
      <c r="BH155" s="1">
        <v>2.1597740706308701</v>
      </c>
      <c r="BI155">
        <v>1.8488961228098899</v>
      </c>
      <c r="BJ155">
        <v>1.6104624540563699</v>
      </c>
      <c r="BK155" t="s">
        <v>1405</v>
      </c>
      <c r="BL155" t="s">
        <v>1408</v>
      </c>
      <c r="BM155">
        <v>6486.201</v>
      </c>
      <c r="BN155">
        <v>-0.31087794782097999</v>
      </c>
      <c r="BO155">
        <v>0.72387068483993</v>
      </c>
      <c r="BP155">
        <v>0</v>
      </c>
      <c r="BQ155">
        <v>2.4129022827997701</v>
      </c>
      <c r="BR155">
        <v>2.4129022827997701</v>
      </c>
      <c r="BS155" t="s">
        <v>1400</v>
      </c>
      <c r="BT155" t="s">
        <v>1401</v>
      </c>
      <c r="BU155" t="s">
        <v>1402</v>
      </c>
      <c r="BW155">
        <v>7.0490000000000004</v>
      </c>
      <c r="BX155">
        <v>6.3470000000000004</v>
      </c>
      <c r="BY155">
        <v>6.7329999999999997</v>
      </c>
      <c r="BZ155">
        <v>9.39</v>
      </c>
      <c r="CA155">
        <v>9.5</v>
      </c>
      <c r="CB155">
        <v>8.1999999999999993</v>
      </c>
      <c r="CC155">
        <v>7.5</v>
      </c>
      <c r="CD155">
        <v>7</v>
      </c>
      <c r="CE155">
        <v>7</v>
      </c>
      <c r="CF155" t="s">
        <v>1549</v>
      </c>
      <c r="CG155">
        <v>0.109999999999999</v>
      </c>
      <c r="CH155">
        <v>2.657</v>
      </c>
      <c r="CI155">
        <v>1.0999999999999901</v>
      </c>
      <c r="CJ155">
        <v>8.8566666666666691</v>
      </c>
      <c r="CK155">
        <v>8.8566666666666691</v>
      </c>
      <c r="CM155">
        <v>54.075725555419901</v>
      </c>
      <c r="CO155">
        <v>95.993614196777301</v>
      </c>
      <c r="CR155">
        <v>60.508228302002003</v>
      </c>
      <c r="CS155">
        <v>8.6835222244262695</v>
      </c>
      <c r="CV155">
        <v>4.81923151016235</v>
      </c>
      <c r="CX155">
        <v>1.28533983230591</v>
      </c>
      <c r="CY155">
        <v>18.303525924682599</v>
      </c>
      <c r="DB155">
        <v>2.0031929016113299</v>
      </c>
      <c r="DC155">
        <v>1.92769260406494</v>
      </c>
      <c r="DE155">
        <v>3.66070518493652</v>
      </c>
      <c r="DF155">
        <v>2.5305302302042598</v>
      </c>
      <c r="DG155">
        <v>3.6150431860060901</v>
      </c>
    </row>
    <row r="156" spans="1:111" x14ac:dyDescent="0.2">
      <c r="A156" s="3">
        <v>1</v>
      </c>
      <c r="B156" s="3" t="s">
        <v>915</v>
      </c>
      <c r="C156" s="3" t="s">
        <v>916</v>
      </c>
      <c r="D156" s="1"/>
      <c r="E156" s="1">
        <f t="shared" si="12"/>
        <v>10</v>
      </c>
      <c r="F156" s="1">
        <f t="shared" si="13"/>
        <v>10</v>
      </c>
      <c r="G156" s="1">
        <f t="shared" si="14"/>
        <v>0</v>
      </c>
      <c r="H156" s="1"/>
      <c r="I156" s="1">
        <v>154</v>
      </c>
      <c r="J156" s="1"/>
      <c r="K156" s="1"/>
      <c r="L156" s="1"/>
      <c r="M156" s="1"/>
      <c r="N156" s="1"/>
      <c r="O156" s="1">
        <v>4.5999999999999996</v>
      </c>
      <c r="P156" s="1">
        <v>4.5</v>
      </c>
      <c r="Q156" s="1">
        <v>8.1999999999999993</v>
      </c>
      <c r="R156" s="1"/>
      <c r="S156" s="1">
        <v>17.399999999999999</v>
      </c>
      <c r="T156" s="1">
        <v>10</v>
      </c>
      <c r="U156" s="1">
        <v>6.8</v>
      </c>
      <c r="V156" s="1">
        <v>2.6</v>
      </c>
      <c r="W156" s="1">
        <v>3</v>
      </c>
      <c r="X156" s="1">
        <v>2.8</v>
      </c>
      <c r="Y156" s="1">
        <v>4.8</v>
      </c>
      <c r="Z156" s="1">
        <v>8.6999999999999993</v>
      </c>
      <c r="AA156" s="1"/>
      <c r="AB156" s="1"/>
      <c r="AC156" s="1">
        <v>8.6999999999999993</v>
      </c>
      <c r="AD156" s="1">
        <v>17.5</v>
      </c>
      <c r="AE156" s="1">
        <v>8.6999999999999993</v>
      </c>
      <c r="AF156" s="1">
        <v>3</v>
      </c>
      <c r="AG156" s="1">
        <v>0.6</v>
      </c>
      <c r="AH156" s="1">
        <v>21.8</v>
      </c>
      <c r="AI156" s="1">
        <v>7.9</v>
      </c>
      <c r="AJ156" s="1">
        <v>5.0999999999999996</v>
      </c>
      <c r="AK156" s="1">
        <v>1.7</v>
      </c>
      <c r="AL156" s="1">
        <v>7</v>
      </c>
      <c r="AM156" s="1">
        <v>4.8</v>
      </c>
      <c r="AN156" s="1">
        <v>5.4</v>
      </c>
      <c r="AO156" s="1">
        <v>7</v>
      </c>
      <c r="AP156" s="1">
        <v>5.9</v>
      </c>
      <c r="AQ156" s="1">
        <v>10</v>
      </c>
      <c r="AR156" s="1">
        <v>9.3000000000000007</v>
      </c>
      <c r="AS156" s="1">
        <v>10</v>
      </c>
      <c r="AT156" s="1" t="s">
        <v>149</v>
      </c>
      <c r="AU156" s="1" t="s">
        <v>98</v>
      </c>
      <c r="AV156" s="1" t="s">
        <v>105</v>
      </c>
      <c r="AW156" s="1"/>
      <c r="AX156" s="1" t="s">
        <v>102</v>
      </c>
      <c r="AY156" s="1" t="s">
        <v>98</v>
      </c>
      <c r="AZ156" s="1">
        <v>10</v>
      </c>
      <c r="BA156" s="1"/>
      <c r="BB156" s="1">
        <v>7</v>
      </c>
      <c r="BC156" s="1"/>
      <c r="BD156" s="1"/>
      <c r="BE156" s="1"/>
      <c r="BF156" s="1"/>
      <c r="BG156" s="1"/>
      <c r="BH156" s="1"/>
      <c r="BS156" t="s">
        <v>1400</v>
      </c>
      <c r="BT156" t="s">
        <v>1401</v>
      </c>
      <c r="BU156" t="s">
        <v>1402</v>
      </c>
      <c r="CF156" t="s">
        <v>103</v>
      </c>
    </row>
    <row r="157" spans="1:111" x14ac:dyDescent="0.2">
      <c r="A157" s="3">
        <v>1</v>
      </c>
      <c r="B157" s="3" t="s">
        <v>919</v>
      </c>
      <c r="C157" s="3" t="s">
        <v>920</v>
      </c>
      <c r="D157" s="1"/>
      <c r="E157" s="1">
        <f t="shared" si="12"/>
        <v>4.1231056256176615</v>
      </c>
      <c r="F157" s="1">
        <f t="shared" si="13"/>
        <v>2.4285714285714302</v>
      </c>
      <c r="G157" s="1">
        <f t="shared" si="14"/>
        <v>7</v>
      </c>
      <c r="H157" s="1"/>
      <c r="I157" s="1">
        <v>155</v>
      </c>
      <c r="J157" s="1">
        <v>61.036794299999997</v>
      </c>
      <c r="K157" s="1">
        <v>54.897012099999998</v>
      </c>
      <c r="L157" s="1">
        <v>7.2</v>
      </c>
      <c r="M157" s="1">
        <v>10</v>
      </c>
      <c r="N157" s="1">
        <v>7.2</v>
      </c>
      <c r="O157" s="1">
        <v>6.3</v>
      </c>
      <c r="P157" s="1">
        <v>5.6</v>
      </c>
      <c r="Q157" s="1">
        <v>0.4</v>
      </c>
      <c r="R157" s="1">
        <v>2.2000000000000002</v>
      </c>
      <c r="S157" s="1">
        <v>0.4</v>
      </c>
      <c r="T157" s="1">
        <v>0.4</v>
      </c>
      <c r="U157" s="1">
        <v>3</v>
      </c>
      <c r="V157" s="1">
        <v>6.5</v>
      </c>
      <c r="W157" s="1">
        <v>7.5</v>
      </c>
      <c r="X157" s="1">
        <v>7</v>
      </c>
      <c r="Y157" s="1">
        <v>5</v>
      </c>
      <c r="Z157" s="1">
        <v>2.2999999999999998</v>
      </c>
      <c r="AA157" s="1">
        <v>0.9</v>
      </c>
      <c r="AB157" s="1">
        <v>0.6</v>
      </c>
      <c r="AC157" s="1">
        <v>1.3</v>
      </c>
      <c r="AD157" s="1">
        <v>0</v>
      </c>
      <c r="AE157" s="1">
        <v>0</v>
      </c>
      <c r="AF157" s="1">
        <v>18</v>
      </c>
      <c r="AG157" s="1">
        <v>8.9</v>
      </c>
      <c r="AH157" s="1">
        <v>19.100000000000001</v>
      </c>
      <c r="AI157" s="1">
        <v>6.1</v>
      </c>
      <c r="AJ157" s="1">
        <v>9</v>
      </c>
      <c r="AK157" s="1">
        <v>3.9</v>
      </c>
      <c r="AL157" s="1">
        <v>5</v>
      </c>
      <c r="AM157" s="1">
        <v>0.3</v>
      </c>
      <c r="AN157" s="1">
        <v>3.8</v>
      </c>
      <c r="AO157" s="1">
        <v>4.0999999999999996</v>
      </c>
      <c r="AP157" s="1">
        <v>4.5</v>
      </c>
      <c r="AQ157" s="1">
        <v>6.4583333333333304</v>
      </c>
      <c r="AR157" s="1">
        <v>1.7</v>
      </c>
      <c r="AS157" s="1">
        <v>2.4285714285714302</v>
      </c>
      <c r="AT157" s="1" t="s">
        <v>922</v>
      </c>
      <c r="AU157" s="1" t="s">
        <v>98</v>
      </c>
      <c r="AV157" s="1" t="s">
        <v>279</v>
      </c>
      <c r="AW157" s="1" t="s">
        <v>100</v>
      </c>
      <c r="AX157" s="1" t="s">
        <v>137</v>
      </c>
      <c r="AY157" s="1" t="s">
        <v>100</v>
      </c>
      <c r="AZ157" s="1">
        <v>10</v>
      </c>
      <c r="BA157" s="1">
        <v>7</v>
      </c>
      <c r="BB157" s="1">
        <v>0</v>
      </c>
      <c r="BC157" s="1"/>
      <c r="BD157" s="1"/>
      <c r="BE157" s="1"/>
      <c r="BF157" s="1"/>
      <c r="BG157" s="1"/>
      <c r="BH157" s="1"/>
      <c r="BS157" t="s">
        <v>1400</v>
      </c>
      <c r="BT157" t="s">
        <v>1401</v>
      </c>
      <c r="BU157" t="s">
        <v>1402</v>
      </c>
      <c r="BW157">
        <v>14.051</v>
      </c>
      <c r="BX157">
        <v>13.273</v>
      </c>
      <c r="BY157">
        <v>10.909000000000001</v>
      </c>
      <c r="BZ157">
        <v>13.384</v>
      </c>
      <c r="CA157">
        <v>13.032999999999999</v>
      </c>
      <c r="CB157">
        <v>12.666</v>
      </c>
      <c r="CC157">
        <v>12.367000000000001</v>
      </c>
      <c r="CD157">
        <v>12.028</v>
      </c>
      <c r="CE157">
        <v>11.63</v>
      </c>
      <c r="CF157" t="s">
        <v>1550</v>
      </c>
      <c r="CG157">
        <v>-0.35100000000000098</v>
      </c>
      <c r="CH157">
        <v>2.4750000000000001</v>
      </c>
      <c r="CI157">
        <v>0</v>
      </c>
      <c r="CJ157">
        <v>8.25</v>
      </c>
      <c r="CK157">
        <v>8.25</v>
      </c>
      <c r="CL157">
        <v>10</v>
      </c>
    </row>
    <row r="158" spans="1:111" x14ac:dyDescent="0.2">
      <c r="A158" s="3">
        <v>1</v>
      </c>
      <c r="B158" s="3" t="s">
        <v>923</v>
      </c>
      <c r="C158" s="3" t="s">
        <v>924</v>
      </c>
      <c r="D158" s="1"/>
      <c r="E158" s="1">
        <f t="shared" si="12"/>
        <v>10</v>
      </c>
      <c r="F158" s="1">
        <f t="shared" si="13"/>
        <v>10</v>
      </c>
      <c r="G158" s="1">
        <f t="shared" si="14"/>
        <v>10</v>
      </c>
      <c r="H158" s="1"/>
      <c r="I158" s="1">
        <v>156</v>
      </c>
      <c r="J158" s="1">
        <v>6.2415080080000003</v>
      </c>
      <c r="K158" s="1">
        <v>1.52500207</v>
      </c>
      <c r="L158" s="1">
        <v>0.5</v>
      </c>
      <c r="M158" s="1">
        <v>0</v>
      </c>
      <c r="N158" s="1">
        <v>0.5</v>
      </c>
      <c r="O158" s="1">
        <v>4.0999999999999996</v>
      </c>
      <c r="P158" s="1">
        <v>2</v>
      </c>
      <c r="Q158" s="1">
        <v>10</v>
      </c>
      <c r="R158" s="1">
        <v>9.9</v>
      </c>
      <c r="S158" s="1">
        <v>19.600000000000001</v>
      </c>
      <c r="T158" s="1">
        <v>10</v>
      </c>
      <c r="U158" s="1">
        <v>7.2</v>
      </c>
      <c r="V158" s="1">
        <v>5.7</v>
      </c>
      <c r="W158" s="1">
        <v>0.5</v>
      </c>
      <c r="X158" s="1">
        <v>3.1</v>
      </c>
      <c r="Y158" s="1">
        <v>5.2</v>
      </c>
      <c r="Z158" s="1">
        <v>10</v>
      </c>
      <c r="AA158" s="1">
        <v>10</v>
      </c>
      <c r="AB158" s="1">
        <v>4.3</v>
      </c>
      <c r="AC158" s="1">
        <v>8.1</v>
      </c>
      <c r="AD158" s="1">
        <v>55.1</v>
      </c>
      <c r="AE158" s="1">
        <v>10</v>
      </c>
      <c r="AF158" s="1">
        <v>3</v>
      </c>
      <c r="AG158" s="1">
        <v>0.6</v>
      </c>
      <c r="AH158" s="1">
        <v>19.8</v>
      </c>
      <c r="AI158" s="1">
        <v>6.5</v>
      </c>
      <c r="AJ158" s="1">
        <v>10.199999999999999</v>
      </c>
      <c r="AK158" s="1">
        <v>4.5999999999999996</v>
      </c>
      <c r="AL158" s="1">
        <v>7</v>
      </c>
      <c r="AM158" s="1">
        <v>2.7</v>
      </c>
      <c r="AN158" s="1">
        <v>5.2</v>
      </c>
      <c r="AO158" s="1">
        <v>4.5999999999999996</v>
      </c>
      <c r="AP158" s="1">
        <v>4.9000000000000004</v>
      </c>
      <c r="AQ158" s="1">
        <v>8.125</v>
      </c>
      <c r="AR158" s="1">
        <v>8.1999999999999993</v>
      </c>
      <c r="AS158" s="1">
        <v>10</v>
      </c>
      <c r="AT158" s="1" t="s">
        <v>651</v>
      </c>
      <c r="AU158" s="1" t="s">
        <v>96</v>
      </c>
      <c r="AV158" s="1" t="s">
        <v>105</v>
      </c>
      <c r="AW158" s="1"/>
      <c r="AX158" s="1" t="s">
        <v>102</v>
      </c>
      <c r="AY158" s="1" t="s">
        <v>98</v>
      </c>
      <c r="AZ158" s="1">
        <v>0</v>
      </c>
      <c r="BA158" s="1"/>
      <c r="BB158" s="1">
        <v>7</v>
      </c>
      <c r="BC158" s="1" t="s">
        <v>1551</v>
      </c>
      <c r="BD158" s="1" t="s">
        <v>1404</v>
      </c>
      <c r="BE158" s="1">
        <v>72.895435789011898</v>
      </c>
      <c r="BF158" s="1">
        <v>74.763962853398795</v>
      </c>
      <c r="BG158" s="1">
        <v>75.904110862697095</v>
      </c>
      <c r="BH158" s="1">
        <v>77.843570070520499</v>
      </c>
      <c r="BI158">
        <v>82.083138838525699</v>
      </c>
      <c r="BJ158">
        <v>82.328793087781506</v>
      </c>
      <c r="BK158" t="s">
        <v>1405</v>
      </c>
      <c r="BL158" t="s">
        <v>1406</v>
      </c>
      <c r="BM158">
        <v>11193.728999999999</v>
      </c>
      <c r="BN158">
        <v>4.2395687680052001</v>
      </c>
      <c r="BO158">
        <v>1.9394592078234001</v>
      </c>
      <c r="BP158">
        <v>10</v>
      </c>
      <c r="BQ158">
        <v>6.4648640260780104</v>
      </c>
      <c r="BR158">
        <v>10</v>
      </c>
      <c r="BS158" t="s">
        <v>1400</v>
      </c>
      <c r="BT158" t="s">
        <v>1401</v>
      </c>
      <c r="BU158" t="s">
        <v>1402</v>
      </c>
      <c r="CF158" t="s">
        <v>103</v>
      </c>
      <c r="CM158">
        <v>41.0552368164062</v>
      </c>
      <c r="CN158">
        <v>39.416061401367202</v>
      </c>
      <c r="CS158">
        <v>33.526012420654297</v>
      </c>
      <c r="CT158">
        <v>45.531913757324197</v>
      </c>
      <c r="CW158">
        <v>2.03562331199646</v>
      </c>
      <c r="CX158">
        <v>17.642208099365199</v>
      </c>
      <c r="CY158">
        <v>82.721206665039105</v>
      </c>
      <c r="CZ158">
        <v>82.196334838867202</v>
      </c>
      <c r="DA158">
        <v>7.8832122802734403</v>
      </c>
      <c r="DD158">
        <v>10</v>
      </c>
      <c r="DE158">
        <v>10</v>
      </c>
      <c r="DF158">
        <v>9.2944040934244807</v>
      </c>
      <c r="DG158">
        <v>10</v>
      </c>
    </row>
    <row r="159" spans="1:111" x14ac:dyDescent="0.2">
      <c r="A159" s="3">
        <v>1</v>
      </c>
      <c r="B159" s="3" t="s">
        <v>930</v>
      </c>
      <c r="C159" s="3" t="s">
        <v>931</v>
      </c>
      <c r="D159" s="1"/>
      <c r="E159" s="1">
        <f t="shared" si="12"/>
        <v>8.71428571428571</v>
      </c>
      <c r="F159" s="1">
        <f t="shared" si="13"/>
        <v>8.71428571428571</v>
      </c>
      <c r="G159" s="1">
        <f t="shared" si="14"/>
        <v>0</v>
      </c>
      <c r="H159" s="1"/>
      <c r="I159" s="1">
        <v>157</v>
      </c>
      <c r="J159" s="1"/>
      <c r="K159" s="1"/>
      <c r="L159" s="1"/>
      <c r="M159" s="1"/>
      <c r="N159" s="1"/>
      <c r="O159" s="1">
        <v>7.8</v>
      </c>
      <c r="P159" s="1">
        <v>7.3</v>
      </c>
      <c r="Q159" s="1">
        <v>9.6</v>
      </c>
      <c r="R159" s="1">
        <v>4.5999999999999996</v>
      </c>
      <c r="S159" s="1">
        <v>0</v>
      </c>
      <c r="T159" s="1">
        <v>0</v>
      </c>
      <c r="U159" s="1">
        <v>5.9</v>
      </c>
      <c r="V159" s="1">
        <v>5.4</v>
      </c>
      <c r="W159" s="1">
        <v>6.6</v>
      </c>
      <c r="X159" s="1">
        <v>6</v>
      </c>
      <c r="Y159" s="1">
        <v>5.9</v>
      </c>
      <c r="Z159" s="1">
        <v>6.2</v>
      </c>
      <c r="AA159" s="1">
        <v>8.6999999999999993</v>
      </c>
      <c r="AB159" s="1">
        <v>3.5</v>
      </c>
      <c r="AC159" s="1">
        <v>6.1</v>
      </c>
      <c r="AD159" s="1">
        <v>0</v>
      </c>
      <c r="AE159" s="1">
        <v>0</v>
      </c>
      <c r="AF159" s="1">
        <v>3</v>
      </c>
      <c r="AG159" s="1">
        <v>0.6</v>
      </c>
      <c r="AH159" s="1">
        <v>18.5</v>
      </c>
      <c r="AI159" s="1">
        <v>5.7</v>
      </c>
      <c r="AJ159" s="1">
        <v>2.4</v>
      </c>
      <c r="AK159" s="1">
        <v>0.2</v>
      </c>
      <c r="AL159" s="1">
        <v>5</v>
      </c>
      <c r="AM159" s="1">
        <v>2.1</v>
      </c>
      <c r="AN159" s="1">
        <v>3.3</v>
      </c>
      <c r="AO159" s="1">
        <v>4.7</v>
      </c>
      <c r="AP159" s="1">
        <v>5.3</v>
      </c>
      <c r="AQ159" s="1">
        <v>9.7916666666666696</v>
      </c>
      <c r="AR159" s="1">
        <v>6.1</v>
      </c>
      <c r="AS159" s="1">
        <v>8.71428571428571</v>
      </c>
      <c r="AT159" s="1" t="s">
        <v>250</v>
      </c>
      <c r="AU159" s="1" t="s">
        <v>98</v>
      </c>
      <c r="AV159" s="1" t="s">
        <v>105</v>
      </c>
      <c r="AW159" s="1"/>
      <c r="AX159" s="1" t="s">
        <v>105</v>
      </c>
      <c r="AY159" s="1"/>
      <c r="AZ159" s="1">
        <v>10</v>
      </c>
      <c r="BA159" s="1"/>
      <c r="BB159" s="1"/>
      <c r="BC159" s="1" t="s">
        <v>1552</v>
      </c>
      <c r="BD159" s="1" t="s">
        <v>1404</v>
      </c>
      <c r="BE159" s="1">
        <v>35.6385360272482</v>
      </c>
      <c r="BF159" s="1">
        <v>35.452122776825298</v>
      </c>
      <c r="BG159" s="1">
        <v>35.633499562248197</v>
      </c>
      <c r="BH159" s="1">
        <v>39.504436764175999</v>
      </c>
      <c r="BI159">
        <v>39.227198163382504</v>
      </c>
      <c r="BJ159">
        <v>37.625686640541197</v>
      </c>
      <c r="BK159" t="s">
        <v>1405</v>
      </c>
      <c r="BL159" t="s">
        <v>1406</v>
      </c>
      <c r="BM159">
        <v>219.161</v>
      </c>
      <c r="BN159">
        <v>-0.27723860079349499</v>
      </c>
      <c r="BO159">
        <v>3.8709372019277999</v>
      </c>
      <c r="BP159">
        <v>0</v>
      </c>
      <c r="BQ159">
        <v>10</v>
      </c>
      <c r="BR159">
        <v>10</v>
      </c>
      <c r="BS159" t="s">
        <v>1400</v>
      </c>
      <c r="BT159" t="s">
        <v>1401</v>
      </c>
      <c r="BU159" t="s">
        <v>1402</v>
      </c>
      <c r="BW159">
        <v>13.472</v>
      </c>
      <c r="CF159" t="s">
        <v>1431</v>
      </c>
    </row>
    <row r="160" spans="1:111" x14ac:dyDescent="0.2">
      <c r="A160" s="3">
        <v>1</v>
      </c>
      <c r="B160" s="3" t="s">
        <v>933</v>
      </c>
      <c r="C160" s="3" t="s">
        <v>934</v>
      </c>
      <c r="D160" s="1"/>
      <c r="E160" s="1">
        <f t="shared" si="12"/>
        <v>5.9160797830996161</v>
      </c>
      <c r="F160" s="1">
        <f t="shared" si="13"/>
        <v>5</v>
      </c>
      <c r="G160" s="1">
        <f t="shared" si="14"/>
        <v>7</v>
      </c>
      <c r="H160" s="1"/>
      <c r="I160" s="1">
        <v>158</v>
      </c>
      <c r="J160" s="1"/>
      <c r="K160" s="1"/>
      <c r="L160" s="1"/>
      <c r="M160" s="1"/>
      <c r="N160" s="1"/>
      <c r="O160" s="1">
        <v>1.9</v>
      </c>
      <c r="P160" s="1">
        <v>6.6</v>
      </c>
      <c r="Q160" s="1">
        <v>0.7</v>
      </c>
      <c r="R160" s="1"/>
      <c r="S160" s="1">
        <v>0</v>
      </c>
      <c r="T160" s="1">
        <v>0</v>
      </c>
      <c r="U160" s="1">
        <v>2.2999999999999998</v>
      </c>
      <c r="V160" s="1">
        <v>4.3</v>
      </c>
      <c r="W160" s="1">
        <v>0.3</v>
      </c>
      <c r="X160" s="1">
        <v>2.2999999999999998</v>
      </c>
      <c r="Y160" s="1">
        <v>2.2999999999999998</v>
      </c>
      <c r="Z160" s="1">
        <v>3.6</v>
      </c>
      <c r="AA160" s="1">
        <v>5.6</v>
      </c>
      <c r="AB160" s="1">
        <v>2.2999999999999998</v>
      </c>
      <c r="AC160" s="1">
        <v>3.8</v>
      </c>
      <c r="AD160" s="1">
        <v>0</v>
      </c>
      <c r="AE160" s="1">
        <v>0</v>
      </c>
      <c r="AF160" s="1">
        <v>7</v>
      </c>
      <c r="AG160" s="1">
        <v>2.8</v>
      </c>
      <c r="AH160" s="1">
        <v>21.7</v>
      </c>
      <c r="AI160" s="1">
        <v>7.8</v>
      </c>
      <c r="AJ160" s="1">
        <v>12.5</v>
      </c>
      <c r="AK160" s="1">
        <v>5.8</v>
      </c>
      <c r="AL160" s="1">
        <v>4</v>
      </c>
      <c r="AM160" s="1">
        <v>0.5</v>
      </c>
      <c r="AN160" s="1">
        <v>4.5</v>
      </c>
      <c r="AO160" s="1">
        <v>4.2</v>
      </c>
      <c r="AP160" s="1">
        <v>3.2</v>
      </c>
      <c r="AQ160" s="1">
        <v>1.0416666666666701</v>
      </c>
      <c r="AR160" s="1">
        <v>3.5</v>
      </c>
      <c r="AS160" s="1">
        <v>5</v>
      </c>
      <c r="AT160" s="1" t="s">
        <v>936</v>
      </c>
      <c r="AU160" s="1" t="s">
        <v>98</v>
      </c>
      <c r="AV160" s="1" t="s">
        <v>937</v>
      </c>
      <c r="AW160" s="1" t="s">
        <v>100</v>
      </c>
      <c r="AX160" s="1" t="s">
        <v>102</v>
      </c>
      <c r="AY160" s="1" t="s">
        <v>98</v>
      </c>
      <c r="AZ160" s="1">
        <v>10</v>
      </c>
      <c r="BA160" s="1">
        <v>7</v>
      </c>
      <c r="BB160" s="1">
        <v>7</v>
      </c>
      <c r="BC160" s="1"/>
      <c r="BD160" s="1"/>
      <c r="BE160" s="1"/>
      <c r="BF160" s="1"/>
      <c r="BG160" s="1"/>
      <c r="BH160" s="1"/>
      <c r="BS160" t="s">
        <v>1400</v>
      </c>
      <c r="BT160" t="s">
        <v>1401</v>
      </c>
      <c r="BU160" t="s">
        <v>1402</v>
      </c>
      <c r="BW160">
        <v>7</v>
      </c>
      <c r="BX160">
        <v>9</v>
      </c>
      <c r="BY160">
        <v>8.9529999999999994</v>
      </c>
      <c r="BZ160">
        <v>11.225</v>
      </c>
      <c r="CA160">
        <v>10.967000000000001</v>
      </c>
      <c r="CB160">
        <v>10.624000000000001</v>
      </c>
      <c r="CC160">
        <v>10.135999999999999</v>
      </c>
      <c r="CD160">
        <v>9.6170000000000009</v>
      </c>
      <c r="CE160">
        <v>9.2539999999999996</v>
      </c>
      <c r="CF160" t="s">
        <v>1553</v>
      </c>
      <c r="CG160">
        <v>-0.25799999999999901</v>
      </c>
      <c r="CH160">
        <v>2.2719999999999998</v>
      </c>
      <c r="CI160">
        <v>0</v>
      </c>
      <c r="CJ160">
        <v>7.5733333333333297</v>
      </c>
      <c r="CK160">
        <v>7.5733333333333297</v>
      </c>
    </row>
    <row r="161" spans="1:111" x14ac:dyDescent="0.2">
      <c r="A161" s="3">
        <v>1</v>
      </c>
      <c r="B161" s="3" t="s">
        <v>939</v>
      </c>
      <c r="C161" s="3" t="s">
        <v>940</v>
      </c>
      <c r="D161" s="1"/>
      <c r="E161" s="1">
        <f t="shared" si="12"/>
        <v>3.0000000000000049</v>
      </c>
      <c r="F161" s="1">
        <f t="shared" si="13"/>
        <v>1.28571428571429</v>
      </c>
      <c r="G161" s="1">
        <f t="shared" si="14"/>
        <v>7</v>
      </c>
      <c r="H161" s="1"/>
      <c r="I161" s="1">
        <v>159</v>
      </c>
      <c r="J161" s="1"/>
      <c r="K161" s="1"/>
      <c r="L161" s="1"/>
      <c r="M161" s="1"/>
      <c r="N161" s="1"/>
      <c r="O161" s="1">
        <v>6.8</v>
      </c>
      <c r="P161" s="1">
        <v>5.4</v>
      </c>
      <c r="Q161" s="1"/>
      <c r="R161" s="1">
        <v>2.2000000000000002</v>
      </c>
      <c r="S161" s="1">
        <v>0</v>
      </c>
      <c r="T161" s="1">
        <v>0</v>
      </c>
      <c r="U161" s="1">
        <v>3.6</v>
      </c>
      <c r="V161" s="1">
        <v>1.2</v>
      </c>
      <c r="W161" s="1">
        <v>10</v>
      </c>
      <c r="X161" s="1">
        <v>5.6</v>
      </c>
      <c r="Y161" s="1">
        <v>4.5999999999999996</v>
      </c>
      <c r="Z161" s="1">
        <v>0.9</v>
      </c>
      <c r="AA161" s="1"/>
      <c r="AB161" s="1">
        <v>0.1</v>
      </c>
      <c r="AC161" s="1">
        <v>0.5</v>
      </c>
      <c r="AD161" s="1">
        <v>0</v>
      </c>
      <c r="AE161" s="1">
        <v>0</v>
      </c>
      <c r="AF161" s="1">
        <v>16</v>
      </c>
      <c r="AG161" s="1">
        <v>7.8</v>
      </c>
      <c r="AH161" s="1">
        <v>17.2</v>
      </c>
      <c r="AI161" s="1">
        <v>4.8</v>
      </c>
      <c r="AJ161" s="1">
        <v>6.5</v>
      </c>
      <c r="AK161" s="1">
        <v>2.5</v>
      </c>
      <c r="AL161" s="1">
        <v>6</v>
      </c>
      <c r="AM161" s="1">
        <v>0.1</v>
      </c>
      <c r="AN161" s="1">
        <v>3.4</v>
      </c>
      <c r="AO161" s="1">
        <v>1.9</v>
      </c>
      <c r="AP161" s="1">
        <v>3.3</v>
      </c>
      <c r="AQ161" s="1">
        <v>1.4583333333333299</v>
      </c>
      <c r="AR161" s="1">
        <v>0.9</v>
      </c>
      <c r="AS161" s="1">
        <v>1.28571428571429</v>
      </c>
      <c r="AT161" s="1" t="s">
        <v>318</v>
      </c>
      <c r="AU161" s="1" t="s">
        <v>98</v>
      </c>
      <c r="AV161" s="1" t="s">
        <v>463</v>
      </c>
      <c r="AW161" s="1" t="s">
        <v>100</v>
      </c>
      <c r="AX161" s="1" t="s">
        <v>183</v>
      </c>
      <c r="AY161" s="1" t="s">
        <v>96</v>
      </c>
      <c r="AZ161" s="1">
        <v>10</v>
      </c>
      <c r="BA161" s="1">
        <v>7</v>
      </c>
      <c r="BB161" s="1">
        <v>3</v>
      </c>
      <c r="BC161" s="1"/>
      <c r="BD161" s="1"/>
      <c r="BE161" s="1"/>
      <c r="BF161" s="1"/>
      <c r="BG161" s="1"/>
      <c r="BH161" s="1"/>
      <c r="BS161" t="s">
        <v>1400</v>
      </c>
      <c r="BT161" t="s">
        <v>1401</v>
      </c>
      <c r="BU161" t="s">
        <v>1402</v>
      </c>
      <c r="BW161">
        <v>8.1080000000000005</v>
      </c>
      <c r="BX161">
        <v>6.5419999999999998</v>
      </c>
      <c r="BY161">
        <v>5.758</v>
      </c>
      <c r="BZ161">
        <v>7.7830000000000004</v>
      </c>
      <c r="CA161">
        <v>7.1440000000000001</v>
      </c>
      <c r="CB161">
        <v>6.6070000000000002</v>
      </c>
      <c r="CC161">
        <v>6.3860000000000001</v>
      </c>
      <c r="CD161">
        <v>6.4329999999999998</v>
      </c>
      <c r="CE161">
        <v>6.5789999999999997</v>
      </c>
      <c r="CF161" t="s">
        <v>1554</v>
      </c>
      <c r="CG161">
        <v>-0.63900000000000001</v>
      </c>
      <c r="CH161">
        <v>2.0249999999999999</v>
      </c>
      <c r="CI161">
        <v>0</v>
      </c>
      <c r="CJ161">
        <v>6.75</v>
      </c>
      <c r="CK161">
        <v>6.75</v>
      </c>
    </row>
    <row r="162" spans="1:111" x14ac:dyDescent="0.2">
      <c r="A162" s="3">
        <v>1</v>
      </c>
      <c r="B162" s="3" t="s">
        <v>943</v>
      </c>
      <c r="C162" s="3" t="s">
        <v>944</v>
      </c>
      <c r="D162" s="1"/>
      <c r="E162" s="1">
        <f t="shared" si="12"/>
        <v>1.4142135623730956</v>
      </c>
      <c r="F162" s="1">
        <f t="shared" si="13"/>
        <v>0.28571428571428598</v>
      </c>
      <c r="G162" s="1">
        <f t="shared" si="14"/>
        <v>7</v>
      </c>
      <c r="H162" s="1"/>
      <c r="I162" s="1">
        <v>160</v>
      </c>
      <c r="J162" s="1"/>
      <c r="K162" s="1"/>
      <c r="L162" s="1"/>
      <c r="M162" s="1"/>
      <c r="N162" s="1"/>
      <c r="O162" s="1">
        <v>6.7</v>
      </c>
      <c r="P162" s="1">
        <v>5.5</v>
      </c>
      <c r="Q162" s="1">
        <v>0.4</v>
      </c>
      <c r="R162" s="1">
        <v>1.2</v>
      </c>
      <c r="S162" s="1">
        <v>0</v>
      </c>
      <c r="T162" s="1">
        <v>0</v>
      </c>
      <c r="U162" s="1">
        <v>2.8</v>
      </c>
      <c r="V162" s="1">
        <v>4.3</v>
      </c>
      <c r="W162" s="1">
        <v>10</v>
      </c>
      <c r="X162" s="1">
        <v>7.2</v>
      </c>
      <c r="Y162" s="1">
        <v>5</v>
      </c>
      <c r="Z162" s="1">
        <v>0.1</v>
      </c>
      <c r="AA162" s="1"/>
      <c r="AB162" s="1">
        <v>0</v>
      </c>
      <c r="AC162" s="1">
        <v>0.1</v>
      </c>
      <c r="AD162" s="1">
        <v>0</v>
      </c>
      <c r="AE162" s="1">
        <v>0</v>
      </c>
      <c r="AF162" s="1">
        <v>20</v>
      </c>
      <c r="AG162" s="1">
        <v>10</v>
      </c>
      <c r="AH162" s="1">
        <v>12.7</v>
      </c>
      <c r="AI162" s="1">
        <v>1.8</v>
      </c>
      <c r="AJ162" s="1">
        <v>5.9</v>
      </c>
      <c r="AK162" s="1">
        <v>2.2000000000000002</v>
      </c>
      <c r="AL162" s="1">
        <v>5</v>
      </c>
      <c r="AM162" s="1">
        <v>0.1</v>
      </c>
      <c r="AN162" s="1">
        <v>2.2999999999999998</v>
      </c>
      <c r="AO162" s="1">
        <v>1.2</v>
      </c>
      <c r="AP162" s="1">
        <v>3.1</v>
      </c>
      <c r="AQ162" s="1">
        <v>0.625</v>
      </c>
      <c r="AR162" s="1">
        <v>0.2</v>
      </c>
      <c r="AS162" s="1">
        <v>0.28571428571428598</v>
      </c>
      <c r="AT162" s="1" t="s">
        <v>184</v>
      </c>
      <c r="AU162" s="1" t="s">
        <v>98</v>
      </c>
      <c r="AV162" s="1" t="s">
        <v>272</v>
      </c>
      <c r="AW162" s="1" t="s">
        <v>100</v>
      </c>
      <c r="AX162" s="1" t="s">
        <v>137</v>
      </c>
      <c r="AY162" s="1" t="s">
        <v>100</v>
      </c>
      <c r="AZ162" s="1">
        <v>10</v>
      </c>
      <c r="BA162" s="1">
        <v>7</v>
      </c>
      <c r="BB162" s="1">
        <v>0</v>
      </c>
      <c r="BC162" s="1"/>
      <c r="BD162" s="1"/>
      <c r="BE162" s="1"/>
      <c r="BF162" s="1"/>
      <c r="BG162" s="1"/>
      <c r="BH162" s="1"/>
      <c r="BS162" t="s">
        <v>1400</v>
      </c>
      <c r="BT162" t="s">
        <v>1401</v>
      </c>
      <c r="BU162" t="s">
        <v>1402</v>
      </c>
      <c r="BW162">
        <v>6.5750000000000002</v>
      </c>
      <c r="BX162">
        <v>5.125</v>
      </c>
      <c r="BY162">
        <v>4.5999999999999996</v>
      </c>
      <c r="BZ162">
        <v>8</v>
      </c>
      <c r="CA162">
        <v>6</v>
      </c>
      <c r="CB162">
        <v>5</v>
      </c>
      <c r="CC162">
        <v>4.5999999999999996</v>
      </c>
      <c r="CD162">
        <v>4.5999999999999996</v>
      </c>
      <c r="CE162">
        <v>4.5999999999999996</v>
      </c>
      <c r="CF162" t="s">
        <v>1172</v>
      </c>
      <c r="CG162">
        <v>-2</v>
      </c>
      <c r="CH162">
        <v>3.4</v>
      </c>
      <c r="CI162">
        <v>0</v>
      </c>
      <c r="CJ162">
        <v>10</v>
      </c>
      <c r="CK162">
        <v>10</v>
      </c>
    </row>
    <row r="163" spans="1:111" x14ac:dyDescent="0.2">
      <c r="A163" s="3">
        <v>1</v>
      </c>
      <c r="B163" s="3" t="s">
        <v>946</v>
      </c>
      <c r="C163" s="3" t="s">
        <v>947</v>
      </c>
      <c r="D163" s="1"/>
      <c r="E163" s="1">
        <f t="shared" ref="E163:E194" si="15">IFERROR(GEOMEAN(F163, G163), MAX(F163, G163))</f>
        <v>1.4142135623730956</v>
      </c>
      <c r="F163" s="1">
        <f t="shared" ref="F163:F192" si="16">MAX(AS163)</f>
        <v>0.28571428571428598</v>
      </c>
      <c r="G163" s="1">
        <f t="shared" ref="G163:G192" si="17">MAX(BA163, DG163)</f>
        <v>7</v>
      </c>
      <c r="H163" s="1"/>
      <c r="I163" s="1">
        <v>161</v>
      </c>
      <c r="J163" s="1"/>
      <c r="K163" s="1"/>
      <c r="L163" s="1"/>
      <c r="M163" s="1"/>
      <c r="N163" s="1"/>
      <c r="O163" s="1">
        <v>4.7</v>
      </c>
      <c r="P163" s="1">
        <v>8.6999999999999993</v>
      </c>
      <c r="Q163" s="1">
        <v>0</v>
      </c>
      <c r="R163" s="1"/>
      <c r="S163" s="1">
        <v>2.9</v>
      </c>
      <c r="T163" s="1">
        <v>2.9</v>
      </c>
      <c r="U163" s="1">
        <v>4.0999999999999996</v>
      </c>
      <c r="V163" s="1">
        <v>5.6</v>
      </c>
      <c r="W163" s="1">
        <v>7.3</v>
      </c>
      <c r="X163" s="1">
        <v>6.5</v>
      </c>
      <c r="Y163" s="1">
        <v>5.3</v>
      </c>
      <c r="Z163" s="1">
        <v>0</v>
      </c>
      <c r="AA163" s="1"/>
      <c r="AB163" s="1">
        <v>0</v>
      </c>
      <c r="AC163" s="1">
        <v>0</v>
      </c>
      <c r="AD163" s="1">
        <v>0</v>
      </c>
      <c r="AE163" s="1">
        <v>0</v>
      </c>
      <c r="AF163" s="1">
        <v>20</v>
      </c>
      <c r="AG163" s="1">
        <v>10</v>
      </c>
      <c r="AH163" s="1">
        <v>9.1</v>
      </c>
      <c r="AI163" s="1">
        <v>0</v>
      </c>
      <c r="AJ163" s="1">
        <v>4.8</v>
      </c>
      <c r="AK163" s="1">
        <v>1.6</v>
      </c>
      <c r="AL163" s="1">
        <v>3</v>
      </c>
      <c r="AM163" s="1">
        <v>0.1</v>
      </c>
      <c r="AN163" s="1">
        <v>1.2</v>
      </c>
      <c r="AO163" s="1">
        <v>0.6</v>
      </c>
      <c r="AP163" s="1">
        <v>2.9</v>
      </c>
      <c r="AQ163" s="1">
        <v>0</v>
      </c>
      <c r="AR163" s="1">
        <v>0.2</v>
      </c>
      <c r="AS163" s="1">
        <v>0.28571428571428598</v>
      </c>
      <c r="AT163" s="1" t="s">
        <v>949</v>
      </c>
      <c r="AU163" s="1" t="s">
        <v>98</v>
      </c>
      <c r="AV163" s="1" t="s">
        <v>950</v>
      </c>
      <c r="AW163" s="1" t="s">
        <v>100</v>
      </c>
      <c r="AX163" s="1" t="s">
        <v>183</v>
      </c>
      <c r="AY163" s="1" t="s">
        <v>96</v>
      </c>
      <c r="AZ163" s="1">
        <v>10</v>
      </c>
      <c r="BA163" s="1">
        <v>7</v>
      </c>
      <c r="BB163" s="1">
        <v>3</v>
      </c>
      <c r="BC163" s="1"/>
      <c r="BD163" s="1"/>
      <c r="BE163" s="1"/>
      <c r="BF163" s="1"/>
      <c r="BG163" s="1"/>
      <c r="BH163" s="1"/>
      <c r="BS163" t="s">
        <v>1400</v>
      </c>
      <c r="BT163" t="s">
        <v>1401</v>
      </c>
      <c r="BU163" t="s">
        <v>1402</v>
      </c>
      <c r="BW163">
        <v>6.6829999999999998</v>
      </c>
      <c r="BX163">
        <v>6.3250000000000002</v>
      </c>
      <c r="BY163">
        <v>6.7670000000000003</v>
      </c>
      <c r="BZ163">
        <v>8.6690000000000005</v>
      </c>
      <c r="CA163">
        <v>9.2750000000000004</v>
      </c>
      <c r="CB163">
        <v>8.5</v>
      </c>
      <c r="CC163">
        <v>7.7</v>
      </c>
      <c r="CD163">
        <v>7.2450000000000001</v>
      </c>
      <c r="CE163">
        <v>7.2</v>
      </c>
      <c r="CF163" t="s">
        <v>1555</v>
      </c>
      <c r="CG163">
        <v>0.60599999999999998</v>
      </c>
      <c r="CH163">
        <v>1.9019999999999999</v>
      </c>
      <c r="CI163">
        <v>6.06</v>
      </c>
      <c r="CJ163">
        <v>6.34</v>
      </c>
      <c r="CK163">
        <v>6.34</v>
      </c>
    </row>
    <row r="164" spans="1:111" x14ac:dyDescent="0.2">
      <c r="A164" s="3">
        <v>1</v>
      </c>
      <c r="B164" s="3" t="s">
        <v>951</v>
      </c>
      <c r="C164" s="3" t="s">
        <v>952</v>
      </c>
      <c r="D164" s="1"/>
      <c r="E164" s="1">
        <f t="shared" si="15"/>
        <v>8</v>
      </c>
      <c r="F164" s="1">
        <f t="shared" si="16"/>
        <v>8</v>
      </c>
      <c r="G164" s="1">
        <f t="shared" si="17"/>
        <v>0</v>
      </c>
      <c r="H164" s="1"/>
      <c r="I164" s="1">
        <v>162</v>
      </c>
      <c r="J164" s="1"/>
      <c r="K164" s="1"/>
      <c r="L164" s="1"/>
      <c r="M164" s="1"/>
      <c r="N164" s="1"/>
      <c r="O164" s="1">
        <v>6.1</v>
      </c>
      <c r="P164" s="1">
        <v>2.4</v>
      </c>
      <c r="Q164" s="1">
        <v>3.6</v>
      </c>
      <c r="R164" s="1">
        <v>6.8</v>
      </c>
      <c r="S164" s="1">
        <v>0.1</v>
      </c>
      <c r="T164" s="1">
        <v>0.1</v>
      </c>
      <c r="U164" s="1">
        <v>3.8</v>
      </c>
      <c r="V164" s="1">
        <v>3.4</v>
      </c>
      <c r="W164" s="1">
        <v>4.0999999999999996</v>
      </c>
      <c r="X164" s="1">
        <v>3.8</v>
      </c>
      <c r="Y164" s="1">
        <v>3.8</v>
      </c>
      <c r="Z164" s="1">
        <v>6.2</v>
      </c>
      <c r="AA164" s="1">
        <v>7.6</v>
      </c>
      <c r="AB164" s="1">
        <v>2.8</v>
      </c>
      <c r="AC164" s="1">
        <v>5.5</v>
      </c>
      <c r="AD164" s="1">
        <v>17.399999999999999</v>
      </c>
      <c r="AE164" s="1">
        <v>8.6999999999999993</v>
      </c>
      <c r="AF164" s="1">
        <v>4</v>
      </c>
      <c r="AG164" s="1">
        <v>1.1000000000000001</v>
      </c>
      <c r="AH164" s="1">
        <v>26.7</v>
      </c>
      <c r="AI164" s="1">
        <v>10</v>
      </c>
      <c r="AJ164" s="1">
        <v>4.5</v>
      </c>
      <c r="AK164" s="1">
        <v>1.4</v>
      </c>
      <c r="AL164" s="1">
        <v>5</v>
      </c>
      <c r="AM164" s="1">
        <v>7.2</v>
      </c>
      <c r="AN164" s="1">
        <v>5.9</v>
      </c>
      <c r="AO164" s="1">
        <v>5.7</v>
      </c>
      <c r="AP164" s="1">
        <v>4.7</v>
      </c>
      <c r="AQ164" s="1">
        <v>7.2916666666666696</v>
      </c>
      <c r="AR164" s="1">
        <v>5.6</v>
      </c>
      <c r="AS164" s="1">
        <v>8</v>
      </c>
      <c r="AT164" s="1" t="s">
        <v>954</v>
      </c>
      <c r="AU164" s="1" t="s">
        <v>98</v>
      </c>
      <c r="AV164" s="1" t="s">
        <v>105</v>
      </c>
      <c r="AW164" s="1"/>
      <c r="AX164" s="1" t="s">
        <v>102</v>
      </c>
      <c r="AY164" s="1" t="s">
        <v>98</v>
      </c>
      <c r="AZ164" s="1">
        <v>10</v>
      </c>
      <c r="BA164" s="1"/>
      <c r="BB164" s="1">
        <v>7</v>
      </c>
      <c r="BC164" s="1" t="s">
        <v>1556</v>
      </c>
      <c r="BD164" s="1" t="s">
        <v>1404</v>
      </c>
      <c r="BE164" s="1">
        <v>28.763800051710302</v>
      </c>
      <c r="BF164" s="1">
        <v>28.492723971282199</v>
      </c>
      <c r="BG164" s="1">
        <v>28.430359046751601</v>
      </c>
      <c r="BH164" s="1">
        <v>29.887207666694501</v>
      </c>
      <c r="BI164">
        <v>29.8005756059259</v>
      </c>
      <c r="BJ164">
        <v>29.835518049494599</v>
      </c>
      <c r="BK164" t="s">
        <v>1405</v>
      </c>
      <c r="BL164" t="s">
        <v>1406</v>
      </c>
      <c r="BM164">
        <v>1160.164</v>
      </c>
      <c r="BN164">
        <v>-8.6632060768600597E-2</v>
      </c>
      <c r="BO164">
        <v>1.4568486199429</v>
      </c>
      <c r="BP164">
        <v>0</v>
      </c>
      <c r="BQ164">
        <v>4.8561620664763296</v>
      </c>
      <c r="BR164">
        <v>4.8561620664763296</v>
      </c>
      <c r="BS164" t="s">
        <v>1400</v>
      </c>
      <c r="BT164" t="s">
        <v>1401</v>
      </c>
      <c r="BU164" t="s">
        <v>1402</v>
      </c>
      <c r="CF164" t="s">
        <v>103</v>
      </c>
    </row>
    <row r="165" spans="1:111" x14ac:dyDescent="0.2">
      <c r="A165" s="3">
        <v>1</v>
      </c>
      <c r="B165" s="3" t="s">
        <v>956</v>
      </c>
      <c r="C165" s="3" t="s">
        <v>957</v>
      </c>
      <c r="D165" s="1"/>
      <c r="E165" s="1">
        <f t="shared" si="15"/>
        <v>3.71428571428571</v>
      </c>
      <c r="F165" s="1">
        <f t="shared" si="16"/>
        <v>3.71428571428571</v>
      </c>
      <c r="G165" s="1">
        <f t="shared" si="17"/>
        <v>0</v>
      </c>
      <c r="H165" s="1"/>
      <c r="I165" s="1">
        <v>163</v>
      </c>
      <c r="J165" s="1"/>
      <c r="K165" s="1"/>
      <c r="L165" s="1"/>
      <c r="M165" s="1"/>
      <c r="N165" s="1"/>
      <c r="O165" s="1">
        <v>7.7</v>
      </c>
      <c r="P165" s="1">
        <v>5.7</v>
      </c>
      <c r="Q165" s="1"/>
      <c r="R165" s="1"/>
      <c r="S165" s="1">
        <v>0</v>
      </c>
      <c r="T165" s="1">
        <v>0</v>
      </c>
      <c r="U165" s="1">
        <v>4.5</v>
      </c>
      <c r="V165" s="1">
        <v>10</v>
      </c>
      <c r="W165" s="1">
        <v>8.1999999999999993</v>
      </c>
      <c r="X165" s="1">
        <v>9.1</v>
      </c>
      <c r="Y165" s="1">
        <v>6.8</v>
      </c>
      <c r="Z165" s="1">
        <v>2.1</v>
      </c>
      <c r="AA165" s="1"/>
      <c r="AB165" s="1">
        <v>0.1</v>
      </c>
      <c r="AC165" s="1">
        <v>1.1000000000000001</v>
      </c>
      <c r="AD165" s="1">
        <v>0</v>
      </c>
      <c r="AE165" s="1">
        <v>0</v>
      </c>
      <c r="AF165" s="1">
        <v>8</v>
      </c>
      <c r="AG165" s="1">
        <v>3.3</v>
      </c>
      <c r="AH165" s="1">
        <v>21.2</v>
      </c>
      <c r="AI165" s="1">
        <v>7.5</v>
      </c>
      <c r="AJ165" s="1">
        <v>12.3</v>
      </c>
      <c r="AK165" s="1">
        <v>5.7</v>
      </c>
      <c r="AL165" s="1">
        <v>4</v>
      </c>
      <c r="AM165" s="1">
        <v>0.3</v>
      </c>
      <c r="AN165" s="1">
        <v>4.4000000000000004</v>
      </c>
      <c r="AO165" s="1">
        <v>2.7</v>
      </c>
      <c r="AP165" s="1">
        <v>4.8</v>
      </c>
      <c r="AQ165" s="1">
        <v>7.7083333333333304</v>
      </c>
      <c r="AR165" s="1">
        <v>2.6</v>
      </c>
      <c r="AS165" s="1">
        <v>3.71428571428571</v>
      </c>
      <c r="AT165" s="1" t="s">
        <v>959</v>
      </c>
      <c r="AU165" s="1" t="s">
        <v>98</v>
      </c>
      <c r="AV165" s="1" t="s">
        <v>192</v>
      </c>
      <c r="AW165" s="1" t="s">
        <v>96</v>
      </c>
      <c r="AX165" s="1" t="s">
        <v>183</v>
      </c>
      <c r="AY165" s="1" t="s">
        <v>96</v>
      </c>
      <c r="AZ165" s="1">
        <v>10</v>
      </c>
      <c r="BA165" s="1">
        <v>0</v>
      </c>
      <c r="BB165" s="1">
        <v>3</v>
      </c>
      <c r="BC165" s="1"/>
      <c r="BD165" s="1"/>
      <c r="BE165" s="1"/>
      <c r="BF165" s="1"/>
      <c r="BG165" s="1"/>
      <c r="BH165" s="1"/>
      <c r="BS165" t="s">
        <v>1400</v>
      </c>
      <c r="BT165" t="s">
        <v>1401</v>
      </c>
      <c r="BU165" t="s">
        <v>1402</v>
      </c>
      <c r="BW165">
        <v>3</v>
      </c>
      <c r="BX165">
        <v>3</v>
      </c>
      <c r="BY165">
        <v>3</v>
      </c>
      <c r="BZ165">
        <v>3</v>
      </c>
      <c r="CA165">
        <v>3</v>
      </c>
      <c r="CB165">
        <v>3</v>
      </c>
      <c r="CC165">
        <v>3</v>
      </c>
      <c r="CD165">
        <v>3</v>
      </c>
      <c r="CE165">
        <v>3</v>
      </c>
      <c r="CF165" t="s">
        <v>103</v>
      </c>
      <c r="CG165">
        <v>0</v>
      </c>
      <c r="CH165">
        <v>0</v>
      </c>
      <c r="CI165">
        <v>0</v>
      </c>
      <c r="CJ165">
        <v>0</v>
      </c>
      <c r="CK165">
        <v>0</v>
      </c>
    </row>
    <row r="166" spans="1:111" x14ac:dyDescent="0.2">
      <c r="A166" s="3">
        <v>1</v>
      </c>
      <c r="B166" s="3" t="s">
        <v>960</v>
      </c>
      <c r="C166" s="3" t="s">
        <v>961</v>
      </c>
      <c r="D166" s="1"/>
      <c r="E166" s="1">
        <f t="shared" si="15"/>
        <v>10</v>
      </c>
      <c r="F166" s="1">
        <f t="shared" si="16"/>
        <v>10</v>
      </c>
      <c r="G166" s="1">
        <f t="shared" si="17"/>
        <v>0</v>
      </c>
      <c r="H166" s="1"/>
      <c r="I166" s="1">
        <v>164</v>
      </c>
      <c r="J166" s="1"/>
      <c r="K166" s="1"/>
      <c r="L166" s="1"/>
      <c r="M166" s="1"/>
      <c r="N166" s="1"/>
      <c r="O166" s="1">
        <v>6.5</v>
      </c>
      <c r="P166" s="1">
        <v>5.4</v>
      </c>
      <c r="Q166" s="1">
        <v>1.7</v>
      </c>
      <c r="R166" s="1"/>
      <c r="S166" s="1">
        <v>39.799999999999997</v>
      </c>
      <c r="T166" s="1">
        <v>10</v>
      </c>
      <c r="U166" s="1">
        <v>5.9</v>
      </c>
      <c r="V166" s="1">
        <v>6.1</v>
      </c>
      <c r="W166" s="1">
        <v>3.5</v>
      </c>
      <c r="X166" s="1">
        <v>4.8</v>
      </c>
      <c r="Y166" s="1">
        <v>5.4</v>
      </c>
      <c r="Z166" s="1">
        <v>7.3</v>
      </c>
      <c r="AA166" s="1">
        <v>5.4</v>
      </c>
      <c r="AB166" s="1">
        <v>0.2</v>
      </c>
      <c r="AC166" s="1">
        <v>4.3</v>
      </c>
      <c r="AD166" s="1">
        <v>38.1</v>
      </c>
      <c r="AE166" s="1">
        <v>10</v>
      </c>
      <c r="AF166" s="1">
        <v>5</v>
      </c>
      <c r="AG166" s="1">
        <v>1.7</v>
      </c>
      <c r="AH166" s="1">
        <v>21.8</v>
      </c>
      <c r="AI166" s="1">
        <v>7.9</v>
      </c>
      <c r="AJ166" s="1">
        <v>13.5</v>
      </c>
      <c r="AK166" s="1">
        <v>6.4</v>
      </c>
      <c r="AL166" s="1">
        <v>4</v>
      </c>
      <c r="AM166" s="1">
        <v>0.3</v>
      </c>
      <c r="AN166" s="1">
        <v>4.7</v>
      </c>
      <c r="AO166" s="1">
        <v>4.5</v>
      </c>
      <c r="AP166" s="1">
        <v>4.9000000000000004</v>
      </c>
      <c r="AQ166" s="1">
        <v>8.125</v>
      </c>
      <c r="AR166" s="1">
        <v>7.5</v>
      </c>
      <c r="AS166" s="1">
        <v>10</v>
      </c>
      <c r="AT166" s="1" t="s">
        <v>156</v>
      </c>
      <c r="AU166" s="1" t="s">
        <v>100</v>
      </c>
      <c r="AV166" s="1" t="s">
        <v>105</v>
      </c>
      <c r="AW166" s="1"/>
      <c r="AX166" s="1" t="s">
        <v>102</v>
      </c>
      <c r="AY166" s="1" t="s">
        <v>98</v>
      </c>
      <c r="AZ166" s="1">
        <v>7</v>
      </c>
      <c r="BA166" s="1"/>
      <c r="BB166" s="1">
        <v>7</v>
      </c>
      <c r="BC166" s="1"/>
      <c r="BD166" s="1"/>
      <c r="BE166" s="1"/>
      <c r="BF166" s="1"/>
      <c r="BG166" s="1"/>
      <c r="BH166" s="1"/>
      <c r="BS166" t="s">
        <v>1400</v>
      </c>
      <c r="BT166" t="s">
        <v>1401</v>
      </c>
      <c r="BU166" t="s">
        <v>1402</v>
      </c>
      <c r="CF166" t="s">
        <v>1431</v>
      </c>
    </row>
    <row r="167" spans="1:111" x14ac:dyDescent="0.2">
      <c r="A167" s="3">
        <v>1</v>
      </c>
      <c r="B167" s="3" t="s">
        <v>965</v>
      </c>
      <c r="C167" s="3" t="s">
        <v>966</v>
      </c>
      <c r="D167" s="1"/>
      <c r="E167" s="1">
        <f t="shared" si="15"/>
        <v>10</v>
      </c>
      <c r="F167" s="1">
        <f t="shared" si="16"/>
        <v>10</v>
      </c>
      <c r="G167" s="1">
        <f t="shared" si="17"/>
        <v>10</v>
      </c>
      <c r="H167" s="1"/>
      <c r="I167" s="1">
        <v>165</v>
      </c>
      <c r="J167" s="1">
        <v>2.974368954</v>
      </c>
      <c r="K167" s="1">
        <v>24.51605159</v>
      </c>
      <c r="L167" s="1">
        <v>0.1</v>
      </c>
      <c r="M167" s="1">
        <v>4.4000000000000004</v>
      </c>
      <c r="N167" s="1">
        <v>0.1</v>
      </c>
      <c r="O167" s="1">
        <v>3.6</v>
      </c>
      <c r="P167" s="1">
        <v>2.2999999999999998</v>
      </c>
      <c r="Q167" s="1">
        <v>9.6999999999999993</v>
      </c>
      <c r="R167" s="1">
        <v>9.4</v>
      </c>
      <c r="S167" s="1">
        <v>3.5</v>
      </c>
      <c r="T167" s="1">
        <v>3.5</v>
      </c>
      <c r="U167" s="1">
        <v>5.7</v>
      </c>
      <c r="V167" s="1">
        <v>6.3</v>
      </c>
      <c r="W167" s="1">
        <v>0.1</v>
      </c>
      <c r="X167" s="1">
        <v>3.2</v>
      </c>
      <c r="Y167" s="1">
        <v>4.5</v>
      </c>
      <c r="Z167" s="1">
        <v>9.9</v>
      </c>
      <c r="AA167" s="1">
        <v>10</v>
      </c>
      <c r="AB167" s="1">
        <v>3.8</v>
      </c>
      <c r="AC167" s="1">
        <v>7.9</v>
      </c>
      <c r="AD167" s="1">
        <v>6.3</v>
      </c>
      <c r="AE167" s="1">
        <v>3.1</v>
      </c>
      <c r="AF167" s="1">
        <v>2</v>
      </c>
      <c r="AG167" s="1">
        <v>0</v>
      </c>
      <c r="AH167" s="1">
        <v>23.9</v>
      </c>
      <c r="AI167" s="1">
        <v>9.3000000000000007</v>
      </c>
      <c r="AJ167" s="1">
        <v>6</v>
      </c>
      <c r="AK167" s="1">
        <v>2.2000000000000002</v>
      </c>
      <c r="AL167" s="1">
        <v>7</v>
      </c>
      <c r="AM167" s="1">
        <v>2.8</v>
      </c>
      <c r="AN167" s="1">
        <v>5.3</v>
      </c>
      <c r="AO167" s="1">
        <v>4.4000000000000004</v>
      </c>
      <c r="AP167" s="1">
        <v>4.4000000000000004</v>
      </c>
      <c r="AQ167" s="1">
        <v>6.0416666666666696</v>
      </c>
      <c r="AR167" s="1">
        <v>7.6</v>
      </c>
      <c r="AS167" s="1">
        <v>10</v>
      </c>
      <c r="AT167" s="1" t="s">
        <v>897</v>
      </c>
      <c r="AU167" s="1" t="s">
        <v>100</v>
      </c>
      <c r="AV167" s="1" t="s">
        <v>105</v>
      </c>
      <c r="AW167" s="1"/>
      <c r="AX167" s="1" t="s">
        <v>102</v>
      </c>
      <c r="AY167" s="1" t="s">
        <v>98</v>
      </c>
      <c r="AZ167" s="1">
        <v>7</v>
      </c>
      <c r="BA167" s="1"/>
      <c r="BB167" s="1">
        <v>7</v>
      </c>
      <c r="BC167" s="1" t="s">
        <v>1557</v>
      </c>
      <c r="BD167" s="1" t="s">
        <v>1404</v>
      </c>
      <c r="BE167" s="1">
        <v>39.872602020239498</v>
      </c>
      <c r="BF167" s="1">
        <v>40.104248469740497</v>
      </c>
      <c r="BG167" s="1">
        <v>40.087448742166799</v>
      </c>
      <c r="BH167" s="1">
        <v>41.390397106716598</v>
      </c>
      <c r="BI167">
        <v>41.764689569032299</v>
      </c>
      <c r="BJ167">
        <v>41.617015192388799</v>
      </c>
      <c r="BK167" t="s">
        <v>1405</v>
      </c>
      <c r="BL167" t="s">
        <v>1406</v>
      </c>
      <c r="BM167">
        <v>16425.859</v>
      </c>
      <c r="BN167">
        <v>0.37429246231570101</v>
      </c>
      <c r="BO167">
        <v>1.3029483645497999</v>
      </c>
      <c r="BP167">
        <v>3.7429246231570099</v>
      </c>
      <c r="BQ167">
        <v>4.343161215166</v>
      </c>
      <c r="BR167">
        <v>4.343161215166</v>
      </c>
      <c r="BS167" t="s">
        <v>1400</v>
      </c>
      <c r="BT167" t="s">
        <v>1401</v>
      </c>
      <c r="BU167" t="s">
        <v>1402</v>
      </c>
      <c r="CF167" t="s">
        <v>103</v>
      </c>
      <c r="CO167">
        <v>24.372327804565401</v>
      </c>
      <c r="CP167">
        <v>56.679744720458999</v>
      </c>
      <c r="CQ167">
        <v>20.186437606811499</v>
      </c>
      <c r="CR167">
        <v>92.154937744140597</v>
      </c>
      <c r="CS167">
        <v>15.674524307251</v>
      </c>
      <c r="CT167">
        <v>40.929531097412102</v>
      </c>
      <c r="CY167">
        <v>66.734718322753906</v>
      </c>
      <c r="CZ167">
        <v>87.400161743164105</v>
      </c>
      <c r="DB167">
        <v>10</v>
      </c>
      <c r="DE167">
        <v>10</v>
      </c>
      <c r="DF167">
        <v>10</v>
      </c>
      <c r="DG167">
        <v>10</v>
      </c>
    </row>
    <row r="168" spans="1:111" x14ac:dyDescent="0.2">
      <c r="A168" s="3">
        <v>1</v>
      </c>
      <c r="B168" s="3" t="s">
        <v>969</v>
      </c>
      <c r="C168" s="3" t="s">
        <v>970</v>
      </c>
      <c r="D168" s="1"/>
      <c r="E168" s="1">
        <f t="shared" si="15"/>
        <v>8.71428571428571</v>
      </c>
      <c r="F168" s="1">
        <f t="shared" si="16"/>
        <v>8.71428571428571</v>
      </c>
      <c r="G168" s="1">
        <f t="shared" si="17"/>
        <v>0</v>
      </c>
      <c r="H168" s="1"/>
      <c r="I168" s="1">
        <v>166</v>
      </c>
      <c r="J168" s="1">
        <v>3.0095753780000001</v>
      </c>
      <c r="K168" s="1">
        <v>28.50448922</v>
      </c>
      <c r="L168" s="1">
        <v>0.1</v>
      </c>
      <c r="M168" s="1">
        <v>5.2</v>
      </c>
      <c r="N168" s="1">
        <v>0.1</v>
      </c>
      <c r="O168" s="1">
        <v>7.2</v>
      </c>
      <c r="P168" s="1">
        <v>4.2</v>
      </c>
      <c r="Q168" s="1">
        <v>5.9</v>
      </c>
      <c r="R168" s="1">
        <v>6.4</v>
      </c>
      <c r="S168" s="1">
        <v>0.1</v>
      </c>
      <c r="T168" s="1">
        <v>0.1</v>
      </c>
      <c r="U168" s="1">
        <v>4.8</v>
      </c>
      <c r="V168" s="1">
        <v>7.4</v>
      </c>
      <c r="W168" s="1">
        <v>2.2999999999999998</v>
      </c>
      <c r="X168" s="1">
        <v>4.9000000000000004</v>
      </c>
      <c r="Y168" s="1">
        <v>4.8</v>
      </c>
      <c r="Z168" s="1">
        <v>7.9</v>
      </c>
      <c r="AA168" s="1">
        <v>8.8000000000000007</v>
      </c>
      <c r="AB168" s="1">
        <v>5</v>
      </c>
      <c r="AC168" s="1">
        <v>7.2</v>
      </c>
      <c r="AD168" s="1">
        <v>0</v>
      </c>
      <c r="AE168" s="1">
        <v>0</v>
      </c>
      <c r="AF168" s="1">
        <v>3</v>
      </c>
      <c r="AG168" s="1">
        <v>0.6</v>
      </c>
      <c r="AH168" s="1">
        <v>23.6</v>
      </c>
      <c r="AI168" s="1">
        <v>9.1</v>
      </c>
      <c r="AJ168" s="1">
        <v>2.4</v>
      </c>
      <c r="AK168" s="1">
        <v>0.2</v>
      </c>
      <c r="AL168" s="1">
        <v>7</v>
      </c>
      <c r="AM168" s="1">
        <v>0.7</v>
      </c>
      <c r="AN168" s="1">
        <v>4.3</v>
      </c>
      <c r="AO168" s="1">
        <v>3.9</v>
      </c>
      <c r="AP168" s="1">
        <v>4.3</v>
      </c>
      <c r="AQ168" s="1">
        <v>5.625</v>
      </c>
      <c r="AR168" s="1">
        <v>6.1</v>
      </c>
      <c r="AS168" s="1">
        <v>8.71428571428571</v>
      </c>
      <c r="AT168" s="1" t="s">
        <v>156</v>
      </c>
      <c r="AU168" s="1" t="s">
        <v>100</v>
      </c>
      <c r="AV168" s="1" t="s">
        <v>105</v>
      </c>
      <c r="AW168" s="1"/>
      <c r="AX168" s="1" t="s">
        <v>102</v>
      </c>
      <c r="AY168" s="1" t="s">
        <v>98</v>
      </c>
      <c r="AZ168" s="1">
        <v>7</v>
      </c>
      <c r="BA168" s="1"/>
      <c r="BB168" s="1">
        <v>7</v>
      </c>
      <c r="BC168" s="1" t="s">
        <v>1558</v>
      </c>
      <c r="BD168" s="1" t="s">
        <v>1404</v>
      </c>
      <c r="BE168" s="1">
        <v>47.903588276210698</v>
      </c>
      <c r="BF168" s="1">
        <v>46.3612964725327</v>
      </c>
      <c r="BG168" s="1">
        <v>45.289650539076</v>
      </c>
      <c r="BH168" s="1">
        <v>46.230751799829598</v>
      </c>
      <c r="BI168">
        <v>45.872880732439903</v>
      </c>
      <c r="BJ168">
        <v>45.289646157449901</v>
      </c>
      <c r="BK168" t="s">
        <v>1405</v>
      </c>
      <c r="BL168" t="s">
        <v>1406</v>
      </c>
      <c r="BM168">
        <v>8278.7369999999992</v>
      </c>
      <c r="BN168">
        <v>-0.35787106738969499</v>
      </c>
      <c r="BO168">
        <v>0.94110126075359801</v>
      </c>
      <c r="BP168">
        <v>0</v>
      </c>
      <c r="BQ168">
        <v>3.13700420251199</v>
      </c>
      <c r="BR168">
        <v>3.13700420251199</v>
      </c>
      <c r="BS168" t="s">
        <v>1400</v>
      </c>
      <c r="BT168" t="s">
        <v>1401</v>
      </c>
      <c r="BU168" t="s">
        <v>1402</v>
      </c>
      <c r="CF168" t="s">
        <v>103</v>
      </c>
    </row>
    <row r="169" spans="1:111" x14ac:dyDescent="0.2">
      <c r="A169" s="3">
        <v>1</v>
      </c>
      <c r="B169" s="3" t="s">
        <v>973</v>
      </c>
      <c r="C169" s="3" t="s">
        <v>974</v>
      </c>
      <c r="D169" s="1"/>
      <c r="E169" s="1">
        <f t="shared" si="15"/>
        <v>3.1428571428571401</v>
      </c>
      <c r="F169" s="1">
        <f t="shared" si="16"/>
        <v>3.1428571428571401</v>
      </c>
      <c r="G169" s="1">
        <f t="shared" si="17"/>
        <v>0</v>
      </c>
      <c r="H169" s="1"/>
      <c r="I169" s="1">
        <v>167</v>
      </c>
      <c r="J169" s="1">
        <v>79.384444930000001</v>
      </c>
      <c r="K169" s="1">
        <v>16.617845160000002</v>
      </c>
      <c r="L169" s="1">
        <v>9.5</v>
      </c>
      <c r="M169" s="1">
        <v>2.8</v>
      </c>
      <c r="N169" s="1">
        <v>9.5</v>
      </c>
      <c r="O169" s="1">
        <v>7.1</v>
      </c>
      <c r="P169" s="1">
        <v>5</v>
      </c>
      <c r="Q169" s="1">
        <v>2.7</v>
      </c>
      <c r="R169" s="1"/>
      <c r="S169" s="1">
        <v>0.2</v>
      </c>
      <c r="T169" s="1">
        <v>0.2</v>
      </c>
      <c r="U169" s="1">
        <v>3.8</v>
      </c>
      <c r="V169" s="1">
        <v>5.9</v>
      </c>
      <c r="W169" s="1">
        <v>4.4000000000000004</v>
      </c>
      <c r="X169" s="1">
        <v>5.2</v>
      </c>
      <c r="Y169" s="1">
        <v>4.5</v>
      </c>
      <c r="Z169" s="1">
        <v>2.9</v>
      </c>
      <c r="AA169" s="1">
        <v>1.8</v>
      </c>
      <c r="AB169" s="1">
        <v>0</v>
      </c>
      <c r="AC169" s="1">
        <v>1.6</v>
      </c>
      <c r="AD169" s="1">
        <v>0</v>
      </c>
      <c r="AE169" s="1">
        <v>0</v>
      </c>
      <c r="AF169" s="1">
        <v>12</v>
      </c>
      <c r="AG169" s="1">
        <v>5.6</v>
      </c>
      <c r="AH169" s="1">
        <v>14.5</v>
      </c>
      <c r="AI169" s="1">
        <v>3</v>
      </c>
      <c r="AJ169" s="1">
        <v>7</v>
      </c>
      <c r="AK169" s="1">
        <v>2.8</v>
      </c>
      <c r="AL169" s="1">
        <v>5</v>
      </c>
      <c r="AM169" s="1">
        <v>2.8</v>
      </c>
      <c r="AN169" s="1">
        <v>3.4</v>
      </c>
      <c r="AO169" s="1">
        <v>4.8</v>
      </c>
      <c r="AP169" s="1">
        <v>4.5999999999999996</v>
      </c>
      <c r="AQ169" s="1">
        <v>6.875</v>
      </c>
      <c r="AR169" s="1">
        <v>2.2000000000000002</v>
      </c>
      <c r="AS169" s="1">
        <v>3.1428571428571401</v>
      </c>
      <c r="AT169" s="1" t="s">
        <v>318</v>
      </c>
      <c r="AU169" s="1" t="s">
        <v>98</v>
      </c>
      <c r="AV169" s="1" t="s">
        <v>168</v>
      </c>
      <c r="AW169" s="1" t="s">
        <v>96</v>
      </c>
      <c r="AX169" s="1" t="s">
        <v>137</v>
      </c>
      <c r="AY169" s="1" t="s">
        <v>100</v>
      </c>
      <c r="AZ169" s="1">
        <v>10</v>
      </c>
      <c r="BA169" s="1">
        <v>0</v>
      </c>
      <c r="BB169" s="1">
        <v>0</v>
      </c>
      <c r="BC169" s="1"/>
      <c r="BD169" s="1"/>
      <c r="BE169" s="1"/>
      <c r="BF169" s="1"/>
      <c r="BG169" s="1"/>
      <c r="BH169" s="1"/>
      <c r="BS169" t="s">
        <v>1400</v>
      </c>
      <c r="BT169" t="s">
        <v>1401</v>
      </c>
      <c r="BU169" t="s">
        <v>1402</v>
      </c>
      <c r="BW169">
        <v>1.2</v>
      </c>
      <c r="BX169">
        <v>1.1000000000000001</v>
      </c>
      <c r="BY169">
        <v>1</v>
      </c>
      <c r="BZ169">
        <v>1</v>
      </c>
      <c r="CA169">
        <v>1</v>
      </c>
      <c r="CB169">
        <v>1</v>
      </c>
      <c r="CC169">
        <v>1</v>
      </c>
      <c r="CD169">
        <v>1</v>
      </c>
      <c r="CE169">
        <v>1</v>
      </c>
      <c r="CF169" t="s">
        <v>103</v>
      </c>
      <c r="CG169">
        <v>0</v>
      </c>
      <c r="CH169">
        <v>0</v>
      </c>
      <c r="CI169">
        <v>0</v>
      </c>
      <c r="CJ169">
        <v>0</v>
      </c>
      <c r="CK169">
        <v>0</v>
      </c>
      <c r="CL169">
        <v>0</v>
      </c>
    </row>
    <row r="170" spans="1:111" x14ac:dyDescent="0.2">
      <c r="A170" s="3">
        <v>1</v>
      </c>
      <c r="B170" s="3" t="s">
        <v>978</v>
      </c>
      <c r="C170" s="3" t="s">
        <v>979</v>
      </c>
      <c r="D170" s="1"/>
      <c r="E170" s="1">
        <f t="shared" si="15"/>
        <v>7.0449012765586305</v>
      </c>
      <c r="F170" s="1">
        <f t="shared" si="16"/>
        <v>6.5714285714285703</v>
      </c>
      <c r="G170" s="1">
        <f t="shared" si="17"/>
        <v>7.5524877820696101</v>
      </c>
      <c r="H170" s="1"/>
      <c r="I170" s="1">
        <v>168</v>
      </c>
      <c r="J170" s="1">
        <v>39.288729760000002</v>
      </c>
      <c r="K170" s="1">
        <v>7.5999958469999997</v>
      </c>
      <c r="L170" s="1">
        <v>4.5999999999999996</v>
      </c>
      <c r="M170" s="1">
        <v>0.9</v>
      </c>
      <c r="N170" s="1">
        <v>4.5999999999999996</v>
      </c>
      <c r="O170" s="1">
        <v>6.1</v>
      </c>
      <c r="P170" s="1">
        <v>2.7</v>
      </c>
      <c r="Q170" s="1">
        <v>2.9</v>
      </c>
      <c r="R170" s="1">
        <v>10</v>
      </c>
      <c r="S170" s="1">
        <v>0</v>
      </c>
      <c r="T170" s="1">
        <v>0</v>
      </c>
      <c r="U170" s="1">
        <v>4.3</v>
      </c>
      <c r="V170" s="1">
        <v>3.4</v>
      </c>
      <c r="W170" s="1">
        <v>0.9</v>
      </c>
      <c r="X170" s="1">
        <v>2.2000000000000002</v>
      </c>
      <c r="Y170" s="1">
        <v>3.2</v>
      </c>
      <c r="Z170" s="1">
        <v>5</v>
      </c>
      <c r="AA170" s="1">
        <v>5.5</v>
      </c>
      <c r="AB170" s="1">
        <v>0.5</v>
      </c>
      <c r="AC170" s="1">
        <v>3.7</v>
      </c>
      <c r="AD170" s="1">
        <v>0</v>
      </c>
      <c r="AE170" s="1">
        <v>0</v>
      </c>
      <c r="AF170" s="1">
        <v>3</v>
      </c>
      <c r="AG170" s="1">
        <v>0.6</v>
      </c>
      <c r="AH170" s="1">
        <v>25.3</v>
      </c>
      <c r="AI170" s="1">
        <v>10</v>
      </c>
      <c r="AJ170" s="1">
        <v>6.1</v>
      </c>
      <c r="AK170" s="1">
        <v>2.2999999999999998</v>
      </c>
      <c r="AL170" s="1">
        <v>4</v>
      </c>
      <c r="AM170" s="1">
        <v>1.5</v>
      </c>
      <c r="AN170" s="1">
        <v>4.5</v>
      </c>
      <c r="AO170" s="1">
        <v>4.2</v>
      </c>
      <c r="AP170" s="1">
        <v>3.7</v>
      </c>
      <c r="AQ170" s="1">
        <v>3.125</v>
      </c>
      <c r="AR170" s="1">
        <v>4.5999999999999996</v>
      </c>
      <c r="AS170" s="1">
        <v>6.5714285714285703</v>
      </c>
      <c r="AT170" s="1" t="s">
        <v>168</v>
      </c>
      <c r="AU170" s="1" t="s">
        <v>100</v>
      </c>
      <c r="AV170" s="1" t="s">
        <v>105</v>
      </c>
      <c r="AW170" s="1"/>
      <c r="AX170" s="1" t="s">
        <v>137</v>
      </c>
      <c r="AY170" s="1" t="s">
        <v>100</v>
      </c>
      <c r="AZ170" s="1">
        <v>7</v>
      </c>
      <c r="BA170" s="1"/>
      <c r="BB170" s="1">
        <v>0</v>
      </c>
      <c r="BC170" s="1" t="s">
        <v>1559</v>
      </c>
      <c r="BD170" s="1" t="s">
        <v>1404</v>
      </c>
      <c r="BE170" s="1">
        <v>3.5766115812043902</v>
      </c>
      <c r="BF170" s="1">
        <v>2.9507558888788199</v>
      </c>
      <c r="BG170" s="1">
        <v>2.6147432178951902</v>
      </c>
      <c r="BH170" s="1">
        <v>2.6147432178951902</v>
      </c>
      <c r="BI170">
        <v>2.3715454618520599</v>
      </c>
      <c r="BJ170">
        <v>2.2575636155963998</v>
      </c>
      <c r="BK170" t="s">
        <v>1405</v>
      </c>
      <c r="BL170" t="s">
        <v>1411</v>
      </c>
      <c r="BM170">
        <v>9537.6419999999998</v>
      </c>
      <c r="BN170">
        <v>-0.24319775604312999</v>
      </c>
      <c r="BO170">
        <v>0</v>
      </c>
      <c r="BP170">
        <v>0</v>
      </c>
      <c r="BQ170">
        <v>0</v>
      </c>
      <c r="BR170">
        <v>0</v>
      </c>
      <c r="BS170" t="s">
        <v>1400</v>
      </c>
      <c r="BT170" t="s">
        <v>1401</v>
      </c>
      <c r="BU170" t="s">
        <v>1402</v>
      </c>
      <c r="CF170" t="s">
        <v>1431</v>
      </c>
      <c r="CP170">
        <v>81.707374572753906</v>
      </c>
      <c r="CU170">
        <v>56.358314514160199</v>
      </c>
      <c r="CV170">
        <v>11.776908874511699</v>
      </c>
      <c r="CX170">
        <v>5.0809068679809597</v>
      </c>
      <c r="CY170">
        <v>29.313596725463899</v>
      </c>
      <c r="CZ170">
        <v>49.012161254882798</v>
      </c>
      <c r="DC170">
        <v>4.7107635498046898</v>
      </c>
      <c r="DE170">
        <v>5.8627193450927697</v>
      </c>
      <c r="DF170">
        <v>5.2867414474487298</v>
      </c>
      <c r="DG170">
        <v>7.5524877820696101</v>
      </c>
    </row>
    <row r="171" spans="1:111" x14ac:dyDescent="0.2">
      <c r="A171" s="3">
        <v>1</v>
      </c>
      <c r="B171" s="3" t="s">
        <v>980</v>
      </c>
      <c r="C171" s="3" t="s">
        <v>981</v>
      </c>
      <c r="D171" s="1"/>
      <c r="E171" s="1">
        <f t="shared" si="15"/>
        <v>2.1428571428571401</v>
      </c>
      <c r="F171" s="1">
        <f t="shared" si="16"/>
        <v>2.1428571428571401</v>
      </c>
      <c r="G171" s="1">
        <f t="shared" si="17"/>
        <v>0</v>
      </c>
      <c r="H171" s="1"/>
      <c r="I171" s="1">
        <v>169</v>
      </c>
      <c r="J171" s="1"/>
      <c r="K171" s="1"/>
      <c r="L171" s="1"/>
      <c r="M171" s="1"/>
      <c r="N171" s="1"/>
      <c r="O171" s="1">
        <v>3.7</v>
      </c>
      <c r="P171" s="1">
        <v>5.2</v>
      </c>
      <c r="Q171" s="1"/>
      <c r="R171" s="1"/>
      <c r="S171" s="1">
        <v>0</v>
      </c>
      <c r="T171" s="1">
        <v>0</v>
      </c>
      <c r="U171" s="1">
        <v>3</v>
      </c>
      <c r="V171" s="1">
        <v>5.5</v>
      </c>
      <c r="W171" s="1">
        <v>0.3</v>
      </c>
      <c r="X171" s="1">
        <v>2.9</v>
      </c>
      <c r="Y171" s="1">
        <v>2.9</v>
      </c>
      <c r="Z171" s="1">
        <v>3.9</v>
      </c>
      <c r="AA171" s="1">
        <v>0.6</v>
      </c>
      <c r="AB171" s="1">
        <v>5.0999999999999996</v>
      </c>
      <c r="AC171" s="1">
        <v>3.2</v>
      </c>
      <c r="AD171" s="1">
        <v>0</v>
      </c>
      <c r="AE171" s="1">
        <v>0</v>
      </c>
      <c r="AF171" s="1">
        <v>4</v>
      </c>
      <c r="AG171" s="1">
        <v>1.1000000000000001</v>
      </c>
      <c r="AH171" s="1">
        <v>29.5</v>
      </c>
      <c r="AI171" s="1">
        <v>10</v>
      </c>
      <c r="AJ171" s="1">
        <v>6.1</v>
      </c>
      <c r="AK171" s="1">
        <v>2.2999999999999998</v>
      </c>
      <c r="AL171" s="1">
        <v>5</v>
      </c>
      <c r="AM171" s="1">
        <v>0.8</v>
      </c>
      <c r="AN171" s="1">
        <v>4.5</v>
      </c>
      <c r="AO171" s="1">
        <v>3.9</v>
      </c>
      <c r="AP171" s="1">
        <v>3.4</v>
      </c>
      <c r="AQ171" s="1">
        <v>1.875</v>
      </c>
      <c r="AR171" s="1">
        <v>1.5</v>
      </c>
      <c r="AS171" s="1">
        <v>2.1428571428571401</v>
      </c>
      <c r="AT171" s="1" t="s">
        <v>245</v>
      </c>
      <c r="AU171" s="1" t="s">
        <v>96</v>
      </c>
      <c r="AV171" s="1" t="s">
        <v>105</v>
      </c>
      <c r="AW171" s="1"/>
      <c r="AX171" s="1" t="s">
        <v>102</v>
      </c>
      <c r="AY171" s="1" t="s">
        <v>98</v>
      </c>
      <c r="AZ171" s="1">
        <v>0</v>
      </c>
      <c r="BA171" s="1"/>
      <c r="BB171" s="1">
        <v>7</v>
      </c>
      <c r="BC171" s="1"/>
      <c r="BD171" s="1"/>
      <c r="BE171" s="1"/>
      <c r="BF171" s="1"/>
      <c r="BG171" s="1"/>
      <c r="BH171" s="1"/>
      <c r="BS171" t="s">
        <v>1400</v>
      </c>
      <c r="BT171" t="s">
        <v>1401</v>
      </c>
      <c r="BU171" t="s">
        <v>1402</v>
      </c>
      <c r="CF171" t="s">
        <v>103</v>
      </c>
    </row>
    <row r="172" spans="1:111" x14ac:dyDescent="0.2">
      <c r="A172" s="3">
        <v>1</v>
      </c>
      <c r="B172" s="3" t="s">
        <v>982</v>
      </c>
      <c r="C172" s="3" t="s">
        <v>983</v>
      </c>
      <c r="D172" s="1"/>
      <c r="E172" s="1">
        <f t="shared" si="15"/>
        <v>7.1428571428571397</v>
      </c>
      <c r="F172" s="1">
        <f t="shared" si="16"/>
        <v>7.1428571428571397</v>
      </c>
      <c r="G172" s="1">
        <f t="shared" si="17"/>
        <v>0</v>
      </c>
      <c r="H172" s="1"/>
      <c r="I172" s="1">
        <v>170</v>
      </c>
      <c r="J172" s="1">
        <v>35.328409829999998</v>
      </c>
      <c r="K172" s="1">
        <v>20.618999850000002</v>
      </c>
      <c r="L172" s="1">
        <v>4.0999999999999996</v>
      </c>
      <c r="M172" s="1">
        <v>3.6</v>
      </c>
      <c r="N172" s="1">
        <v>4.0999999999999996</v>
      </c>
      <c r="O172" s="1">
        <v>6.4</v>
      </c>
      <c r="P172" s="1">
        <v>3.1</v>
      </c>
      <c r="Q172" s="1">
        <v>3.8</v>
      </c>
      <c r="R172" s="1">
        <v>9.6</v>
      </c>
      <c r="S172" s="1">
        <v>0</v>
      </c>
      <c r="T172" s="1">
        <v>0</v>
      </c>
      <c r="U172" s="1">
        <v>4.5999999999999996</v>
      </c>
      <c r="V172" s="1">
        <v>4.3</v>
      </c>
      <c r="W172" s="1">
        <v>1.9</v>
      </c>
      <c r="X172" s="1">
        <v>3.1</v>
      </c>
      <c r="Y172" s="1">
        <v>3.8</v>
      </c>
      <c r="Z172" s="1">
        <v>5.5</v>
      </c>
      <c r="AA172" s="1">
        <v>8.6</v>
      </c>
      <c r="AB172" s="1">
        <v>3.1</v>
      </c>
      <c r="AC172" s="1">
        <v>5.7</v>
      </c>
      <c r="AD172" s="1">
        <v>0</v>
      </c>
      <c r="AE172" s="1">
        <v>0</v>
      </c>
      <c r="AF172" s="1">
        <v>4</v>
      </c>
      <c r="AG172" s="1">
        <v>1.1000000000000001</v>
      </c>
      <c r="AH172" s="1">
        <v>19.899999999999999</v>
      </c>
      <c r="AI172" s="1">
        <v>6.6</v>
      </c>
      <c r="AJ172" s="1">
        <v>6.7</v>
      </c>
      <c r="AK172" s="1">
        <v>2.6</v>
      </c>
      <c r="AL172" s="1">
        <v>5</v>
      </c>
      <c r="AM172" s="1">
        <v>9.1</v>
      </c>
      <c r="AN172" s="1">
        <v>5.8</v>
      </c>
      <c r="AO172" s="1">
        <v>5.2</v>
      </c>
      <c r="AP172" s="1">
        <v>4.5</v>
      </c>
      <c r="AQ172" s="1">
        <v>6.4583333333333304</v>
      </c>
      <c r="AR172" s="1">
        <v>5</v>
      </c>
      <c r="AS172" s="1">
        <v>7.1428571428571397</v>
      </c>
      <c r="AT172" s="1" t="s">
        <v>381</v>
      </c>
      <c r="AU172" s="1" t="s">
        <v>98</v>
      </c>
      <c r="AV172" s="1" t="s">
        <v>105</v>
      </c>
      <c r="AW172" s="1"/>
      <c r="AX172" s="1" t="s">
        <v>137</v>
      </c>
      <c r="AY172" s="1" t="s">
        <v>100</v>
      </c>
      <c r="AZ172" s="1">
        <v>10</v>
      </c>
      <c r="BA172" s="1"/>
      <c r="BB172" s="1">
        <v>0</v>
      </c>
      <c r="BC172" s="1"/>
      <c r="BD172" s="1"/>
      <c r="BE172" s="1"/>
      <c r="BF172" s="1"/>
      <c r="BG172" s="1"/>
      <c r="BH172" s="1"/>
      <c r="BS172" t="s">
        <v>1400</v>
      </c>
      <c r="BT172" t="s">
        <v>1401</v>
      </c>
      <c r="BU172" t="s">
        <v>1402</v>
      </c>
      <c r="CF172" t="s">
        <v>103</v>
      </c>
    </row>
    <row r="173" spans="1:111" x14ac:dyDescent="0.2">
      <c r="A173" s="3">
        <v>1</v>
      </c>
      <c r="B173" s="3" t="s">
        <v>984</v>
      </c>
      <c r="C173" s="3" t="s">
        <v>985</v>
      </c>
      <c r="D173" s="1"/>
      <c r="E173" s="1">
        <f t="shared" si="15"/>
        <v>7.8571428571428603</v>
      </c>
      <c r="F173" s="1">
        <f t="shared" si="16"/>
        <v>7.8571428571428603</v>
      </c>
      <c r="G173" s="1">
        <f t="shared" si="17"/>
        <v>0</v>
      </c>
      <c r="H173" s="1"/>
      <c r="I173" s="1">
        <v>171</v>
      </c>
      <c r="J173" s="1">
        <v>1.2882738929999999</v>
      </c>
      <c r="K173" s="1">
        <v>29.12212551</v>
      </c>
      <c r="L173" s="1">
        <v>0</v>
      </c>
      <c r="M173" s="1">
        <v>5.4</v>
      </c>
      <c r="N173" s="1">
        <v>0</v>
      </c>
      <c r="O173" s="1">
        <v>7.2</v>
      </c>
      <c r="P173" s="1">
        <v>2.2999999999999998</v>
      </c>
      <c r="Q173" s="1"/>
      <c r="R173" s="1"/>
      <c r="S173" s="1">
        <v>0</v>
      </c>
      <c r="T173" s="1">
        <v>0</v>
      </c>
      <c r="U173" s="1">
        <v>3.2</v>
      </c>
      <c r="V173" s="1">
        <v>2.5</v>
      </c>
      <c r="W173" s="1">
        <v>10</v>
      </c>
      <c r="X173" s="1">
        <v>6.3</v>
      </c>
      <c r="Y173" s="1">
        <v>4.7</v>
      </c>
      <c r="Z173" s="1">
        <v>3.5</v>
      </c>
      <c r="AA173" s="1"/>
      <c r="AB173" s="1">
        <v>0.1</v>
      </c>
      <c r="AC173" s="1">
        <v>1.8</v>
      </c>
      <c r="AD173" s="1">
        <v>0</v>
      </c>
      <c r="AE173" s="1">
        <v>0</v>
      </c>
      <c r="AF173" s="1">
        <v>6</v>
      </c>
      <c r="AG173" s="1">
        <v>2.2000000000000002</v>
      </c>
      <c r="AH173" s="1">
        <v>23.3</v>
      </c>
      <c r="AI173" s="1">
        <v>8.9</v>
      </c>
      <c r="AJ173" s="1">
        <v>15.7</v>
      </c>
      <c r="AK173" s="1">
        <v>7.6</v>
      </c>
      <c r="AL173" s="1">
        <v>4</v>
      </c>
      <c r="AM173" s="1">
        <v>0.2</v>
      </c>
      <c r="AN173" s="1">
        <v>5.2</v>
      </c>
      <c r="AO173" s="1">
        <v>2.2999999999999998</v>
      </c>
      <c r="AP173" s="1">
        <v>3.5</v>
      </c>
      <c r="AQ173" s="1">
        <v>2.2916666666666701</v>
      </c>
      <c r="AR173" s="1">
        <v>5.5</v>
      </c>
      <c r="AS173" s="1">
        <v>7.8571428571428603</v>
      </c>
      <c r="AT173" s="1" t="s">
        <v>922</v>
      </c>
      <c r="AU173" s="1" t="s">
        <v>98</v>
      </c>
      <c r="AV173" s="1" t="s">
        <v>105</v>
      </c>
      <c r="AW173" s="1"/>
      <c r="AX173" s="1" t="s">
        <v>102</v>
      </c>
      <c r="AY173" s="1" t="s">
        <v>98</v>
      </c>
      <c r="AZ173" s="1">
        <v>10</v>
      </c>
      <c r="BA173" s="1"/>
      <c r="BB173" s="1">
        <v>7</v>
      </c>
      <c r="BC173" s="1"/>
      <c r="BD173" s="1"/>
      <c r="BE173" s="1"/>
      <c r="BF173" s="1"/>
      <c r="BG173" s="1"/>
      <c r="BH173" s="1"/>
      <c r="BS173" t="s">
        <v>1400</v>
      </c>
      <c r="BT173" t="s">
        <v>1401</v>
      </c>
      <c r="BU173" t="s">
        <v>1402</v>
      </c>
      <c r="CF173" t="s">
        <v>103</v>
      </c>
    </row>
    <row r="174" spans="1:111" x14ac:dyDescent="0.2">
      <c r="A174" s="3">
        <v>1</v>
      </c>
      <c r="B174" s="3" t="s">
        <v>986</v>
      </c>
      <c r="C174" s="3" t="s">
        <v>987</v>
      </c>
      <c r="D174" s="1"/>
      <c r="E174" s="1">
        <f t="shared" si="15"/>
        <v>4.4721359549995814</v>
      </c>
      <c r="F174" s="1">
        <f t="shared" si="16"/>
        <v>2.8571428571428599</v>
      </c>
      <c r="G174" s="1">
        <f t="shared" si="17"/>
        <v>7</v>
      </c>
      <c r="H174" s="1"/>
      <c r="I174" s="1">
        <v>172</v>
      </c>
      <c r="J174" s="1"/>
      <c r="K174" s="1"/>
      <c r="L174" s="1"/>
      <c r="M174" s="1"/>
      <c r="N174" s="1"/>
      <c r="O174" s="1">
        <v>8.1</v>
      </c>
      <c r="P174" s="1">
        <v>5.3</v>
      </c>
      <c r="Q174" s="1">
        <v>0.6</v>
      </c>
      <c r="R174" s="1">
        <v>3.2</v>
      </c>
      <c r="S174" s="1">
        <v>0.8</v>
      </c>
      <c r="T174" s="1">
        <v>0.8</v>
      </c>
      <c r="U174" s="1">
        <v>3.6</v>
      </c>
      <c r="V174" s="1">
        <v>6.6</v>
      </c>
      <c r="W174" s="1">
        <v>10</v>
      </c>
      <c r="X174" s="1">
        <v>8.3000000000000007</v>
      </c>
      <c r="Y174" s="1">
        <v>6</v>
      </c>
      <c r="Z174" s="1">
        <v>2.2999999999999998</v>
      </c>
      <c r="AA174" s="1"/>
      <c r="AB174" s="1">
        <v>0.3</v>
      </c>
      <c r="AC174" s="1">
        <v>1.3</v>
      </c>
      <c r="AD174" s="1">
        <v>0</v>
      </c>
      <c r="AE174" s="1">
        <v>0</v>
      </c>
      <c r="AF174" s="1">
        <v>11</v>
      </c>
      <c r="AG174" s="1">
        <v>5</v>
      </c>
      <c r="AH174" s="1">
        <v>21.3</v>
      </c>
      <c r="AI174" s="1">
        <v>7.5</v>
      </c>
      <c r="AJ174" s="1">
        <v>11</v>
      </c>
      <c r="AK174" s="1">
        <v>5</v>
      </c>
      <c r="AL174" s="1">
        <v>4</v>
      </c>
      <c r="AM174" s="1">
        <v>0.3</v>
      </c>
      <c r="AN174" s="1">
        <v>4.2</v>
      </c>
      <c r="AO174" s="1">
        <v>2.8</v>
      </c>
      <c r="AP174" s="1">
        <v>4.4000000000000004</v>
      </c>
      <c r="AQ174" s="1">
        <v>6.0416666666666696</v>
      </c>
      <c r="AR174" s="1">
        <v>2</v>
      </c>
      <c r="AS174" s="1">
        <v>2.8571428571428599</v>
      </c>
      <c r="AT174" s="1" t="s">
        <v>989</v>
      </c>
      <c r="AU174" s="1" t="s">
        <v>98</v>
      </c>
      <c r="AV174" s="1" t="s">
        <v>758</v>
      </c>
      <c r="AW174" s="1" t="s">
        <v>100</v>
      </c>
      <c r="AX174" s="1" t="s">
        <v>183</v>
      </c>
      <c r="AY174" s="1" t="s">
        <v>96</v>
      </c>
      <c r="AZ174" s="1">
        <v>10</v>
      </c>
      <c r="BA174" s="1">
        <v>7</v>
      </c>
      <c r="BB174" s="1">
        <v>3</v>
      </c>
      <c r="BC174" s="1"/>
      <c r="BD174" s="1"/>
      <c r="BE174" s="1"/>
      <c r="BF174" s="1"/>
      <c r="BG174" s="1"/>
      <c r="BH174" s="1"/>
      <c r="BS174" t="s">
        <v>1400</v>
      </c>
      <c r="BT174" t="s">
        <v>1401</v>
      </c>
      <c r="BU174" t="s">
        <v>1402</v>
      </c>
      <c r="BW174">
        <v>4.8250000000000002</v>
      </c>
      <c r="BX174">
        <v>4.0670000000000002</v>
      </c>
      <c r="CF174" t="s">
        <v>1431</v>
      </c>
    </row>
    <row r="175" spans="1:111" x14ac:dyDescent="0.2">
      <c r="A175" s="3">
        <v>1</v>
      </c>
      <c r="B175" s="3" t="s">
        <v>991</v>
      </c>
      <c r="C175" s="3" t="s">
        <v>992</v>
      </c>
      <c r="D175" s="1"/>
      <c r="E175" s="1">
        <f t="shared" si="15"/>
        <v>3.7827505761992146</v>
      </c>
      <c r="F175" s="1">
        <f t="shared" si="16"/>
        <v>3.4285714285714302</v>
      </c>
      <c r="G175" s="1">
        <f t="shared" si="17"/>
        <v>4.1735172271728498</v>
      </c>
      <c r="H175" s="1"/>
      <c r="I175" s="1">
        <v>173</v>
      </c>
      <c r="J175" s="1">
        <v>14.425931589999999</v>
      </c>
      <c r="K175" s="1">
        <v>3.8032112100000002</v>
      </c>
      <c r="L175" s="1">
        <v>1.5</v>
      </c>
      <c r="M175" s="1">
        <v>0.2</v>
      </c>
      <c r="N175" s="1">
        <v>1.5</v>
      </c>
      <c r="O175" s="1">
        <v>6.2</v>
      </c>
      <c r="P175" s="1">
        <v>6.9</v>
      </c>
      <c r="Q175" s="1">
        <v>0.9</v>
      </c>
      <c r="R175" s="1"/>
      <c r="S175" s="1">
        <v>0</v>
      </c>
      <c r="T175" s="1">
        <v>0</v>
      </c>
      <c r="U175" s="1">
        <v>3.5</v>
      </c>
      <c r="V175" s="1">
        <v>6.3</v>
      </c>
      <c r="W175" s="1">
        <v>3.5</v>
      </c>
      <c r="X175" s="1">
        <v>4.9000000000000004</v>
      </c>
      <c r="Y175" s="1">
        <v>4.2</v>
      </c>
      <c r="Z175" s="1">
        <v>3.3</v>
      </c>
      <c r="AA175" s="1">
        <v>2.8</v>
      </c>
      <c r="AB175" s="1">
        <v>0</v>
      </c>
      <c r="AC175" s="1">
        <v>2</v>
      </c>
      <c r="AD175" s="1">
        <v>0</v>
      </c>
      <c r="AE175" s="1">
        <v>0</v>
      </c>
      <c r="AF175" s="1">
        <v>8</v>
      </c>
      <c r="AG175" s="1">
        <v>3.3</v>
      </c>
      <c r="AH175" s="1">
        <v>16.100000000000001</v>
      </c>
      <c r="AI175" s="1">
        <v>4.0999999999999996</v>
      </c>
      <c r="AJ175" s="1">
        <v>8.5</v>
      </c>
      <c r="AK175" s="1">
        <v>3.6</v>
      </c>
      <c r="AL175" s="1">
        <v>6</v>
      </c>
      <c r="AM175" s="1">
        <v>0.6</v>
      </c>
      <c r="AN175" s="1">
        <v>3.6</v>
      </c>
      <c r="AO175" s="1">
        <v>2.4</v>
      </c>
      <c r="AP175" s="1">
        <v>3.3</v>
      </c>
      <c r="AQ175" s="1">
        <v>1.4583333333333299</v>
      </c>
      <c r="AR175" s="1">
        <v>2.4</v>
      </c>
      <c r="AS175" s="1">
        <v>3.4285714285714302</v>
      </c>
      <c r="AT175" s="1" t="s">
        <v>364</v>
      </c>
      <c r="AU175" s="1" t="s">
        <v>98</v>
      </c>
      <c r="AV175" s="1" t="s">
        <v>105</v>
      </c>
      <c r="AW175" s="1"/>
      <c r="AX175" s="1" t="s">
        <v>137</v>
      </c>
      <c r="AY175" s="1" t="s">
        <v>100</v>
      </c>
      <c r="AZ175" s="1">
        <v>10</v>
      </c>
      <c r="BA175" s="1"/>
      <c r="BB175" s="1">
        <v>0</v>
      </c>
      <c r="BC175" s="1" t="s">
        <v>1560</v>
      </c>
      <c r="BD175" s="1" t="s">
        <v>1404</v>
      </c>
      <c r="BE175" s="1">
        <v>0.24618452457806</v>
      </c>
      <c r="BF175" s="1">
        <v>0.215484240761841</v>
      </c>
      <c r="BG175" s="1">
        <v>0.22615828609188901</v>
      </c>
      <c r="BH175" s="1">
        <v>0.41310920777780702</v>
      </c>
      <c r="BI175">
        <v>0.300447919931776</v>
      </c>
      <c r="BJ175">
        <v>0.27777446732357602</v>
      </c>
      <c r="BK175" t="s">
        <v>1405</v>
      </c>
      <c r="BL175" t="s">
        <v>1455</v>
      </c>
      <c r="BM175">
        <v>11818.618</v>
      </c>
      <c r="BN175">
        <v>-0.11266128784603099</v>
      </c>
      <c r="BO175">
        <v>0.18695092168591801</v>
      </c>
      <c r="BP175">
        <v>0</v>
      </c>
      <c r="BQ175">
        <v>0.62316973895306105</v>
      </c>
      <c r="BR175">
        <v>0.62316973895306105</v>
      </c>
      <c r="BS175" t="s">
        <v>1400</v>
      </c>
      <c r="BT175" t="s">
        <v>1401</v>
      </c>
      <c r="BU175" t="s">
        <v>1402</v>
      </c>
      <c r="BW175">
        <v>15.513</v>
      </c>
      <c r="BX175">
        <v>15.53</v>
      </c>
      <c r="BY175">
        <v>14.888999999999999</v>
      </c>
      <c r="CF175" t="s">
        <v>1431</v>
      </c>
      <c r="CL175">
        <v>10</v>
      </c>
      <c r="CM175">
        <v>54.701316833496101</v>
      </c>
      <c r="CR175">
        <v>97.960128784179702</v>
      </c>
      <c r="CS175">
        <v>19.479019165039102</v>
      </c>
      <c r="CU175">
        <v>43.797760009765597</v>
      </c>
      <c r="CV175">
        <v>7.3036551475524902</v>
      </c>
      <c r="CX175">
        <v>0.48334068059921298</v>
      </c>
      <c r="DC175">
        <v>2.9214620590210001</v>
      </c>
      <c r="DF175">
        <v>2.9214620590210001</v>
      </c>
      <c r="DG175">
        <v>4.1735172271728498</v>
      </c>
    </row>
    <row r="176" spans="1:111" x14ac:dyDescent="0.2">
      <c r="A176" s="3">
        <v>1</v>
      </c>
      <c r="B176" s="3" t="s">
        <v>995</v>
      </c>
      <c r="C176" s="3" t="s">
        <v>996</v>
      </c>
      <c r="D176" s="1"/>
      <c r="E176" s="1">
        <f t="shared" si="15"/>
        <v>4.5825756949558398</v>
      </c>
      <c r="F176" s="1">
        <f t="shared" si="16"/>
        <v>3</v>
      </c>
      <c r="G176" s="1">
        <f t="shared" si="17"/>
        <v>7</v>
      </c>
      <c r="H176" s="1"/>
      <c r="I176" s="1">
        <v>174</v>
      </c>
      <c r="J176" s="1">
        <v>50.362131939999998</v>
      </c>
      <c r="K176" s="1">
        <v>39.388437860000003</v>
      </c>
      <c r="L176" s="1">
        <v>5.9</v>
      </c>
      <c r="M176" s="1">
        <v>7.5</v>
      </c>
      <c r="N176" s="1">
        <v>5.9</v>
      </c>
      <c r="O176" s="1">
        <v>6.8</v>
      </c>
      <c r="P176" s="1">
        <v>7.5</v>
      </c>
      <c r="Q176" s="1">
        <v>0.9</v>
      </c>
      <c r="R176" s="1"/>
      <c r="S176" s="1">
        <v>6.1</v>
      </c>
      <c r="T176" s="1">
        <v>6.1</v>
      </c>
      <c r="U176" s="1">
        <v>5.3</v>
      </c>
      <c r="V176" s="1">
        <v>5.8</v>
      </c>
      <c r="W176" s="1">
        <v>5.0999999999999996</v>
      </c>
      <c r="X176" s="1">
        <v>5.5</v>
      </c>
      <c r="Y176" s="1">
        <v>5.4</v>
      </c>
      <c r="Z176" s="1">
        <v>2.2000000000000002</v>
      </c>
      <c r="AA176" s="1"/>
      <c r="AB176" s="1">
        <v>0</v>
      </c>
      <c r="AC176" s="1">
        <v>1.1000000000000001</v>
      </c>
      <c r="AD176" s="1">
        <v>0.2</v>
      </c>
      <c r="AE176" s="1">
        <v>0.1</v>
      </c>
      <c r="AF176" s="1">
        <v>8</v>
      </c>
      <c r="AG176" s="1">
        <v>3.3</v>
      </c>
      <c r="AH176" s="1">
        <v>16.100000000000001</v>
      </c>
      <c r="AI176" s="1">
        <v>4.0999999999999996</v>
      </c>
      <c r="AJ176" s="1">
        <v>11.1</v>
      </c>
      <c r="AK176" s="1">
        <v>5.0999999999999996</v>
      </c>
      <c r="AL176" s="1">
        <v>6</v>
      </c>
      <c r="AM176" s="1">
        <v>0.3</v>
      </c>
      <c r="AN176" s="1">
        <v>3.9</v>
      </c>
      <c r="AO176" s="1">
        <v>3.6</v>
      </c>
      <c r="AP176" s="1">
        <v>4.5</v>
      </c>
      <c r="AQ176" s="1">
        <v>6.4583333333333304</v>
      </c>
      <c r="AR176" s="1">
        <v>2.1</v>
      </c>
      <c r="AS176" s="1">
        <v>3</v>
      </c>
      <c r="AT176" s="1" t="s">
        <v>104</v>
      </c>
      <c r="AU176" s="1" t="s">
        <v>98</v>
      </c>
      <c r="AV176" s="1" t="s">
        <v>998</v>
      </c>
      <c r="AW176" s="1" t="s">
        <v>100</v>
      </c>
      <c r="AX176" s="1" t="s">
        <v>183</v>
      </c>
      <c r="AY176" s="1" t="s">
        <v>96</v>
      </c>
      <c r="AZ176" s="1">
        <v>10</v>
      </c>
      <c r="BA176" s="1">
        <v>7</v>
      </c>
      <c r="BB176" s="1">
        <v>3</v>
      </c>
      <c r="BC176" s="1"/>
      <c r="BD176" s="1"/>
      <c r="BE176" s="1"/>
      <c r="BF176" s="1"/>
      <c r="BG176" s="1"/>
      <c r="BH176" s="1"/>
      <c r="BS176" t="s">
        <v>1400</v>
      </c>
      <c r="BT176" t="s">
        <v>1401</v>
      </c>
      <c r="BU176" t="s">
        <v>1402</v>
      </c>
      <c r="BW176">
        <v>10.904</v>
      </c>
      <c r="BX176">
        <v>10.955</v>
      </c>
      <c r="BY176">
        <v>13.709</v>
      </c>
      <c r="BZ176">
        <v>14.622</v>
      </c>
      <c r="CA176">
        <v>12.449</v>
      </c>
      <c r="CB176">
        <v>10.723000000000001</v>
      </c>
      <c r="CC176">
        <v>8.9619999999999997</v>
      </c>
      <c r="CD176">
        <v>8.7279999999999998</v>
      </c>
      <c r="CE176">
        <v>8.5039999999999996</v>
      </c>
      <c r="CF176" t="s">
        <v>1561</v>
      </c>
      <c r="CG176">
        <v>-2.173</v>
      </c>
      <c r="CH176">
        <v>0.91300000000000003</v>
      </c>
      <c r="CI176">
        <v>0</v>
      </c>
      <c r="CJ176">
        <v>3.0433333333333299</v>
      </c>
      <c r="CK176">
        <v>3.0433333333333299</v>
      </c>
      <c r="CL176">
        <v>0</v>
      </c>
    </row>
    <row r="177" spans="1:111" x14ac:dyDescent="0.2">
      <c r="A177" s="3">
        <v>1</v>
      </c>
      <c r="B177" s="3" t="s">
        <v>1001</v>
      </c>
      <c r="C177" s="3" t="s">
        <v>1002</v>
      </c>
      <c r="D177" s="1"/>
      <c r="E177" s="1">
        <f t="shared" si="15"/>
        <v>7.1428571428571397</v>
      </c>
      <c r="F177" s="1">
        <f t="shared" si="16"/>
        <v>7.1428571428571397</v>
      </c>
      <c r="G177" s="1">
        <f t="shared" si="17"/>
        <v>0</v>
      </c>
      <c r="H177" s="1"/>
      <c r="I177" s="1">
        <v>175</v>
      </c>
      <c r="J177" s="1"/>
      <c r="K177" s="1"/>
      <c r="L177" s="1"/>
      <c r="M177" s="1"/>
      <c r="N177" s="1"/>
      <c r="O177" s="1">
        <v>8.6</v>
      </c>
      <c r="P177" s="1">
        <v>6.2</v>
      </c>
      <c r="Q177" s="1"/>
      <c r="R177" s="1"/>
      <c r="S177" s="1">
        <v>0</v>
      </c>
      <c r="T177" s="1">
        <v>0</v>
      </c>
      <c r="U177" s="1">
        <v>4.9000000000000004</v>
      </c>
      <c r="V177" s="1">
        <v>0.8</v>
      </c>
      <c r="W177" s="1">
        <v>10</v>
      </c>
      <c r="X177" s="1">
        <v>5.4</v>
      </c>
      <c r="Y177" s="1">
        <v>5.2</v>
      </c>
      <c r="Z177" s="1">
        <v>4.5999999999999996</v>
      </c>
      <c r="AA177" s="1"/>
      <c r="AB177" s="1"/>
      <c r="AC177" s="1">
        <v>4.5999999999999996</v>
      </c>
      <c r="AD177" s="1">
        <v>0</v>
      </c>
      <c r="AE177" s="1">
        <v>0</v>
      </c>
      <c r="AF177" s="1"/>
      <c r="AG177" s="1"/>
      <c r="AH177" s="1"/>
      <c r="AI177" s="1"/>
      <c r="AJ177" s="1">
        <v>22.1</v>
      </c>
      <c r="AK177" s="1">
        <v>10</v>
      </c>
      <c r="AL177" s="1">
        <v>5</v>
      </c>
      <c r="AM177" s="1">
        <v>4.3</v>
      </c>
      <c r="AN177" s="1">
        <v>6.4</v>
      </c>
      <c r="AO177" s="1">
        <v>5.5</v>
      </c>
      <c r="AP177" s="1">
        <v>5.3</v>
      </c>
      <c r="AQ177" s="1">
        <v>9.7916666666666696</v>
      </c>
      <c r="AR177" s="1">
        <v>5</v>
      </c>
      <c r="AS177" s="1">
        <v>7.1428571428571397</v>
      </c>
      <c r="AT177" s="1" t="s">
        <v>604</v>
      </c>
      <c r="AU177" s="1" t="s">
        <v>100</v>
      </c>
      <c r="AV177" s="1" t="s">
        <v>105</v>
      </c>
      <c r="AW177" s="1"/>
      <c r="AX177" s="1" t="s">
        <v>105</v>
      </c>
      <c r="AY177" s="1"/>
      <c r="AZ177" s="1">
        <v>7</v>
      </c>
      <c r="BA177" s="1"/>
      <c r="BB177" s="1"/>
      <c r="BC177" s="1"/>
      <c r="BD177" s="1"/>
      <c r="BE177" s="1"/>
      <c r="BF177" s="1"/>
      <c r="BG177" s="1"/>
      <c r="BH177" s="1"/>
      <c r="BS177" t="s">
        <v>1400</v>
      </c>
      <c r="BT177" t="s">
        <v>1401</v>
      </c>
      <c r="BU177" t="s">
        <v>1402</v>
      </c>
      <c r="CF177" t="s">
        <v>103</v>
      </c>
    </row>
    <row r="178" spans="1:111" x14ac:dyDescent="0.2">
      <c r="A178" s="3">
        <v>1</v>
      </c>
      <c r="B178" s="3" t="s">
        <v>1003</v>
      </c>
      <c r="C178" s="3" t="s">
        <v>1004</v>
      </c>
      <c r="D178" s="1"/>
      <c r="E178" s="1">
        <f t="shared" si="15"/>
        <v>8.4285714285714306</v>
      </c>
      <c r="F178" s="1">
        <f t="shared" si="16"/>
        <v>8.4285714285714306</v>
      </c>
      <c r="G178" s="1">
        <f t="shared" si="17"/>
        <v>0</v>
      </c>
      <c r="H178" s="1"/>
      <c r="I178" s="1">
        <v>176</v>
      </c>
      <c r="J178" s="1">
        <v>12.88378539</v>
      </c>
      <c r="K178" s="1">
        <v>13.34933515</v>
      </c>
      <c r="L178" s="1">
        <v>1.4</v>
      </c>
      <c r="M178" s="1">
        <v>2.1</v>
      </c>
      <c r="N178" s="1">
        <v>1.4</v>
      </c>
      <c r="O178" s="1">
        <v>6</v>
      </c>
      <c r="P178" s="1">
        <v>3.4</v>
      </c>
      <c r="Q178" s="1">
        <v>4.5999999999999996</v>
      </c>
      <c r="R178" s="1">
        <v>7.1</v>
      </c>
      <c r="S178" s="1">
        <v>0.5</v>
      </c>
      <c r="T178" s="1">
        <v>0.5</v>
      </c>
      <c r="U178" s="1">
        <v>4.3</v>
      </c>
      <c r="V178" s="1">
        <v>5.8</v>
      </c>
      <c r="W178" s="1">
        <v>0.7</v>
      </c>
      <c r="X178" s="1">
        <v>3.3</v>
      </c>
      <c r="Y178" s="1">
        <v>3.8</v>
      </c>
      <c r="Z178" s="1">
        <v>7.2</v>
      </c>
      <c r="AA178" s="1">
        <v>9</v>
      </c>
      <c r="AB178" s="1">
        <v>4.9000000000000004</v>
      </c>
      <c r="AC178" s="1">
        <v>7</v>
      </c>
      <c r="AD178" s="1">
        <v>0</v>
      </c>
      <c r="AE178" s="1">
        <v>0</v>
      </c>
      <c r="AF178" s="1">
        <v>3</v>
      </c>
      <c r="AG178" s="1">
        <v>0.6</v>
      </c>
      <c r="AH178" s="1">
        <v>17.899999999999999</v>
      </c>
      <c r="AI178" s="1">
        <v>5.3</v>
      </c>
      <c r="AJ178" s="1">
        <v>5.7</v>
      </c>
      <c r="AK178" s="1">
        <v>2.1</v>
      </c>
      <c r="AL178" s="1">
        <v>7</v>
      </c>
      <c r="AM178" s="1">
        <v>4.9000000000000004</v>
      </c>
      <c r="AN178" s="1">
        <v>4.8</v>
      </c>
      <c r="AO178" s="1">
        <v>4.4000000000000004</v>
      </c>
      <c r="AP178" s="1">
        <v>4.0999999999999996</v>
      </c>
      <c r="AQ178" s="1">
        <v>4.7916666666666696</v>
      </c>
      <c r="AR178" s="1">
        <v>5.9</v>
      </c>
      <c r="AS178" s="1">
        <v>8.4285714285714306</v>
      </c>
      <c r="AT178" s="1" t="s">
        <v>335</v>
      </c>
      <c r="AU178" s="1" t="s">
        <v>96</v>
      </c>
      <c r="AV178" s="1" t="s">
        <v>105</v>
      </c>
      <c r="AW178" s="1"/>
      <c r="AX178" s="1" t="s">
        <v>102</v>
      </c>
      <c r="AY178" s="1" t="s">
        <v>98</v>
      </c>
      <c r="AZ178" s="1">
        <v>0</v>
      </c>
      <c r="BA178" s="1"/>
      <c r="BB178" s="1">
        <v>7</v>
      </c>
      <c r="BC178" s="1" t="s">
        <v>1562</v>
      </c>
      <c r="BD178" s="1" t="s">
        <v>1404</v>
      </c>
      <c r="BE178" s="1"/>
      <c r="BF178" s="1">
        <v>49.3650566737387</v>
      </c>
      <c r="BG178" s="1">
        <v>49.283814435466397</v>
      </c>
      <c r="BH178" s="1">
        <v>50.434756023813001</v>
      </c>
      <c r="BI178">
        <v>50.093254864200901</v>
      </c>
      <c r="BJ178">
        <v>49.281537814877503</v>
      </c>
      <c r="BK178" t="s">
        <v>1405</v>
      </c>
      <c r="BL178" t="s">
        <v>1406</v>
      </c>
      <c r="BM178">
        <v>59734.213000000003</v>
      </c>
      <c r="BN178">
        <v>-0.34150115961209998</v>
      </c>
      <c r="BO178">
        <v>1.1509415883466001</v>
      </c>
      <c r="BP178">
        <v>0</v>
      </c>
      <c r="BQ178">
        <v>3.8364719611553499</v>
      </c>
      <c r="BR178">
        <v>3.8364719611553499</v>
      </c>
      <c r="BS178" t="s">
        <v>1400</v>
      </c>
      <c r="BT178" t="s">
        <v>1401</v>
      </c>
      <c r="BU178" t="s">
        <v>1402</v>
      </c>
      <c r="CF178" t="s">
        <v>103</v>
      </c>
    </row>
    <row r="179" spans="1:111" x14ac:dyDescent="0.2">
      <c r="A179" s="3">
        <v>1</v>
      </c>
      <c r="B179" s="3" t="s">
        <v>1007</v>
      </c>
      <c r="C179" s="3" t="s">
        <v>1008</v>
      </c>
      <c r="D179" s="1"/>
      <c r="E179" s="1">
        <f t="shared" si="15"/>
        <v>9.4868329805051381</v>
      </c>
      <c r="F179" s="1">
        <f t="shared" si="16"/>
        <v>9</v>
      </c>
      <c r="G179" s="1">
        <f t="shared" si="17"/>
        <v>10</v>
      </c>
      <c r="H179" s="1"/>
      <c r="I179" s="1">
        <v>177</v>
      </c>
      <c r="J179" s="1">
        <v>60.713931760000001</v>
      </c>
      <c r="K179" s="1">
        <v>13.50950956</v>
      </c>
      <c r="L179" s="1">
        <v>7.2</v>
      </c>
      <c r="M179" s="1">
        <v>2.2000000000000002</v>
      </c>
      <c r="N179" s="1">
        <v>7.2</v>
      </c>
      <c r="O179" s="1">
        <v>7.8</v>
      </c>
      <c r="P179" s="1">
        <v>2.4</v>
      </c>
      <c r="Q179" s="1">
        <v>5.3</v>
      </c>
      <c r="R179" s="1">
        <v>6.3</v>
      </c>
      <c r="S179" s="1">
        <v>3.1</v>
      </c>
      <c r="T179" s="1">
        <v>3.1</v>
      </c>
      <c r="U179" s="1">
        <v>5</v>
      </c>
      <c r="V179" s="1">
        <v>5.0999999999999996</v>
      </c>
      <c r="W179" s="1">
        <v>2.2000000000000002</v>
      </c>
      <c r="X179" s="1">
        <v>3.7</v>
      </c>
      <c r="Y179" s="1">
        <v>4.3</v>
      </c>
      <c r="Z179" s="1">
        <v>7.7</v>
      </c>
      <c r="AA179" s="1">
        <v>9.1</v>
      </c>
      <c r="AB179" s="1">
        <v>4.2</v>
      </c>
      <c r="AC179" s="1">
        <v>7</v>
      </c>
      <c r="AD179" s="1">
        <v>2.5</v>
      </c>
      <c r="AE179" s="1">
        <v>1.2</v>
      </c>
      <c r="AF179" s="1">
        <v>2</v>
      </c>
      <c r="AG179" s="1">
        <v>0</v>
      </c>
      <c r="AH179" s="1">
        <v>21.9</v>
      </c>
      <c r="AI179" s="1">
        <v>7.9</v>
      </c>
      <c r="AJ179" s="1">
        <v>2.5</v>
      </c>
      <c r="AK179" s="1">
        <v>0.3</v>
      </c>
      <c r="AL179" s="1">
        <v>6</v>
      </c>
      <c r="AM179" s="1">
        <v>3.7</v>
      </c>
      <c r="AN179" s="1">
        <v>4.5</v>
      </c>
      <c r="AO179" s="1">
        <v>6.2</v>
      </c>
      <c r="AP179" s="1">
        <v>5.3</v>
      </c>
      <c r="AQ179" s="1">
        <v>9.7916666666666696</v>
      </c>
      <c r="AR179" s="1">
        <v>6.3</v>
      </c>
      <c r="AS179" s="1">
        <v>9</v>
      </c>
      <c r="AT179" s="1" t="s">
        <v>618</v>
      </c>
      <c r="AU179" s="1" t="s">
        <v>100</v>
      </c>
      <c r="AV179" s="1" t="s">
        <v>105</v>
      </c>
      <c r="AW179" s="1"/>
      <c r="AX179" s="1" t="s">
        <v>102</v>
      </c>
      <c r="AY179" s="1" t="s">
        <v>98</v>
      </c>
      <c r="AZ179" s="1">
        <v>7</v>
      </c>
      <c r="BA179" s="1"/>
      <c r="BB179" s="1">
        <v>7</v>
      </c>
      <c r="BC179" s="1"/>
      <c r="BD179" s="1"/>
      <c r="BE179" s="1"/>
      <c r="BF179" s="1"/>
      <c r="BG179" s="1"/>
      <c r="BH179" s="1"/>
      <c r="BS179" t="s">
        <v>1400</v>
      </c>
      <c r="BT179" t="s">
        <v>1401</v>
      </c>
      <c r="BU179" t="s">
        <v>1402</v>
      </c>
      <c r="CF179" t="s">
        <v>103</v>
      </c>
      <c r="CL179">
        <v>0</v>
      </c>
      <c r="CM179">
        <v>70.165473937988295</v>
      </c>
      <c r="CN179">
        <v>18.771461486816399</v>
      </c>
      <c r="CO179">
        <v>84.3682861328125</v>
      </c>
      <c r="CP179">
        <v>81.326736450195298</v>
      </c>
      <c r="CS179">
        <v>19.486068725585898</v>
      </c>
      <c r="CT179">
        <v>65.764465332031193</v>
      </c>
      <c r="CV179">
        <v>24.305639266967798</v>
      </c>
      <c r="CW179">
        <v>9.1942501068115199</v>
      </c>
      <c r="CX179">
        <v>1.6825937032699601</v>
      </c>
      <c r="CY179">
        <v>34.298309326171903</v>
      </c>
      <c r="CZ179">
        <v>57.845191955566399</v>
      </c>
      <c r="DA179">
        <v>3.7542922973632802</v>
      </c>
      <c r="DB179">
        <v>7.81585693359375</v>
      </c>
      <c r="DC179">
        <v>9.7222557067871094</v>
      </c>
      <c r="DD179">
        <v>9.4407666524251308</v>
      </c>
      <c r="DE179">
        <v>6.8596618652343704</v>
      </c>
      <c r="DF179">
        <v>7.5185666910807303</v>
      </c>
      <c r="DG179">
        <v>10</v>
      </c>
    </row>
    <row r="180" spans="1:111" x14ac:dyDescent="0.2">
      <c r="A180" s="3">
        <v>1</v>
      </c>
      <c r="B180" s="3" t="s">
        <v>1011</v>
      </c>
      <c r="C180" s="3" t="s">
        <v>1012</v>
      </c>
      <c r="D180" s="1"/>
      <c r="E180" s="1">
        <f t="shared" si="15"/>
        <v>4.2426406871192839</v>
      </c>
      <c r="F180" s="1">
        <f t="shared" si="16"/>
        <v>2.5714285714285698</v>
      </c>
      <c r="G180" s="1">
        <f t="shared" si="17"/>
        <v>7</v>
      </c>
      <c r="H180" s="1"/>
      <c r="I180" s="1">
        <v>178</v>
      </c>
      <c r="J180" s="1">
        <v>70.308312549999997</v>
      </c>
      <c r="K180" s="1">
        <v>38.614637039999998</v>
      </c>
      <c r="L180" s="1">
        <v>8.4</v>
      </c>
      <c r="M180" s="1">
        <v>7.3</v>
      </c>
      <c r="N180" s="1">
        <v>8.4</v>
      </c>
      <c r="O180" s="1">
        <v>6.3</v>
      </c>
      <c r="P180" s="1">
        <v>6.9</v>
      </c>
      <c r="Q180" s="1">
        <v>2.1</v>
      </c>
      <c r="R180" s="1">
        <v>1.1000000000000001</v>
      </c>
      <c r="S180" s="1">
        <v>1.8</v>
      </c>
      <c r="T180" s="1">
        <v>1.8</v>
      </c>
      <c r="U180" s="1">
        <v>3.6</v>
      </c>
      <c r="V180" s="1">
        <v>5.0999999999999996</v>
      </c>
      <c r="W180" s="1">
        <v>7.4</v>
      </c>
      <c r="X180" s="1">
        <v>6.3</v>
      </c>
      <c r="Y180" s="1">
        <v>4.9000000000000004</v>
      </c>
      <c r="Z180" s="1">
        <v>3</v>
      </c>
      <c r="AA180" s="1">
        <v>0.3</v>
      </c>
      <c r="AB180" s="1">
        <v>0</v>
      </c>
      <c r="AC180" s="1">
        <v>1.1000000000000001</v>
      </c>
      <c r="AD180" s="1">
        <v>0</v>
      </c>
      <c r="AE180" s="1">
        <v>0</v>
      </c>
      <c r="AF180" s="1">
        <v>16</v>
      </c>
      <c r="AG180" s="1">
        <v>7.8</v>
      </c>
      <c r="AH180" s="1">
        <v>24.7</v>
      </c>
      <c r="AI180" s="1">
        <v>9.8000000000000007</v>
      </c>
      <c r="AJ180" s="1">
        <v>6.1</v>
      </c>
      <c r="AK180" s="1">
        <v>2.2999999999999998</v>
      </c>
      <c r="AL180" s="1">
        <v>5</v>
      </c>
      <c r="AM180" s="1">
        <v>1.5</v>
      </c>
      <c r="AN180" s="1">
        <v>4.7</v>
      </c>
      <c r="AO180" s="1">
        <v>4.7</v>
      </c>
      <c r="AP180" s="1">
        <v>4.8</v>
      </c>
      <c r="AQ180" s="1">
        <v>7.7083333333333304</v>
      </c>
      <c r="AR180" s="1">
        <v>1.8</v>
      </c>
      <c r="AS180" s="1">
        <v>2.5714285714285698</v>
      </c>
      <c r="AT180" s="1" t="s">
        <v>596</v>
      </c>
      <c r="AU180" s="1" t="s">
        <v>98</v>
      </c>
      <c r="AV180" s="1" t="s">
        <v>155</v>
      </c>
      <c r="AW180" s="1" t="s">
        <v>100</v>
      </c>
      <c r="AX180" s="1" t="s">
        <v>137</v>
      </c>
      <c r="AY180" s="1" t="s">
        <v>100</v>
      </c>
      <c r="AZ180" s="1">
        <v>10</v>
      </c>
      <c r="BA180" s="1">
        <v>7</v>
      </c>
      <c r="BB180" s="1">
        <v>0</v>
      </c>
      <c r="BC180" s="1" t="s">
        <v>1563</v>
      </c>
      <c r="BD180" s="1" t="s">
        <v>1404</v>
      </c>
      <c r="BE180" s="1">
        <v>2.29417991518098E-2</v>
      </c>
      <c r="BF180" s="1">
        <v>9.9352238966259002E-3</v>
      </c>
      <c r="BG180" s="1">
        <v>9.9352233044403999E-3</v>
      </c>
      <c r="BH180" s="1">
        <v>9.9352233044403999E-3</v>
      </c>
      <c r="BI180">
        <v>9.9352233044403999E-3</v>
      </c>
      <c r="BJ180">
        <v>9.9352233044403999E-3</v>
      </c>
      <c r="BK180" t="s">
        <v>1405</v>
      </c>
      <c r="BL180" t="s">
        <v>1411</v>
      </c>
      <c r="BM180">
        <v>43733.758999999998</v>
      </c>
      <c r="BN180">
        <v>0</v>
      </c>
      <c r="BO180">
        <v>0</v>
      </c>
      <c r="BP180">
        <v>0</v>
      </c>
      <c r="BQ180">
        <v>0</v>
      </c>
      <c r="BR180">
        <v>0</v>
      </c>
      <c r="BS180" t="s">
        <v>1400</v>
      </c>
      <c r="BT180" t="s">
        <v>1401</v>
      </c>
      <c r="BU180" t="s">
        <v>1402</v>
      </c>
      <c r="BW180">
        <v>9.65</v>
      </c>
      <c r="BX180">
        <v>9</v>
      </c>
      <c r="BY180">
        <v>8.5</v>
      </c>
      <c r="BZ180">
        <v>11.037000000000001</v>
      </c>
      <c r="CA180">
        <v>9.6180000000000003</v>
      </c>
      <c r="CB180">
        <v>8.9629999999999992</v>
      </c>
      <c r="CC180">
        <v>8.593</v>
      </c>
      <c r="CD180">
        <v>8.2620000000000005</v>
      </c>
      <c r="CE180">
        <v>7.9640000000000004</v>
      </c>
      <c r="CF180" t="s">
        <v>1564</v>
      </c>
      <c r="CG180">
        <v>-1.419</v>
      </c>
      <c r="CH180">
        <v>2.5369999999999999</v>
      </c>
      <c r="CI180">
        <v>0</v>
      </c>
      <c r="CJ180">
        <v>8.4566666666666706</v>
      </c>
      <c r="CK180">
        <v>8.4566666666666706</v>
      </c>
      <c r="CL180">
        <v>0</v>
      </c>
    </row>
    <row r="181" spans="1:111" x14ac:dyDescent="0.2">
      <c r="A181" s="3">
        <v>1</v>
      </c>
      <c r="B181" s="3" t="s">
        <v>1015</v>
      </c>
      <c r="C181" s="3" t="s">
        <v>1016</v>
      </c>
      <c r="D181" s="1"/>
      <c r="E181" s="1">
        <f t="shared" si="15"/>
        <v>4.3588989435406704</v>
      </c>
      <c r="F181" s="1">
        <f t="shared" si="16"/>
        <v>2.71428571428571</v>
      </c>
      <c r="G181" s="1">
        <f t="shared" si="17"/>
        <v>7</v>
      </c>
      <c r="H181" s="1"/>
      <c r="I181" s="1">
        <v>179</v>
      </c>
      <c r="J181" s="1">
        <v>79.817028519999994</v>
      </c>
      <c r="K181" s="1">
        <v>45.235206849999997</v>
      </c>
      <c r="L181" s="1">
        <v>9.5</v>
      </c>
      <c r="M181" s="1">
        <v>8.6999999999999993</v>
      </c>
      <c r="N181" s="1">
        <v>9.5</v>
      </c>
      <c r="O181" s="1">
        <v>4.3</v>
      </c>
      <c r="P181" s="1">
        <v>9.5</v>
      </c>
      <c r="Q181" s="1"/>
      <c r="R181" s="1">
        <v>2</v>
      </c>
      <c r="S181" s="1">
        <v>0.2</v>
      </c>
      <c r="T181" s="1">
        <v>0.2</v>
      </c>
      <c r="U181" s="1">
        <v>4</v>
      </c>
      <c r="V181" s="1">
        <v>4.2</v>
      </c>
      <c r="W181" s="1">
        <v>3.2</v>
      </c>
      <c r="X181" s="1">
        <v>3.7</v>
      </c>
      <c r="Y181" s="1">
        <v>3.9</v>
      </c>
      <c r="Z181" s="1">
        <v>1.9</v>
      </c>
      <c r="AA181" s="1"/>
      <c r="AB181" s="1">
        <v>0</v>
      </c>
      <c r="AC181" s="1">
        <v>1</v>
      </c>
      <c r="AD181" s="1">
        <v>0</v>
      </c>
      <c r="AE181" s="1">
        <v>0</v>
      </c>
      <c r="AF181" s="1">
        <v>15</v>
      </c>
      <c r="AG181" s="1">
        <v>7.2</v>
      </c>
      <c r="AH181" s="1">
        <v>16.7</v>
      </c>
      <c r="AI181" s="1">
        <v>4.5</v>
      </c>
      <c r="AJ181" s="1">
        <v>7.3</v>
      </c>
      <c r="AK181" s="1">
        <v>2.9</v>
      </c>
      <c r="AL181" s="1">
        <v>3</v>
      </c>
      <c r="AM181" s="1">
        <v>0.6</v>
      </c>
      <c r="AN181" s="1">
        <v>2.8</v>
      </c>
      <c r="AO181" s="1">
        <v>4.4000000000000004</v>
      </c>
      <c r="AP181" s="1">
        <v>4.0999999999999996</v>
      </c>
      <c r="AQ181" s="1">
        <v>4.7916666666666696</v>
      </c>
      <c r="AR181" s="1">
        <v>1.9</v>
      </c>
      <c r="AS181" s="1">
        <v>2.71428571428571</v>
      </c>
      <c r="AT181" s="1" t="s">
        <v>161</v>
      </c>
      <c r="AU181" s="1" t="s">
        <v>98</v>
      </c>
      <c r="AV181" s="1" t="s">
        <v>319</v>
      </c>
      <c r="AW181" s="1" t="s">
        <v>100</v>
      </c>
      <c r="AX181" s="1" t="s">
        <v>183</v>
      </c>
      <c r="AY181" s="1" t="s">
        <v>96</v>
      </c>
      <c r="AZ181" s="1">
        <v>10</v>
      </c>
      <c r="BA181" s="1">
        <v>7</v>
      </c>
      <c r="BB181" s="1">
        <v>3</v>
      </c>
      <c r="BC181" s="1" t="s">
        <v>1565</v>
      </c>
      <c r="BD181" s="1" t="s">
        <v>1404</v>
      </c>
      <c r="BE181" s="1">
        <v>5.41476498459613E-2</v>
      </c>
      <c r="BF181" s="1">
        <v>5.5849954732442197E-2</v>
      </c>
      <c r="BG181" s="1">
        <v>5.6580808030863301E-2</v>
      </c>
      <c r="BH181" s="1">
        <v>8.1459537588024294E-2</v>
      </c>
      <c r="BI181">
        <v>4.8263863448189101E-2</v>
      </c>
      <c r="BJ181">
        <v>3.3948686671161299E-2</v>
      </c>
      <c r="BK181" t="s">
        <v>1405</v>
      </c>
      <c r="BL181" t="s">
        <v>1408</v>
      </c>
      <c r="BM181">
        <v>3473.7269999999999</v>
      </c>
      <c r="BN181">
        <v>-3.31956741398352E-2</v>
      </c>
      <c r="BO181">
        <v>2.4878729557161E-2</v>
      </c>
      <c r="BP181">
        <v>0</v>
      </c>
      <c r="BQ181">
        <v>8.2929098523869996E-2</v>
      </c>
      <c r="BR181">
        <v>8.2929098523869996E-2</v>
      </c>
      <c r="BS181" t="s">
        <v>1400</v>
      </c>
      <c r="BT181" t="s">
        <v>1401</v>
      </c>
      <c r="BU181" t="s">
        <v>1402</v>
      </c>
      <c r="BW181">
        <v>7.9249999999999998</v>
      </c>
      <c r="BX181">
        <v>8.3670000000000009</v>
      </c>
      <c r="BY181">
        <v>8.9250000000000007</v>
      </c>
      <c r="BZ181">
        <v>9.6769999999999996</v>
      </c>
      <c r="CA181">
        <v>8.9570000000000007</v>
      </c>
      <c r="CB181">
        <v>8.5280000000000005</v>
      </c>
      <c r="CC181">
        <v>8.3260000000000005</v>
      </c>
      <c r="CD181">
        <v>8.0869999999999997</v>
      </c>
      <c r="CE181">
        <v>7.9790000000000001</v>
      </c>
      <c r="CF181" t="s">
        <v>1566</v>
      </c>
      <c r="CG181">
        <v>-0.71999999999999897</v>
      </c>
      <c r="CH181">
        <v>0.751999999999999</v>
      </c>
      <c r="CI181">
        <v>0</v>
      </c>
      <c r="CJ181">
        <v>2.5066666666666602</v>
      </c>
      <c r="CK181">
        <v>2.5066666666666602</v>
      </c>
      <c r="CL181">
        <v>0</v>
      </c>
    </row>
    <row r="182" spans="1:111" x14ac:dyDescent="0.2">
      <c r="A182" s="3">
        <v>1</v>
      </c>
      <c r="B182" s="3" t="s">
        <v>1019</v>
      </c>
      <c r="C182" s="3" t="s">
        <v>1020</v>
      </c>
      <c r="D182" s="1"/>
      <c r="E182" s="1">
        <f t="shared" si="15"/>
        <v>2.8284271247461863</v>
      </c>
      <c r="F182" s="1">
        <f t="shared" si="16"/>
        <v>1.1428571428571399</v>
      </c>
      <c r="G182" s="1">
        <f t="shared" si="17"/>
        <v>7</v>
      </c>
      <c r="H182" s="1"/>
      <c r="I182" s="1">
        <v>180</v>
      </c>
      <c r="J182" s="1"/>
      <c r="K182" s="1"/>
      <c r="L182" s="1"/>
      <c r="M182" s="1"/>
      <c r="N182" s="1"/>
      <c r="O182" s="1">
        <v>5.2</v>
      </c>
      <c r="P182" s="1">
        <v>8.1999999999999993</v>
      </c>
      <c r="Q182" s="1"/>
      <c r="R182" s="1">
        <v>1.4</v>
      </c>
      <c r="S182" s="1">
        <v>0.3</v>
      </c>
      <c r="T182" s="1">
        <v>0.3</v>
      </c>
      <c r="U182" s="1">
        <v>3.8</v>
      </c>
      <c r="V182" s="1">
        <v>3.6</v>
      </c>
      <c r="W182" s="1">
        <v>7.2</v>
      </c>
      <c r="X182" s="1">
        <v>5.4</v>
      </c>
      <c r="Y182" s="1">
        <v>4.5999999999999996</v>
      </c>
      <c r="Z182" s="1">
        <v>0</v>
      </c>
      <c r="AA182" s="1"/>
      <c r="AB182" s="1">
        <v>0.1</v>
      </c>
      <c r="AC182" s="1">
        <v>0.1</v>
      </c>
      <c r="AD182" s="1">
        <v>0</v>
      </c>
      <c r="AE182" s="1">
        <v>0</v>
      </c>
      <c r="AF182" s="1">
        <v>16</v>
      </c>
      <c r="AG182" s="1">
        <v>7.8</v>
      </c>
      <c r="AH182" s="1">
        <v>14.6</v>
      </c>
      <c r="AI182" s="1">
        <v>3.1</v>
      </c>
      <c r="AJ182" s="1">
        <v>10.8</v>
      </c>
      <c r="AK182" s="1">
        <v>4.9000000000000004</v>
      </c>
      <c r="AL182" s="1">
        <v>3</v>
      </c>
      <c r="AM182" s="1">
        <v>0.1</v>
      </c>
      <c r="AN182" s="1">
        <v>2.8</v>
      </c>
      <c r="AO182" s="1">
        <v>1.4</v>
      </c>
      <c r="AP182" s="1">
        <v>3</v>
      </c>
      <c r="AQ182" s="1">
        <v>0.20833333333333201</v>
      </c>
      <c r="AR182" s="1">
        <v>0.8</v>
      </c>
      <c r="AS182" s="1">
        <v>1.1428571428571399</v>
      </c>
      <c r="AT182" s="1" t="s">
        <v>797</v>
      </c>
      <c r="AU182" s="1" t="s">
        <v>98</v>
      </c>
      <c r="AV182" s="1" t="s">
        <v>485</v>
      </c>
      <c r="AW182" s="1" t="s">
        <v>100</v>
      </c>
      <c r="AX182" s="1" t="s">
        <v>183</v>
      </c>
      <c r="AY182" s="1" t="s">
        <v>96</v>
      </c>
      <c r="AZ182" s="1">
        <v>10</v>
      </c>
      <c r="BA182" s="1">
        <v>7</v>
      </c>
      <c r="BB182" s="1">
        <v>3</v>
      </c>
      <c r="BC182" s="1"/>
      <c r="BD182" s="1"/>
      <c r="BE182" s="1"/>
      <c r="BF182" s="1"/>
      <c r="BG182" s="1"/>
      <c r="BH182" s="1"/>
      <c r="BS182" t="s">
        <v>1400</v>
      </c>
      <c r="BT182" t="s">
        <v>1401</v>
      </c>
      <c r="BU182" t="s">
        <v>1402</v>
      </c>
      <c r="BW182">
        <v>4.3419999999999996</v>
      </c>
      <c r="BX182">
        <v>3.8919999999999999</v>
      </c>
      <c r="BY182">
        <v>3.6669999999999998</v>
      </c>
      <c r="BZ182">
        <v>8.891</v>
      </c>
      <c r="CA182">
        <v>7.2510000000000003</v>
      </c>
      <c r="CB182">
        <v>5.6929999999999996</v>
      </c>
      <c r="CC182">
        <v>5.0810000000000004</v>
      </c>
      <c r="CD182">
        <v>4.7480000000000002</v>
      </c>
      <c r="CE182">
        <v>4.431</v>
      </c>
      <c r="CF182" t="s">
        <v>1567</v>
      </c>
      <c r="CG182">
        <v>-1.64</v>
      </c>
      <c r="CH182">
        <v>5.2240000000000002</v>
      </c>
      <c r="CI182">
        <v>0</v>
      </c>
      <c r="CJ182">
        <v>10</v>
      </c>
      <c r="CK182">
        <v>10</v>
      </c>
    </row>
    <row r="183" spans="1:111" x14ac:dyDescent="0.2">
      <c r="A183" s="3">
        <v>1</v>
      </c>
      <c r="B183" s="3" t="s">
        <v>1022</v>
      </c>
      <c r="C183" s="3" t="s">
        <v>1023</v>
      </c>
      <c r="D183" s="1"/>
      <c r="E183" s="1">
        <f t="shared" si="15"/>
        <v>6.9693205243716987</v>
      </c>
      <c r="F183" s="1">
        <f t="shared" si="16"/>
        <v>4.8571428571428603</v>
      </c>
      <c r="G183" s="1">
        <f t="shared" si="17"/>
        <v>10</v>
      </c>
      <c r="H183" s="1"/>
      <c r="I183" s="1">
        <v>181</v>
      </c>
      <c r="J183" s="1"/>
      <c r="K183" s="1"/>
      <c r="L183" s="1"/>
      <c r="M183" s="1"/>
      <c r="N183" s="1"/>
      <c r="O183" s="1">
        <v>6.3</v>
      </c>
      <c r="P183" s="1">
        <v>5</v>
      </c>
      <c r="Q183" s="1">
        <v>5.8</v>
      </c>
      <c r="R183" s="1"/>
      <c r="S183" s="1">
        <v>0</v>
      </c>
      <c r="T183" s="1">
        <v>0</v>
      </c>
      <c r="U183" s="1">
        <v>4.3</v>
      </c>
      <c r="V183" s="1">
        <v>6.1</v>
      </c>
      <c r="W183" s="1">
        <v>1.8</v>
      </c>
      <c r="X183" s="1">
        <v>4</v>
      </c>
      <c r="Y183" s="1">
        <v>4.0999999999999996</v>
      </c>
      <c r="Z183" s="1">
        <v>3.8</v>
      </c>
      <c r="AA183" s="1"/>
      <c r="AB183" s="1">
        <v>6.2</v>
      </c>
      <c r="AC183" s="1">
        <v>5</v>
      </c>
      <c r="AD183" s="1">
        <v>0</v>
      </c>
      <c r="AE183" s="1">
        <v>0</v>
      </c>
      <c r="AF183" s="1">
        <v>4</v>
      </c>
      <c r="AG183" s="1">
        <v>1.1000000000000001</v>
      </c>
      <c r="AH183" s="1">
        <v>24.5</v>
      </c>
      <c r="AI183" s="1">
        <v>9.6999999999999993</v>
      </c>
      <c r="AJ183" s="1">
        <v>6.5</v>
      </c>
      <c r="AK183" s="1">
        <v>2.5</v>
      </c>
      <c r="AL183" s="1">
        <v>5</v>
      </c>
      <c r="AM183" s="1">
        <v>1.3</v>
      </c>
      <c r="AN183" s="1">
        <v>4.5999999999999996</v>
      </c>
      <c r="AO183" s="1">
        <v>4.8</v>
      </c>
      <c r="AP183" s="1">
        <v>4.5</v>
      </c>
      <c r="AQ183" s="1">
        <v>6.4583333333333304</v>
      </c>
      <c r="AR183" s="1">
        <v>3.4</v>
      </c>
      <c r="AS183" s="1">
        <v>4.8571428571428603</v>
      </c>
      <c r="AT183" s="1" t="s">
        <v>178</v>
      </c>
      <c r="AU183" s="1" t="s">
        <v>100</v>
      </c>
      <c r="AV183" s="1" t="s">
        <v>105</v>
      </c>
      <c r="AW183" s="1"/>
      <c r="AX183" s="1" t="s">
        <v>137</v>
      </c>
      <c r="AY183" s="1" t="s">
        <v>100</v>
      </c>
      <c r="AZ183" s="1">
        <v>7</v>
      </c>
      <c r="BA183" s="1"/>
      <c r="BB183" s="1">
        <v>0</v>
      </c>
      <c r="BC183" s="1"/>
      <c r="BD183" s="1"/>
      <c r="BE183" s="1"/>
      <c r="BF183" s="1"/>
      <c r="BG183" s="1"/>
      <c r="BH183" s="1"/>
      <c r="BS183" t="s">
        <v>1400</v>
      </c>
      <c r="BT183" t="s">
        <v>1401</v>
      </c>
      <c r="BU183" t="s">
        <v>1402</v>
      </c>
      <c r="CF183" t="s">
        <v>103</v>
      </c>
      <c r="CM183">
        <v>37.4142875671387</v>
      </c>
      <c r="CT183">
        <v>43.605587005615199</v>
      </c>
      <c r="CU183">
        <v>40.609039306640597</v>
      </c>
      <c r="CV183">
        <v>15.7455892562866</v>
      </c>
      <c r="CW183">
        <v>1.31508469581604</v>
      </c>
      <c r="CX183">
        <v>1.9665546417236299</v>
      </c>
      <c r="DC183">
        <v>6.29823570251465</v>
      </c>
      <c r="DD183">
        <v>10</v>
      </c>
      <c r="DF183">
        <v>8.1491178512573192</v>
      </c>
      <c r="DG183">
        <v>10</v>
      </c>
    </row>
    <row r="184" spans="1:111" x14ac:dyDescent="0.2">
      <c r="A184" s="3">
        <v>1</v>
      </c>
      <c r="B184" s="3" t="s">
        <v>1026</v>
      </c>
      <c r="C184" s="3" t="s">
        <v>1027</v>
      </c>
      <c r="D184" s="1"/>
      <c r="E184" s="1">
        <f t="shared" si="15"/>
        <v>3.8571428571428599</v>
      </c>
      <c r="F184" s="1">
        <f t="shared" si="16"/>
        <v>3.8571428571428599</v>
      </c>
      <c r="G184" s="1">
        <f t="shared" si="17"/>
        <v>0</v>
      </c>
      <c r="H184" s="1"/>
      <c r="I184" s="1">
        <v>182</v>
      </c>
      <c r="J184" s="1"/>
      <c r="K184" s="1"/>
      <c r="L184" s="1"/>
      <c r="M184" s="1"/>
      <c r="N184" s="1"/>
      <c r="O184" s="1">
        <v>8.1999999999999993</v>
      </c>
      <c r="P184" s="1">
        <v>5.2</v>
      </c>
      <c r="Q184" s="1"/>
      <c r="R184" s="1"/>
      <c r="S184" s="1">
        <v>0</v>
      </c>
      <c r="T184" s="1">
        <v>0</v>
      </c>
      <c r="U184" s="1">
        <v>4.5</v>
      </c>
      <c r="V184" s="1">
        <v>5.3</v>
      </c>
      <c r="W184" s="1">
        <v>10</v>
      </c>
      <c r="X184" s="1">
        <v>7.7</v>
      </c>
      <c r="Y184" s="1">
        <v>6.1</v>
      </c>
      <c r="Z184" s="1">
        <v>3.5</v>
      </c>
      <c r="AA184" s="1"/>
      <c r="AB184" s="1"/>
      <c r="AC184" s="1">
        <v>3.5</v>
      </c>
      <c r="AD184" s="1">
        <v>0</v>
      </c>
      <c r="AE184" s="1">
        <v>0</v>
      </c>
      <c r="AF184" s="1"/>
      <c r="AG184" s="1"/>
      <c r="AH184" s="1">
        <v>23.2</v>
      </c>
      <c r="AI184" s="1">
        <v>8.8000000000000007</v>
      </c>
      <c r="AJ184" s="1">
        <v>11.6</v>
      </c>
      <c r="AK184" s="1">
        <v>5.3</v>
      </c>
      <c r="AL184" s="1">
        <v>4</v>
      </c>
      <c r="AM184" s="1">
        <v>0</v>
      </c>
      <c r="AN184" s="1">
        <v>4.5</v>
      </c>
      <c r="AO184" s="1">
        <v>4</v>
      </c>
      <c r="AP184" s="1">
        <v>5</v>
      </c>
      <c r="AQ184" s="1">
        <v>8.5416666666666696</v>
      </c>
      <c r="AR184" s="1">
        <v>2.7</v>
      </c>
      <c r="AS184" s="1">
        <v>3.8571428571428599</v>
      </c>
      <c r="AT184" s="1" t="s">
        <v>364</v>
      </c>
      <c r="AU184" s="1" t="s">
        <v>98</v>
      </c>
      <c r="AV184" s="1" t="s">
        <v>105</v>
      </c>
      <c r="AW184" s="1"/>
      <c r="AX184" s="1" t="s">
        <v>105</v>
      </c>
      <c r="AY184" s="1"/>
      <c r="AZ184" s="1">
        <v>10</v>
      </c>
      <c r="BA184" s="1"/>
      <c r="BB184" s="1"/>
      <c r="BC184" s="1"/>
      <c r="BD184" s="1"/>
      <c r="BE184" s="1"/>
      <c r="BF184" s="1"/>
      <c r="BG184" s="1"/>
      <c r="BH184" s="1"/>
      <c r="BS184" t="s">
        <v>1400</v>
      </c>
      <c r="BT184" t="s">
        <v>1401</v>
      </c>
      <c r="BU184" t="s">
        <v>1402</v>
      </c>
      <c r="CF184" t="s">
        <v>103</v>
      </c>
    </row>
    <row r="185" spans="1:111" x14ac:dyDescent="0.2">
      <c r="A185" s="3">
        <v>1</v>
      </c>
      <c r="B185" s="3" t="s">
        <v>1029</v>
      </c>
      <c r="C185" s="3" t="s">
        <v>1030</v>
      </c>
      <c r="D185" s="1"/>
      <c r="E185" s="1">
        <f t="shared" si="15"/>
        <v>4.71428571428571</v>
      </c>
      <c r="F185" s="1">
        <f t="shared" si="16"/>
        <v>4.71428571428571</v>
      </c>
      <c r="G185" s="1">
        <f t="shared" si="17"/>
        <v>0</v>
      </c>
      <c r="H185" s="1"/>
      <c r="I185" s="1">
        <v>183</v>
      </c>
      <c r="J185" s="1"/>
      <c r="K185" s="1"/>
      <c r="L185" s="1"/>
      <c r="M185" s="1"/>
      <c r="N185" s="1"/>
      <c r="O185" s="1">
        <v>5</v>
      </c>
      <c r="P185" s="1">
        <v>8.8000000000000007</v>
      </c>
      <c r="Q185" s="1">
        <v>3.9</v>
      </c>
      <c r="R185" s="1"/>
      <c r="S185" s="1">
        <v>0.2</v>
      </c>
      <c r="T185" s="1">
        <v>0.2</v>
      </c>
      <c r="U185" s="1">
        <v>4.5</v>
      </c>
      <c r="V185" s="1">
        <v>5.9</v>
      </c>
      <c r="W185" s="1">
        <v>0.7</v>
      </c>
      <c r="X185" s="1">
        <v>3.3</v>
      </c>
      <c r="Y185" s="1">
        <v>3.9</v>
      </c>
      <c r="Z185" s="1">
        <v>2.8</v>
      </c>
      <c r="AA185" s="1"/>
      <c r="AB185" s="1">
        <v>1</v>
      </c>
      <c r="AC185" s="1">
        <v>1.9</v>
      </c>
      <c r="AD185" s="1">
        <v>0</v>
      </c>
      <c r="AE185" s="1">
        <v>0</v>
      </c>
      <c r="AF185" s="1">
        <v>7</v>
      </c>
      <c r="AG185" s="1">
        <v>2.8</v>
      </c>
      <c r="AH185" s="1">
        <v>18.100000000000001</v>
      </c>
      <c r="AI185" s="1">
        <v>5.4</v>
      </c>
      <c r="AJ185" s="1">
        <v>7</v>
      </c>
      <c r="AK185" s="1">
        <v>2.8</v>
      </c>
      <c r="AL185" s="1">
        <v>4</v>
      </c>
      <c r="AM185" s="1">
        <v>0.8</v>
      </c>
      <c r="AN185" s="1">
        <v>3.3</v>
      </c>
      <c r="AO185" s="1">
        <v>2.6</v>
      </c>
      <c r="AP185" s="1">
        <v>3.2</v>
      </c>
      <c r="AQ185" s="1">
        <v>1.0416666666666701</v>
      </c>
      <c r="AR185" s="1">
        <v>3.3</v>
      </c>
      <c r="AS185" s="1">
        <v>4.71428571428571</v>
      </c>
      <c r="AT185" s="1" t="s">
        <v>664</v>
      </c>
      <c r="AU185" s="1" t="s">
        <v>98</v>
      </c>
      <c r="AV185" s="1" t="s">
        <v>105</v>
      </c>
      <c r="AW185" s="1"/>
      <c r="AX185" s="1" t="s">
        <v>102</v>
      </c>
      <c r="AY185" s="1" t="s">
        <v>98</v>
      </c>
      <c r="AZ185" s="1">
        <v>10</v>
      </c>
      <c r="BA185" s="1"/>
      <c r="BB185" s="1">
        <v>7</v>
      </c>
      <c r="BC185" s="1"/>
      <c r="BD185" s="1"/>
      <c r="BE185" s="1"/>
      <c r="BF185" s="1"/>
      <c r="BG185" s="1"/>
      <c r="BH185" s="1"/>
      <c r="BS185" t="s">
        <v>1400</v>
      </c>
      <c r="BT185" t="s">
        <v>1401</v>
      </c>
      <c r="BU185" t="s">
        <v>1402</v>
      </c>
      <c r="BW185">
        <v>27.885999999999999</v>
      </c>
      <c r="BX185">
        <v>35.542999999999999</v>
      </c>
      <c r="CF185" t="s">
        <v>1431</v>
      </c>
    </row>
    <row r="186" spans="1:111" x14ac:dyDescent="0.2">
      <c r="A186" s="3">
        <v>1</v>
      </c>
      <c r="B186" s="3" t="s">
        <v>1033</v>
      </c>
      <c r="C186" s="3" t="s">
        <v>1034</v>
      </c>
      <c r="D186" s="1"/>
      <c r="E186" s="1">
        <f t="shared" si="15"/>
        <v>5.5832122747392665</v>
      </c>
      <c r="F186" s="1">
        <f t="shared" si="16"/>
        <v>4.8571428571428603</v>
      </c>
      <c r="G186" s="1">
        <f t="shared" si="17"/>
        <v>6.4178180921645396</v>
      </c>
      <c r="H186" s="1"/>
      <c r="I186" s="1">
        <v>184</v>
      </c>
      <c r="J186" s="1">
        <v>34.857932650000002</v>
      </c>
      <c r="K186" s="1">
        <v>22.524193069999999</v>
      </c>
      <c r="L186" s="1">
        <v>4</v>
      </c>
      <c r="M186" s="1">
        <v>4</v>
      </c>
      <c r="N186" s="1">
        <v>4</v>
      </c>
      <c r="O186" s="1">
        <v>8.3000000000000007</v>
      </c>
      <c r="P186" s="1">
        <v>3.6</v>
      </c>
      <c r="Q186" s="1">
        <v>1.6</v>
      </c>
      <c r="R186" s="1">
        <v>4.5</v>
      </c>
      <c r="S186" s="1">
        <v>0</v>
      </c>
      <c r="T186" s="1">
        <v>0</v>
      </c>
      <c r="U186" s="1">
        <v>3.6</v>
      </c>
      <c r="V186" s="1">
        <v>6.8</v>
      </c>
      <c r="W186" s="1">
        <v>2.4</v>
      </c>
      <c r="X186" s="1">
        <v>4.5999999999999996</v>
      </c>
      <c r="Y186" s="1">
        <v>4.0999999999999996</v>
      </c>
      <c r="Z186" s="1">
        <v>4.0999999999999996</v>
      </c>
      <c r="AA186" s="1">
        <v>4.4000000000000004</v>
      </c>
      <c r="AB186" s="1">
        <v>0.2</v>
      </c>
      <c r="AC186" s="1">
        <v>2.9</v>
      </c>
      <c r="AD186" s="1">
        <v>0</v>
      </c>
      <c r="AE186" s="1">
        <v>0</v>
      </c>
      <c r="AF186" s="1">
        <v>7</v>
      </c>
      <c r="AG186" s="1">
        <v>2.8</v>
      </c>
      <c r="AH186" s="1">
        <v>17.100000000000001</v>
      </c>
      <c r="AI186" s="1">
        <v>4.7</v>
      </c>
      <c r="AJ186" s="1">
        <v>6</v>
      </c>
      <c r="AK186" s="1">
        <v>2.2000000000000002</v>
      </c>
      <c r="AL186" s="1">
        <v>4</v>
      </c>
      <c r="AM186" s="1">
        <v>2.2999999999999998</v>
      </c>
      <c r="AN186" s="1">
        <v>3.3</v>
      </c>
      <c r="AO186" s="1">
        <v>3.4</v>
      </c>
      <c r="AP186" s="1">
        <v>3.8</v>
      </c>
      <c r="AQ186" s="1">
        <v>3.5416666666666701</v>
      </c>
      <c r="AR186" s="1">
        <v>3.4</v>
      </c>
      <c r="AS186" s="1">
        <v>4.8571428571428603</v>
      </c>
      <c r="AT186" s="1" t="s">
        <v>306</v>
      </c>
      <c r="AU186" s="1" t="s">
        <v>96</v>
      </c>
      <c r="AV186" s="1" t="s">
        <v>405</v>
      </c>
      <c r="AW186" s="1" t="s">
        <v>96</v>
      </c>
      <c r="AX186" s="1" t="s">
        <v>137</v>
      </c>
      <c r="AY186" s="1" t="s">
        <v>100</v>
      </c>
      <c r="AZ186" s="1">
        <v>0</v>
      </c>
      <c r="BA186" s="1">
        <v>0</v>
      </c>
      <c r="BB186" s="1">
        <v>0</v>
      </c>
      <c r="BC186" s="1"/>
      <c r="BD186" s="1"/>
      <c r="BE186" s="1"/>
      <c r="BF186" s="1"/>
      <c r="BG186" s="1"/>
      <c r="BH186" s="1"/>
      <c r="BS186" t="s">
        <v>1400</v>
      </c>
      <c r="BT186" t="s">
        <v>1401</v>
      </c>
      <c r="BU186" t="s">
        <v>1402</v>
      </c>
      <c r="BW186">
        <v>2.21</v>
      </c>
      <c r="BX186">
        <v>2.21</v>
      </c>
      <c r="BY186">
        <v>2.21</v>
      </c>
      <c r="BZ186">
        <v>3.3</v>
      </c>
      <c r="CA186">
        <v>2.7</v>
      </c>
      <c r="CB186">
        <v>2.4</v>
      </c>
      <c r="CC186">
        <v>2.2999999999999998</v>
      </c>
      <c r="CD186">
        <v>2.2999999999999998</v>
      </c>
      <c r="CE186">
        <v>2.2999999999999998</v>
      </c>
      <c r="CF186" t="s">
        <v>1568</v>
      </c>
      <c r="CG186">
        <v>-0.6</v>
      </c>
      <c r="CH186">
        <v>1.0900000000000001</v>
      </c>
      <c r="CI186">
        <v>0</v>
      </c>
      <c r="CJ186">
        <v>3.6333333333333302</v>
      </c>
      <c r="CK186">
        <v>3.6333333333333302</v>
      </c>
      <c r="CL186">
        <v>0</v>
      </c>
      <c r="CM186">
        <v>67.091033935546903</v>
      </c>
      <c r="CN186">
        <v>3.3630290031433101</v>
      </c>
      <c r="CQ186">
        <v>10.371543884277299</v>
      </c>
      <c r="CS186">
        <v>6.0055999755859402</v>
      </c>
      <c r="CU186">
        <v>69.527992248535199</v>
      </c>
      <c r="CW186">
        <v>17.657453536987301</v>
      </c>
      <c r="DA186">
        <v>0.67260580062866104</v>
      </c>
      <c r="DD186">
        <v>8.3123395284016901</v>
      </c>
      <c r="DF186">
        <v>4.49247266451518</v>
      </c>
      <c r="DG186">
        <v>6.4178180921645396</v>
      </c>
    </row>
    <row r="187" spans="1:111" x14ac:dyDescent="0.2">
      <c r="A187" s="3">
        <v>1</v>
      </c>
      <c r="B187" s="3" t="s">
        <v>1035</v>
      </c>
      <c r="C187" s="3" t="s">
        <v>1036</v>
      </c>
      <c r="D187" s="1"/>
      <c r="E187" s="1">
        <f t="shared" si="15"/>
        <v>7.8571428571428603</v>
      </c>
      <c r="F187" s="1">
        <f t="shared" si="16"/>
        <v>7.8571428571428603</v>
      </c>
      <c r="G187" s="1">
        <f t="shared" si="17"/>
        <v>0</v>
      </c>
      <c r="H187" s="1"/>
      <c r="I187" s="1">
        <v>185</v>
      </c>
      <c r="J187" s="1"/>
      <c r="K187" s="1"/>
      <c r="L187" s="1"/>
      <c r="M187" s="1"/>
      <c r="N187" s="1"/>
      <c r="O187" s="1">
        <v>4.5999999999999996</v>
      </c>
      <c r="P187" s="1">
        <v>2.5</v>
      </c>
      <c r="Q187" s="1"/>
      <c r="R187" s="1"/>
      <c r="S187" s="1">
        <v>0</v>
      </c>
      <c r="T187" s="1">
        <v>0</v>
      </c>
      <c r="U187" s="1">
        <v>2.4</v>
      </c>
      <c r="V187" s="1">
        <v>0.4</v>
      </c>
      <c r="W187" s="1">
        <v>0.7</v>
      </c>
      <c r="X187" s="1">
        <v>0.6</v>
      </c>
      <c r="Y187" s="1">
        <v>1.5</v>
      </c>
      <c r="Z187" s="1">
        <v>5.9</v>
      </c>
      <c r="AA187" s="1">
        <v>7.9</v>
      </c>
      <c r="AB187" s="1">
        <v>1.3</v>
      </c>
      <c r="AC187" s="1">
        <v>5</v>
      </c>
      <c r="AD187" s="1">
        <v>0</v>
      </c>
      <c r="AE187" s="1">
        <v>0</v>
      </c>
      <c r="AF187" s="1">
        <v>4</v>
      </c>
      <c r="AG187" s="1">
        <v>1.1000000000000001</v>
      </c>
      <c r="AH187" s="1">
        <v>23.3</v>
      </c>
      <c r="AI187" s="1">
        <v>8.9</v>
      </c>
      <c r="AJ187" s="1">
        <v>11.9</v>
      </c>
      <c r="AK187" s="1">
        <v>5.5</v>
      </c>
      <c r="AL187" s="1">
        <v>5</v>
      </c>
      <c r="AM187" s="1">
        <v>0.9</v>
      </c>
      <c r="AN187" s="1">
        <v>5.0999999999999996</v>
      </c>
      <c r="AO187" s="1">
        <v>5.0999999999999996</v>
      </c>
      <c r="AP187" s="1">
        <v>3.3</v>
      </c>
      <c r="AQ187" s="1">
        <v>1.4583333333333299</v>
      </c>
      <c r="AR187" s="1">
        <v>5.5</v>
      </c>
      <c r="AS187" s="1">
        <v>7.8571428571428603</v>
      </c>
      <c r="AT187" s="1" t="s">
        <v>205</v>
      </c>
      <c r="AU187" s="1" t="s">
        <v>98</v>
      </c>
      <c r="AV187" s="1" t="s">
        <v>105</v>
      </c>
      <c r="AW187" s="1"/>
      <c r="AX187" s="1" t="s">
        <v>102</v>
      </c>
      <c r="AY187" s="1" t="s">
        <v>98</v>
      </c>
      <c r="AZ187" s="1">
        <v>10</v>
      </c>
      <c r="BA187" s="1"/>
      <c r="BB187" s="1">
        <v>7</v>
      </c>
      <c r="BC187" s="1"/>
      <c r="BD187" s="1"/>
      <c r="BE187" s="1"/>
      <c r="BF187" s="1"/>
      <c r="BG187" s="1"/>
      <c r="BH187" s="1"/>
      <c r="BS187" t="s">
        <v>1400</v>
      </c>
      <c r="BT187" t="s">
        <v>1401</v>
      </c>
      <c r="BU187" t="s">
        <v>1402</v>
      </c>
      <c r="CF187" t="s">
        <v>103</v>
      </c>
    </row>
    <row r="188" spans="1:111" x14ac:dyDescent="0.2">
      <c r="A188" s="3">
        <v>1</v>
      </c>
      <c r="B188" s="3" t="s">
        <v>1037</v>
      </c>
      <c r="C188" s="3" t="s">
        <v>1038</v>
      </c>
      <c r="D188" s="1"/>
      <c r="E188" s="1">
        <f t="shared" si="15"/>
        <v>7.28571428571429</v>
      </c>
      <c r="F188" s="1">
        <f t="shared" si="16"/>
        <v>7.28571428571429</v>
      </c>
      <c r="G188" s="1">
        <f t="shared" si="17"/>
        <v>0</v>
      </c>
      <c r="H188" s="1"/>
      <c r="I188" s="1">
        <v>186</v>
      </c>
      <c r="J188" s="1">
        <v>33.638067669999998</v>
      </c>
      <c r="K188" s="1">
        <v>18.651040160000001</v>
      </c>
      <c r="L188" s="1">
        <v>3.9</v>
      </c>
      <c r="M188" s="1">
        <v>3.2</v>
      </c>
      <c r="N188" s="1">
        <v>3.9</v>
      </c>
      <c r="O188" s="1">
        <v>6.1</v>
      </c>
      <c r="P188" s="1">
        <v>1.8</v>
      </c>
      <c r="Q188" s="1"/>
      <c r="R188" s="1"/>
      <c r="S188" s="1">
        <v>0</v>
      </c>
      <c r="T188" s="1">
        <v>0</v>
      </c>
      <c r="U188" s="1">
        <v>2.6</v>
      </c>
      <c r="V188" s="1">
        <v>6.1</v>
      </c>
      <c r="W188" s="1">
        <v>5.6</v>
      </c>
      <c r="X188" s="1">
        <v>5.9</v>
      </c>
      <c r="Y188" s="1">
        <v>4.2</v>
      </c>
      <c r="Z188" s="1">
        <v>3.7</v>
      </c>
      <c r="AA188" s="1"/>
      <c r="AB188" s="1">
        <v>0.1</v>
      </c>
      <c r="AC188" s="1">
        <v>1.9</v>
      </c>
      <c r="AD188" s="1">
        <v>0</v>
      </c>
      <c r="AE188" s="1">
        <v>0</v>
      </c>
      <c r="AF188" s="1">
        <v>5</v>
      </c>
      <c r="AG188" s="1">
        <v>1.7</v>
      </c>
      <c r="AH188" s="1">
        <v>20.6</v>
      </c>
      <c r="AI188" s="1">
        <v>7.1</v>
      </c>
      <c r="AJ188" s="1">
        <v>9.1999999999999993</v>
      </c>
      <c r="AK188" s="1">
        <v>4</v>
      </c>
      <c r="AL188" s="1">
        <v>4</v>
      </c>
      <c r="AM188" s="1">
        <v>0.3</v>
      </c>
      <c r="AN188" s="1">
        <v>3.9</v>
      </c>
      <c r="AO188" s="1">
        <v>3.2</v>
      </c>
      <c r="AP188" s="1">
        <v>3.7</v>
      </c>
      <c r="AQ188" s="1">
        <v>3.125</v>
      </c>
      <c r="AR188" s="1">
        <v>5.0999999999999996</v>
      </c>
      <c r="AS188" s="1">
        <v>7.28571428571429</v>
      </c>
      <c r="AT188" s="1" t="s">
        <v>104</v>
      </c>
      <c r="AU188" s="1" t="s">
        <v>98</v>
      </c>
      <c r="AV188" s="1" t="s">
        <v>105</v>
      </c>
      <c r="AW188" s="1"/>
      <c r="AX188" s="1" t="s">
        <v>105</v>
      </c>
      <c r="AY188" s="1"/>
      <c r="AZ188" s="1">
        <v>10</v>
      </c>
      <c r="BA188" s="1"/>
      <c r="BB188" s="1"/>
      <c r="BC188" s="1"/>
      <c r="BD188" s="1"/>
      <c r="BE188" s="1"/>
      <c r="BF188" s="1"/>
      <c r="BG188" s="1"/>
      <c r="BH188" s="1"/>
      <c r="BS188" t="s">
        <v>1400</v>
      </c>
      <c r="BT188" t="s">
        <v>1401</v>
      </c>
      <c r="BU188" t="s">
        <v>1402</v>
      </c>
      <c r="CF188" t="s">
        <v>103</v>
      </c>
    </row>
    <row r="189" spans="1:111" x14ac:dyDescent="0.2">
      <c r="A189" s="3">
        <v>1</v>
      </c>
      <c r="B189" s="3" t="s">
        <v>1039</v>
      </c>
      <c r="C189" s="3" t="s">
        <v>1040</v>
      </c>
      <c r="D189" s="1"/>
      <c r="E189" s="1">
        <f t="shared" si="15"/>
        <v>8.7633939202202544</v>
      </c>
      <c r="F189" s="1">
        <f t="shared" si="16"/>
        <v>10</v>
      </c>
      <c r="G189" s="1">
        <f t="shared" si="17"/>
        <v>7.6797073000953304</v>
      </c>
      <c r="H189" s="1"/>
      <c r="I189" s="1">
        <v>187</v>
      </c>
      <c r="J189" s="1"/>
      <c r="K189" s="1"/>
      <c r="L189" s="1"/>
      <c r="M189" s="1"/>
      <c r="N189" s="1"/>
      <c r="O189" s="1">
        <v>5.8</v>
      </c>
      <c r="P189" s="1">
        <v>3.7</v>
      </c>
      <c r="Q189" s="1">
        <v>6.3</v>
      </c>
      <c r="R189" s="1">
        <v>10</v>
      </c>
      <c r="S189" s="1">
        <v>14.6</v>
      </c>
      <c r="T189" s="1">
        <v>10</v>
      </c>
      <c r="U189" s="1">
        <v>7.2</v>
      </c>
      <c r="V189" s="1">
        <v>2.5</v>
      </c>
      <c r="W189" s="1">
        <v>0.3</v>
      </c>
      <c r="X189" s="1">
        <v>1.4</v>
      </c>
      <c r="Y189" s="1">
        <v>4.3</v>
      </c>
      <c r="Z189" s="1">
        <v>9</v>
      </c>
      <c r="AA189" s="1">
        <v>8.5</v>
      </c>
      <c r="AB189" s="1">
        <v>1.9</v>
      </c>
      <c r="AC189" s="1">
        <v>6.5</v>
      </c>
      <c r="AD189" s="1">
        <v>54.5</v>
      </c>
      <c r="AE189" s="1">
        <v>10</v>
      </c>
      <c r="AF189" s="1">
        <v>3</v>
      </c>
      <c r="AG189" s="1">
        <v>0.6</v>
      </c>
      <c r="AH189" s="1">
        <v>30.6</v>
      </c>
      <c r="AI189" s="1">
        <v>10</v>
      </c>
      <c r="AJ189" s="1">
        <v>5.4</v>
      </c>
      <c r="AK189" s="1">
        <v>1.9</v>
      </c>
      <c r="AL189" s="1">
        <v>6</v>
      </c>
      <c r="AM189" s="1">
        <v>0.9</v>
      </c>
      <c r="AN189" s="1">
        <v>4.7</v>
      </c>
      <c r="AO189" s="1">
        <v>5.6</v>
      </c>
      <c r="AP189" s="1">
        <v>4.9000000000000004</v>
      </c>
      <c r="AQ189" s="1">
        <v>8.125</v>
      </c>
      <c r="AR189" s="1">
        <v>7.3</v>
      </c>
      <c r="AS189" s="1">
        <v>10</v>
      </c>
      <c r="AT189" s="1" t="s">
        <v>104</v>
      </c>
      <c r="AU189" s="1" t="s">
        <v>98</v>
      </c>
      <c r="AV189" s="1" t="s">
        <v>105</v>
      </c>
      <c r="AW189" s="1"/>
      <c r="AX189" s="1" t="s">
        <v>105</v>
      </c>
      <c r="AY189" s="1"/>
      <c r="AZ189" s="1">
        <v>10</v>
      </c>
      <c r="BA189" s="1"/>
      <c r="BB189" s="1"/>
      <c r="BC189" s="1"/>
      <c r="BD189" s="1"/>
      <c r="BE189" s="1"/>
      <c r="BF189" s="1"/>
      <c r="BG189" s="1"/>
      <c r="BH189" s="1"/>
      <c r="BS189" t="s">
        <v>1400</v>
      </c>
      <c r="BT189" t="s">
        <v>1401</v>
      </c>
      <c r="BU189" t="s">
        <v>1402</v>
      </c>
      <c r="CF189" t="s">
        <v>103</v>
      </c>
      <c r="CM189">
        <v>30.384067535400401</v>
      </c>
      <c r="CN189">
        <v>30.4998455047607</v>
      </c>
      <c r="CO189">
        <v>99.945167541503906</v>
      </c>
      <c r="CY189">
        <v>63.530685424804702</v>
      </c>
      <c r="DA189">
        <v>6.0999691009521504</v>
      </c>
      <c r="DB189">
        <v>2.7416229248046899E-2</v>
      </c>
      <c r="DE189">
        <v>10</v>
      </c>
      <c r="DF189">
        <v>5.3757951100667301</v>
      </c>
      <c r="DG189">
        <v>7.6797073000953304</v>
      </c>
    </row>
    <row r="190" spans="1:111" x14ac:dyDescent="0.2">
      <c r="A190" s="3">
        <v>1</v>
      </c>
      <c r="B190" s="3" t="s">
        <v>1043</v>
      </c>
      <c r="C190" s="3" t="s">
        <v>1044</v>
      </c>
      <c r="D190" s="1"/>
      <c r="E190" s="1">
        <f t="shared" si="15"/>
        <v>7.8376381281972565</v>
      </c>
      <c r="F190" s="1">
        <f t="shared" si="16"/>
        <v>6.1428571428571397</v>
      </c>
      <c r="G190" s="1">
        <f t="shared" si="17"/>
        <v>10</v>
      </c>
      <c r="H190" s="1"/>
      <c r="I190" s="1">
        <v>188</v>
      </c>
      <c r="J190" s="1">
        <v>79.847536640000001</v>
      </c>
      <c r="K190" s="1">
        <v>34.201898489999998</v>
      </c>
      <c r="L190" s="1">
        <v>9.5</v>
      </c>
      <c r="M190" s="1">
        <v>6.4</v>
      </c>
      <c r="N190" s="1">
        <v>9.5</v>
      </c>
      <c r="O190" s="1">
        <v>5.6</v>
      </c>
      <c r="P190" s="1">
        <v>6.6</v>
      </c>
      <c r="Q190" s="1">
        <v>2.9</v>
      </c>
      <c r="R190" s="1">
        <v>3.5</v>
      </c>
      <c r="S190" s="1">
        <v>0.5</v>
      </c>
      <c r="T190" s="1">
        <v>0.5</v>
      </c>
      <c r="U190" s="1">
        <v>3.8</v>
      </c>
      <c r="V190" s="1">
        <v>5</v>
      </c>
      <c r="W190" s="1">
        <v>2.4</v>
      </c>
      <c r="X190" s="1">
        <v>3.7</v>
      </c>
      <c r="Y190" s="1">
        <v>3.8</v>
      </c>
      <c r="Z190" s="1">
        <v>4</v>
      </c>
      <c r="AA190" s="1">
        <v>5</v>
      </c>
      <c r="AB190" s="1">
        <v>1.9</v>
      </c>
      <c r="AC190" s="1">
        <v>3.6</v>
      </c>
      <c r="AD190" s="1">
        <v>0</v>
      </c>
      <c r="AE190" s="1">
        <v>0</v>
      </c>
      <c r="AF190" s="1">
        <v>5</v>
      </c>
      <c r="AG190" s="1">
        <v>1.7</v>
      </c>
      <c r="AH190" s="1">
        <v>26.2</v>
      </c>
      <c r="AI190" s="1">
        <v>10</v>
      </c>
      <c r="AJ190" s="1">
        <v>12.7</v>
      </c>
      <c r="AK190" s="1">
        <v>5.9</v>
      </c>
      <c r="AL190" s="1">
        <v>6</v>
      </c>
      <c r="AM190" s="1">
        <v>10</v>
      </c>
      <c r="AN190" s="1">
        <v>8</v>
      </c>
      <c r="AO190" s="1">
        <v>7</v>
      </c>
      <c r="AP190" s="1">
        <v>5.4</v>
      </c>
      <c r="AQ190" s="1">
        <v>10</v>
      </c>
      <c r="AR190" s="1">
        <v>4.3</v>
      </c>
      <c r="AS190" s="1">
        <v>6.1428571428571397</v>
      </c>
      <c r="AT190" s="1" t="s">
        <v>1046</v>
      </c>
      <c r="AU190" s="1" t="s">
        <v>98</v>
      </c>
      <c r="AV190" s="1" t="s">
        <v>1047</v>
      </c>
      <c r="AW190" s="1" t="s">
        <v>98</v>
      </c>
      <c r="AX190" s="1" t="s">
        <v>137</v>
      </c>
      <c r="AY190" s="1" t="s">
        <v>100</v>
      </c>
      <c r="AZ190" s="1">
        <v>10</v>
      </c>
      <c r="BA190" s="1">
        <v>10</v>
      </c>
      <c r="BB190" s="1">
        <v>0</v>
      </c>
      <c r="BC190" s="1" t="s">
        <v>1569</v>
      </c>
      <c r="BD190" s="1" t="s">
        <v>1404</v>
      </c>
      <c r="BE190" s="1">
        <v>19.0787550536186</v>
      </c>
      <c r="BF190" s="1">
        <v>19.2836594047393</v>
      </c>
      <c r="BG190" s="1">
        <v>19.651948764932701</v>
      </c>
      <c r="BH190" s="1">
        <v>21.929453445882199</v>
      </c>
      <c r="BI190">
        <v>21.574686329784601</v>
      </c>
      <c r="BJ190">
        <v>21.5679646612166</v>
      </c>
      <c r="BK190" t="s">
        <v>1405</v>
      </c>
      <c r="BL190" t="s">
        <v>1406</v>
      </c>
      <c r="BM190">
        <v>59308.69</v>
      </c>
      <c r="BN190">
        <v>-0.35476711609759798</v>
      </c>
      <c r="BO190">
        <v>2.2775046809494999</v>
      </c>
      <c r="BP190">
        <v>0</v>
      </c>
      <c r="BQ190">
        <v>7.5916822698316597</v>
      </c>
      <c r="BR190">
        <v>7.5916822698316597</v>
      </c>
      <c r="BS190" t="s">
        <v>1400</v>
      </c>
      <c r="BT190" t="s">
        <v>1401</v>
      </c>
      <c r="BU190" t="s">
        <v>1402</v>
      </c>
      <c r="BW190">
        <v>27.45</v>
      </c>
      <c r="BX190">
        <v>27.125</v>
      </c>
      <c r="BY190">
        <v>28.7</v>
      </c>
      <c r="BZ190">
        <v>36.988999999999997</v>
      </c>
      <c r="CA190">
        <v>36.494999999999997</v>
      </c>
      <c r="CB190">
        <v>36.988999999999997</v>
      </c>
      <c r="CC190">
        <v>37.49</v>
      </c>
      <c r="CD190">
        <v>37.561999999999998</v>
      </c>
      <c r="CE190">
        <v>37.494</v>
      </c>
      <c r="CF190" t="s">
        <v>1570</v>
      </c>
      <c r="CG190">
        <v>-0.49399999999999999</v>
      </c>
      <c r="CH190">
        <v>8.2889999999999997</v>
      </c>
      <c r="CI190">
        <v>0</v>
      </c>
      <c r="CJ190">
        <v>10</v>
      </c>
      <c r="CK190">
        <v>10</v>
      </c>
      <c r="CL190">
        <v>10</v>
      </c>
    </row>
    <row r="191" spans="1:111" x14ac:dyDescent="0.2">
      <c r="A191" s="3">
        <v>1</v>
      </c>
      <c r="B191" s="3" t="s">
        <v>1049</v>
      </c>
      <c r="C191" s="3" t="s">
        <v>1050</v>
      </c>
      <c r="D191" s="1"/>
      <c r="E191" s="1">
        <f t="shared" si="15"/>
        <v>9.3350338586883073</v>
      </c>
      <c r="F191" s="1">
        <f t="shared" si="16"/>
        <v>8.71428571428571</v>
      </c>
      <c r="G191" s="1">
        <f t="shared" si="17"/>
        <v>10</v>
      </c>
      <c r="H191" s="1"/>
      <c r="I191" s="1">
        <v>189</v>
      </c>
      <c r="J191" s="1">
        <v>1.621688864</v>
      </c>
      <c r="K191" s="1">
        <v>34.021830790000003</v>
      </c>
      <c r="L191" s="1">
        <v>0</v>
      </c>
      <c r="M191" s="1">
        <v>6.4</v>
      </c>
      <c r="N191" s="1">
        <v>0</v>
      </c>
      <c r="O191" s="1">
        <v>4.5999999999999996</v>
      </c>
      <c r="P191" s="1">
        <v>4.4000000000000004</v>
      </c>
      <c r="Q191" s="1">
        <v>7</v>
      </c>
      <c r="R191" s="1">
        <v>7.8</v>
      </c>
      <c r="S191" s="1">
        <v>0.3</v>
      </c>
      <c r="T191" s="1">
        <v>0.3</v>
      </c>
      <c r="U191" s="1">
        <v>4.8</v>
      </c>
      <c r="V191" s="1">
        <v>6.4</v>
      </c>
      <c r="W191" s="1">
        <v>0.3</v>
      </c>
      <c r="X191" s="1">
        <v>3.4</v>
      </c>
      <c r="Y191" s="1">
        <v>4.0999999999999996</v>
      </c>
      <c r="Z191" s="1">
        <v>6.2</v>
      </c>
      <c r="AA191" s="1">
        <v>9</v>
      </c>
      <c r="AB191" s="1">
        <v>5.8</v>
      </c>
      <c r="AC191" s="1">
        <v>7</v>
      </c>
      <c r="AD191" s="1">
        <v>6.7</v>
      </c>
      <c r="AE191" s="1">
        <v>3.4</v>
      </c>
      <c r="AF191" s="1">
        <v>2</v>
      </c>
      <c r="AG191" s="1">
        <v>0</v>
      </c>
      <c r="AH191" s="1">
        <v>17.899999999999999</v>
      </c>
      <c r="AI191" s="1">
        <v>5.3</v>
      </c>
      <c r="AJ191" s="1">
        <v>4.5</v>
      </c>
      <c r="AK191" s="1">
        <v>1.4</v>
      </c>
      <c r="AL191" s="1">
        <v>7</v>
      </c>
      <c r="AM191" s="1">
        <v>6.6</v>
      </c>
      <c r="AN191" s="1">
        <v>5.0999999999999996</v>
      </c>
      <c r="AO191" s="1">
        <v>4</v>
      </c>
      <c r="AP191" s="1">
        <v>4.0999999999999996</v>
      </c>
      <c r="AQ191" s="1">
        <v>4.7916666666666696</v>
      </c>
      <c r="AR191" s="1">
        <v>6.1</v>
      </c>
      <c r="AS191" s="1">
        <v>8.71428571428571</v>
      </c>
      <c r="AT191" s="1" t="s">
        <v>691</v>
      </c>
      <c r="AU191" s="1" t="s">
        <v>98</v>
      </c>
      <c r="AV191" s="1" t="s">
        <v>105</v>
      </c>
      <c r="AW191" s="1"/>
      <c r="AX191" s="1" t="s">
        <v>102</v>
      </c>
      <c r="AY191" s="1" t="s">
        <v>98</v>
      </c>
      <c r="AZ191" s="1">
        <v>10</v>
      </c>
      <c r="BA191" s="1"/>
      <c r="BB191" s="1">
        <v>7</v>
      </c>
      <c r="BC191" s="1" t="s">
        <v>1571</v>
      </c>
      <c r="BD191" s="1" t="s">
        <v>1404</v>
      </c>
      <c r="BE191" s="1">
        <v>58.5416507491041</v>
      </c>
      <c r="BF191" s="1">
        <v>58.324902528208497</v>
      </c>
      <c r="BG191" s="1">
        <v>58.557128392671601</v>
      </c>
      <c r="BH191" s="1">
        <v>60.465109167230601</v>
      </c>
      <c r="BI191">
        <v>60.693494732984</v>
      </c>
      <c r="BJ191">
        <v>60.631666088798902</v>
      </c>
      <c r="BK191" t="s">
        <v>1405</v>
      </c>
      <c r="BL191" t="s">
        <v>1406</v>
      </c>
      <c r="BM191">
        <v>18383.955999999998</v>
      </c>
      <c r="BN191">
        <v>0.22838556575339899</v>
      </c>
      <c r="BO191">
        <v>1.9079807745590001</v>
      </c>
      <c r="BP191">
        <v>2.2838556575339899</v>
      </c>
      <c r="BQ191">
        <v>6.3599359151966697</v>
      </c>
      <c r="BR191">
        <v>6.3599359151966697</v>
      </c>
      <c r="BS191" t="s">
        <v>1400</v>
      </c>
      <c r="BT191" t="s">
        <v>1401</v>
      </c>
      <c r="BU191" t="s">
        <v>1402</v>
      </c>
      <c r="CF191" t="s">
        <v>103</v>
      </c>
      <c r="CM191">
        <v>53.957813262939503</v>
      </c>
      <c r="CN191">
        <v>26.141860961914102</v>
      </c>
      <c r="CO191">
        <v>85.927703857421903</v>
      </c>
      <c r="CQ191">
        <v>30.0516033172607</v>
      </c>
      <c r="CS191">
        <v>24.603042602539102</v>
      </c>
      <c r="CT191">
        <v>33.226184844970703</v>
      </c>
      <c r="CU191">
        <v>60.5669136047363</v>
      </c>
      <c r="CW191">
        <v>0.95318096876144398</v>
      </c>
      <c r="CX191">
        <v>0.42235004901885997</v>
      </c>
      <c r="CY191">
        <v>39.271236419677699</v>
      </c>
      <c r="CZ191">
        <v>67.0794677734375</v>
      </c>
      <c r="DA191">
        <v>5.2283721923828104</v>
      </c>
      <c r="DB191">
        <v>7.0361480712890598</v>
      </c>
      <c r="DD191">
        <v>10</v>
      </c>
      <c r="DE191">
        <v>7.8542472839355497</v>
      </c>
      <c r="DF191">
        <v>7.5296918869018503</v>
      </c>
      <c r="DG191">
        <v>10</v>
      </c>
    </row>
    <row r="192" spans="1:111" x14ac:dyDescent="0.2">
      <c r="A192" s="3">
        <v>1</v>
      </c>
      <c r="B192" s="3" t="s">
        <v>1053</v>
      </c>
      <c r="C192" s="3" t="s">
        <v>1054</v>
      </c>
      <c r="D192" s="1"/>
      <c r="E192" s="1">
        <f t="shared" si="15"/>
        <v>8.9442719099991592</v>
      </c>
      <c r="F192" s="1">
        <f t="shared" si="16"/>
        <v>8</v>
      </c>
      <c r="G192" s="1">
        <f t="shared" si="17"/>
        <v>10</v>
      </c>
      <c r="H192" s="1"/>
      <c r="I192" s="1">
        <v>190</v>
      </c>
      <c r="J192" s="1">
        <v>29.551856449999999</v>
      </c>
      <c r="K192" s="1"/>
      <c r="L192" s="1">
        <v>3.4</v>
      </c>
      <c r="M192" s="1"/>
      <c r="N192" s="1">
        <v>3.4</v>
      </c>
      <c r="O192" s="1">
        <v>5.2</v>
      </c>
      <c r="P192" s="1">
        <v>3.2</v>
      </c>
      <c r="Q192" s="1">
        <v>3.1</v>
      </c>
      <c r="R192" s="1">
        <v>5.2</v>
      </c>
      <c r="S192" s="1">
        <v>0.2</v>
      </c>
      <c r="T192" s="1">
        <v>0.2</v>
      </c>
      <c r="U192" s="1">
        <v>3.4</v>
      </c>
      <c r="V192" s="1">
        <v>6.4</v>
      </c>
      <c r="W192" s="1">
        <v>1.2</v>
      </c>
      <c r="X192" s="1">
        <v>3.8</v>
      </c>
      <c r="Y192" s="1">
        <v>3.6</v>
      </c>
      <c r="Z192" s="1">
        <v>7.3</v>
      </c>
      <c r="AA192" s="1">
        <v>8</v>
      </c>
      <c r="AB192" s="1">
        <v>3.4</v>
      </c>
      <c r="AC192" s="1">
        <v>6.2</v>
      </c>
      <c r="AD192" s="1">
        <v>13</v>
      </c>
      <c r="AE192" s="1">
        <v>6.5</v>
      </c>
      <c r="AF192" s="1">
        <v>3</v>
      </c>
      <c r="AG192" s="1">
        <v>0.6</v>
      </c>
      <c r="AH192" s="1">
        <v>19.3</v>
      </c>
      <c r="AI192" s="1">
        <v>6.2</v>
      </c>
      <c r="AJ192" s="1">
        <v>1.8</v>
      </c>
      <c r="AK192" s="1">
        <v>0</v>
      </c>
      <c r="AL192" s="1">
        <v>5</v>
      </c>
      <c r="AM192" s="1">
        <v>4</v>
      </c>
      <c r="AN192" s="1">
        <v>3.8</v>
      </c>
      <c r="AO192" s="1">
        <v>4.5</v>
      </c>
      <c r="AP192" s="1">
        <v>4</v>
      </c>
      <c r="AQ192" s="1">
        <v>4.375</v>
      </c>
      <c r="AR192" s="1">
        <v>5.6</v>
      </c>
      <c r="AS192" s="1">
        <v>8</v>
      </c>
      <c r="AT192" s="1" t="s">
        <v>1056</v>
      </c>
      <c r="AU192" s="1" t="s">
        <v>98</v>
      </c>
      <c r="AV192" s="1" t="s">
        <v>105</v>
      </c>
      <c r="AW192" s="1"/>
      <c r="AX192" s="1" t="s">
        <v>137</v>
      </c>
      <c r="AY192" s="1" t="s">
        <v>100</v>
      </c>
      <c r="AZ192" s="1">
        <v>10</v>
      </c>
      <c r="BA192" s="1"/>
      <c r="BB192" s="1">
        <v>0</v>
      </c>
      <c r="BC192" s="1" t="s">
        <v>1572</v>
      </c>
      <c r="BD192" s="1" t="s">
        <v>1404</v>
      </c>
      <c r="BE192" s="1">
        <v>33.862685660097</v>
      </c>
      <c r="BF192" s="1">
        <v>33.9870860831454</v>
      </c>
      <c r="BG192" s="1">
        <v>41.860583350611002</v>
      </c>
      <c r="BH192" s="1">
        <v>50.3561787932138</v>
      </c>
      <c r="BI192">
        <v>49.959436521943999</v>
      </c>
      <c r="BJ192">
        <v>49.235908007436798</v>
      </c>
      <c r="BK192" t="s">
        <v>1405</v>
      </c>
      <c r="BL192" t="s">
        <v>1406</v>
      </c>
      <c r="BM192">
        <v>14862.927</v>
      </c>
      <c r="BN192">
        <v>-0.39674227126980099</v>
      </c>
      <c r="BO192">
        <v>8.4955954426028004</v>
      </c>
      <c r="BP192">
        <v>0</v>
      </c>
      <c r="BQ192">
        <v>10</v>
      </c>
      <c r="BR192">
        <v>10</v>
      </c>
      <c r="BS192" t="s">
        <v>1400</v>
      </c>
      <c r="BT192" t="s">
        <v>1401</v>
      </c>
      <c r="BU192" t="s">
        <v>1402</v>
      </c>
      <c r="CF192" t="s">
        <v>103</v>
      </c>
      <c r="CM192">
        <v>52.966056823730497</v>
      </c>
      <c r="CO192">
        <v>73.343612670898395</v>
      </c>
      <c r="CP192">
        <v>39.816329956054702</v>
      </c>
      <c r="CR192">
        <v>61.763984680175803</v>
      </c>
      <c r="CS192">
        <v>11.9257974624634</v>
      </c>
      <c r="CT192">
        <v>30.509731292724599</v>
      </c>
      <c r="CV192">
        <v>4.4307093620300302</v>
      </c>
      <c r="CW192">
        <v>2.1188766956329301</v>
      </c>
      <c r="CX192">
        <v>0.89911746978759799</v>
      </c>
      <c r="DB192">
        <v>10</v>
      </c>
      <c r="DC192">
        <v>1.7722837448120099</v>
      </c>
      <c r="DD192">
        <v>10</v>
      </c>
      <c r="DF192">
        <v>7.25742791493734</v>
      </c>
      <c r="DG192">
        <v>10</v>
      </c>
    </row>
    <row r="193" spans="1:60" x14ac:dyDescent="0.2">
      <c r="A193" s="3"/>
      <c r="B193" s="3"/>
      <c r="C193" s="3"/>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row>
    <row r="194" spans="1:60" x14ac:dyDescent="0.2">
      <c r="A194" s="3"/>
      <c r="B194" s="3"/>
      <c r="C194" s="3"/>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row>
    <row r="195" spans="1:60" x14ac:dyDescent="0.2">
      <c r="A195" s="3"/>
      <c r="B195" s="3"/>
      <c r="C195" s="3"/>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row>
    <row r="196" spans="1:60" x14ac:dyDescent="0.2">
      <c r="A196" s="3"/>
      <c r="B196" s="3"/>
      <c r="C196" s="3"/>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row>
    <row r="197" spans="1:60" x14ac:dyDescent="0.2">
      <c r="A197" s="3"/>
      <c r="B197" s="3"/>
      <c r="C197" s="3"/>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row>
    <row r="198" spans="1:60" x14ac:dyDescent="0.2">
      <c r="A198" s="3"/>
      <c r="B198" s="3"/>
      <c r="C198" s="3"/>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row>
    <row r="199" spans="1:60" x14ac:dyDescent="0.2">
      <c r="A199" s="3"/>
      <c r="B199" s="3"/>
      <c r="C199" s="3"/>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row>
    <row r="200" spans="1:60" x14ac:dyDescent="0.2">
      <c r="A200" s="3"/>
      <c r="B200" s="3"/>
      <c r="C200" s="3"/>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row>
  </sheetData>
  <conditionalFormatting sqref="E1:E192">
    <cfRule type="expression" dxfId="39" priority="12">
      <formula>E1=10</formula>
    </cfRule>
    <cfRule type="cellIs" dxfId="38" priority="11" operator="between">
      <formula>7</formula>
      <formula>9.99</formula>
    </cfRule>
    <cfRule type="cellIs" dxfId="37" priority="10" operator="between">
      <formula>0</formula>
      <formula>6.999</formula>
    </cfRule>
    <cfRule type="expression" dxfId="36" priority="9">
      <formula>E1=""</formula>
    </cfRule>
  </conditionalFormatting>
  <conditionalFormatting sqref="F1:F192">
    <cfRule type="expression" dxfId="35" priority="8">
      <formula>F1=10</formula>
    </cfRule>
    <cfRule type="cellIs" dxfId="34" priority="7" operator="between">
      <formula>7</formula>
      <formula>9.99</formula>
    </cfRule>
    <cfRule type="cellIs" dxfId="33" priority="6" operator="between">
      <formula>0</formula>
      <formula>6.999</formula>
    </cfRule>
    <cfRule type="expression" dxfId="32" priority="5">
      <formula>F1=""</formula>
    </cfRule>
  </conditionalFormatting>
  <conditionalFormatting sqref="G1:G192">
    <cfRule type="expression" dxfId="31" priority="4">
      <formula>G1=10</formula>
    </cfRule>
    <cfRule type="cellIs" dxfId="30" priority="3" operator="between">
      <formula>7</formula>
      <formula>9.99</formula>
    </cfRule>
    <cfRule type="cellIs" dxfId="29" priority="2" operator="between">
      <formula>0</formula>
      <formula>6.999</formula>
    </cfRule>
    <cfRule type="expression" dxfId="28" priority="1">
      <formula>G1=""</formula>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Options</vt:lpstr>
      <vt:lpstr>CompoundAlert</vt:lpstr>
      <vt:lpstr>Health</vt:lpstr>
      <vt:lpstr>Food Security</vt:lpstr>
      <vt:lpstr>Fragility and Conflict</vt:lpstr>
      <vt:lpstr>Macro Fiscal</vt:lpstr>
      <vt:lpstr>Natural Hazard</vt:lpstr>
      <vt:lpstr>Socioeconomic Vulnerability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bennotkin</dc:creator>
  <cp:lastModifiedBy>Notkin, Benjamin</cp:lastModifiedBy>
  <dcterms:created xsi:type="dcterms:W3CDTF">2021-03-11T13:03:26Z</dcterms:created>
  <dcterms:modified xsi:type="dcterms:W3CDTF">2021-03-11T21:06:04Z</dcterms:modified>
</cp:coreProperties>
</file>