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en_skoroszyt" defaultThemeVersion="124226"/>
  <bookViews>
    <workbookView xWindow="480" yWindow="45" windowWidth="18255" windowHeight="8220" tabRatio="230"/>
  </bookViews>
  <sheets>
    <sheet name="Blumind Translations" sheetId="1" r:id="rId1"/>
    <sheet name="DV-IDENTITY-0" sheetId="2" state="veryHidden" r:id="rId2"/>
  </sheets>
  <calcPr calcId="145621"/>
</workbook>
</file>

<file path=xl/calcChain.xml><?xml version="1.0" encoding="utf-8"?>
<calcChain xmlns="http://schemas.openxmlformats.org/spreadsheetml/2006/main">
  <c r="A7" i="2" l="1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A1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</calcChain>
</file>

<file path=xl/sharedStrings.xml><?xml version="1.0" encoding="utf-8"?>
<sst xmlns="http://schemas.openxmlformats.org/spreadsheetml/2006/main" count="673" uniqueCount="639">
  <si>
    <t>About</t>
  </si>
  <si>
    <t>Menu</t>
  </si>
  <si>
    <t>Open</t>
  </si>
  <si>
    <t>New</t>
  </si>
  <si>
    <t>Help</t>
  </si>
  <si>
    <t>Options</t>
  </si>
  <si>
    <t>Recent Files</t>
  </si>
  <si>
    <t>Export</t>
  </si>
  <si>
    <t>Exit</t>
  </si>
  <si>
    <t>Save</t>
  </si>
  <si>
    <t>Save As</t>
  </si>
  <si>
    <t>More</t>
  </si>
  <si>
    <t>More Options</t>
  </si>
  <si>
    <t>Full Screen</t>
  </si>
  <si>
    <t>Exit Full Screen</t>
  </si>
  <si>
    <t>Export Image</t>
  </si>
  <si>
    <t>Add Topic</t>
  </si>
  <si>
    <t>Add Sub Topic</t>
  </si>
  <si>
    <t>Cut</t>
  </si>
  <si>
    <t>Copy</t>
  </si>
  <si>
    <t>Paste</t>
  </si>
  <si>
    <t>Delete</t>
  </si>
  <si>
    <t>Edit</t>
  </si>
  <si>
    <t>Select All</t>
  </si>
  <si>
    <t>Folding</t>
  </si>
  <si>
    <t>Collapse</t>
  </si>
  <si>
    <t>Expand</t>
  </si>
  <si>
    <t>Toggle Folding</t>
  </si>
  <si>
    <t>Collapse All</t>
  </si>
  <si>
    <t>Expand All</t>
  </si>
  <si>
    <t>Zoom In</t>
  </si>
  <si>
    <t>Zoom Out</t>
  </si>
  <si>
    <t>Zoom</t>
  </si>
  <si>
    <t>Fit Page</t>
  </si>
  <si>
    <t>Fit Width</t>
  </si>
  <si>
    <t>Fit Height</t>
  </si>
  <si>
    <t>Print</t>
  </si>
  <si>
    <t>Print Preview</t>
  </si>
  <si>
    <t>Print Setup</t>
  </si>
  <si>
    <t>One Page</t>
  </si>
  <si>
    <t>Two Pages</t>
  </si>
  <si>
    <t>Four Pages</t>
  </si>
  <si>
    <t>Undo</t>
  </si>
  <si>
    <t>Redo</t>
  </si>
  <si>
    <t>Version</t>
  </si>
  <si>
    <t>Objects</t>
  </si>
  <si>
    <t>Property</t>
  </si>
  <si>
    <t>Themes</t>
  </si>
  <si>
    <t>Format Painter</t>
  </si>
  <si>
    <t>Notes</t>
  </si>
  <si>
    <t>Icon</t>
  </si>
  <si>
    <t>Style</t>
  </si>
  <si>
    <t>Back Color</t>
  </si>
  <si>
    <t>Border Color</t>
  </si>
  <si>
    <t>Font</t>
  </si>
  <si>
    <t>Fore Color</t>
  </si>
  <si>
    <t>Line Color</t>
  </si>
  <si>
    <t>Padding</t>
  </si>
  <si>
    <t>Text</t>
  </si>
  <si>
    <t>Name</t>
  </si>
  <si>
    <t>Hover Color</t>
  </si>
  <si>
    <t>Node Back Color</t>
  </si>
  <si>
    <t>Node Fore Color</t>
  </si>
  <si>
    <t>Selection Color</t>
  </si>
  <si>
    <t>All</t>
  </si>
  <si>
    <t>Left</t>
  </si>
  <si>
    <t>Top</t>
  </si>
  <si>
    <t>Right</t>
  </si>
  <si>
    <t>Bottom</t>
  </si>
  <si>
    <t>Up</t>
  </si>
  <si>
    <t>Down</t>
  </si>
  <si>
    <t>Close</t>
  </si>
  <si>
    <t>First Page</t>
  </si>
  <si>
    <t>Previous Page</t>
  </si>
  <si>
    <t>Next Page</t>
  </si>
  <si>
    <t>Last Page</t>
  </si>
  <si>
    <t>OK</t>
  </si>
  <si>
    <t>Cancel</t>
  </si>
  <si>
    <t>Restore Default</t>
  </si>
  <si>
    <t>Center Topic</t>
  </si>
  <si>
    <t>Sub Topic</t>
  </si>
  <si>
    <t>NewDocument</t>
  </si>
  <si>
    <t>Appearance</t>
  </si>
  <si>
    <t>Associations</t>
  </si>
  <si>
    <t>Customization</t>
  </si>
  <si>
    <t>Localization</t>
  </si>
  <si>
    <t>Page Settings</t>
  </si>
  <si>
    <t>Wall Paper</t>
  </si>
  <si>
    <t>Window Back Color</t>
  </si>
  <si>
    <t>Window Fore Color</t>
  </si>
  <si>
    <t>Landscape</t>
  </si>
  <si>
    <t>Margins</t>
  </si>
  <si>
    <t>UI Language</t>
  </si>
  <si>
    <t>Check Update</t>
  </si>
  <si>
    <t>Download</t>
  </si>
  <si>
    <t>Feedback</t>
  </si>
  <si>
    <t>JPEG Options</t>
  </si>
  <si>
    <t>Quality</t>
  </si>
  <si>
    <t>PNG Options</t>
  </si>
  <si>
    <t>Transparent Background</t>
  </si>
  <si>
    <t>Worst</t>
  </si>
  <si>
    <t>Best</t>
  </si>
  <si>
    <t>Center Topic Back Color</t>
  </si>
  <si>
    <t>Center Topic Fore Color</t>
  </si>
  <si>
    <t>Center Topic Border Color</t>
  </si>
  <si>
    <t>General</t>
  </si>
  <si>
    <t>Color</t>
  </si>
  <si>
    <t>Themes Manage</t>
  </si>
  <si>
    <t>Internal</t>
  </si>
  <si>
    <t>Extension</t>
  </si>
  <si>
    <t>Preview</t>
  </si>
  <si>
    <t>Apply Theme</t>
  </si>
  <si>
    <t>Refresh</t>
  </si>
  <si>
    <t>Associate .bmd File</t>
  </si>
  <si>
    <t>Shape</t>
  </si>
  <si>
    <t>Home Page</t>
  </si>
  <si>
    <t>Width</t>
  </si>
  <si>
    <t>Height</t>
  </si>
  <si>
    <t>Custom Width</t>
  </si>
  <si>
    <t>Custom Height</t>
  </si>
  <si>
    <t>Standard</t>
  </si>
  <si>
    <t>System</t>
  </si>
  <si>
    <t>Copy of</t>
  </si>
  <si>
    <t>Custom Sort</t>
  </si>
  <si>
    <t>Find</t>
  </si>
  <si>
    <t>Replace</t>
  </si>
  <si>
    <t>Find What</t>
  </si>
  <si>
    <t>Replace With</t>
  </si>
  <si>
    <t>Find Options</t>
  </si>
  <si>
    <t>Case Sensitive</t>
  </si>
  <si>
    <t>Whole Word Only</t>
  </si>
  <si>
    <t>Regular Expression</t>
  </si>
  <si>
    <t>Forward Search</t>
  </si>
  <si>
    <t>Find Next</t>
  </si>
  <si>
    <t>With Hidden Items</t>
  </si>
  <si>
    <t>Move Up</t>
  </si>
  <si>
    <t>Move Down</t>
  </si>
  <si>
    <t>Windows Color Schemes</t>
  </si>
  <si>
    <t>Charts</t>
  </si>
  <si>
    <t>Show Remark Icon</t>
  </si>
  <si>
    <t>Round Radius</t>
  </si>
  <si>
    <t>Layer Space</t>
  </si>
  <si>
    <t>Items Space</t>
  </si>
  <si>
    <t>Icon Padding</t>
  </si>
  <si>
    <t>Layout</t>
  </si>
  <si>
    <t>Layout Type</t>
  </si>
  <si>
    <t>Data</t>
  </si>
  <si>
    <t>Reset</t>
  </si>
  <si>
    <t>Show Description</t>
  </si>
  <si>
    <t>Show Status Bar</t>
  </si>
  <si>
    <t>Default</t>
  </si>
  <si>
    <t>Show Line Arrow</t>
  </si>
  <si>
    <t>Yes</t>
  </si>
  <si>
    <t>No</t>
  </si>
  <si>
    <t>Print Document Title</t>
  </si>
  <si>
    <t>Save Theme</t>
  </si>
  <si>
    <t>Please enter theme name</t>
  </si>
  <si>
    <t>Save Current Theme</t>
  </si>
  <si>
    <t>None</t>
  </si>
  <si>
    <t>Start Cap</t>
  </si>
  <si>
    <t>End Cap</t>
  </si>
  <si>
    <t>Line Style</t>
  </si>
  <si>
    <t>Extra Thin</t>
  </si>
  <si>
    <t>Thin</t>
  </si>
  <si>
    <t>Medium</t>
  </si>
  <si>
    <t>Bold</t>
  </si>
  <si>
    <t>Extra Bold</t>
  </si>
  <si>
    <t>Solid</t>
  </si>
  <si>
    <t>Dash</t>
  </si>
  <si>
    <t>Dot</t>
  </si>
  <si>
    <t>Dash Dot</t>
  </si>
  <si>
    <t>Dash Dot Dot</t>
  </si>
  <si>
    <t>Link Line Color</t>
  </si>
  <si>
    <t>Garden</t>
  </si>
  <si>
    <t>Green</t>
  </si>
  <si>
    <t>Khaki</t>
  </si>
  <si>
    <t>Sea Wolf</t>
  </si>
  <si>
    <t>Turquoise</t>
  </si>
  <si>
    <t>Sidebar</t>
  </si>
  <si>
    <t>Add Link</t>
  </si>
  <si>
    <t>Link</t>
  </si>
  <si>
    <t>Straightening</t>
  </si>
  <si>
    <t>Invert</t>
  </si>
  <si>
    <t>Accelerator Keys Table</t>
  </si>
  <si>
    <t>Document</t>
  </si>
  <si>
    <t>View</t>
  </si>
  <si>
    <t>Miscellaneous</t>
  </si>
  <si>
    <t>Selection</t>
  </si>
  <si>
    <t>Mail To Me</t>
  </si>
  <si>
    <t>Send Feedback to Author (e.g. Bugs, Ideas)</t>
  </si>
  <si>
    <t>Operation</t>
  </si>
  <si>
    <t>Keys</t>
  </si>
  <si>
    <t>Key_Add</t>
  </si>
  <si>
    <t>Key_Subtract</t>
  </si>
  <si>
    <t>Key_Multiply</t>
  </si>
  <si>
    <t>Key_Left</t>
  </si>
  <si>
    <t>Key_Up</t>
  </si>
  <si>
    <t>Key_Right</t>
  </si>
  <si>
    <t>Key_Down</t>
  </si>
  <si>
    <t>Key_Space</t>
  </si>
  <si>
    <t>Key_Enter</t>
  </si>
  <si>
    <t>Key_Escape</t>
  </si>
  <si>
    <t>Base Line</t>
  </si>
  <si>
    <t>Ellipse</t>
  </si>
  <si>
    <t>Rectangle</t>
  </si>
  <si>
    <t>Previous Tab</t>
  </si>
  <si>
    <t>Next Tab</t>
  </si>
  <si>
    <t>Progress(%)</t>
  </si>
  <si>
    <t>Visible</t>
  </si>
  <si>
    <t>Value</t>
  </si>
  <si>
    <t>Show Text</t>
  </si>
  <si>
    <t>Alignment</t>
  </si>
  <si>
    <t>Source Type</t>
  </si>
  <si>
    <t>Image</t>
  </si>
  <si>
    <t>Add Progress Bar</t>
  </si>
  <si>
    <t>Add Icon</t>
  </si>
  <si>
    <t>Add</t>
  </si>
  <si>
    <t>Progress Bar</t>
  </si>
  <si>
    <t>Hyperlink</t>
  </si>
  <si>
    <t>Url</t>
  </si>
  <si>
    <t>Open Hyperlink</t>
  </si>
  <si>
    <t>Select Local File</t>
  </si>
  <si>
    <t>Internet</t>
  </si>
  <si>
    <t>Select Icon</t>
  </si>
  <si>
    <t>Add To My Icon Library</t>
  </si>
  <si>
    <t>Manage My Icon Library</t>
  </si>
  <si>
    <t>Icon Library</t>
  </si>
  <si>
    <t>From Internet</t>
  </si>
  <si>
    <t>Download Image From Internet</t>
  </si>
  <si>
    <t>Recommended Resources</t>
  </si>
  <si>
    <t>Limit Image Size</t>
  </si>
  <si>
    <t>Add Image Files</t>
  </si>
  <si>
    <t>Resize</t>
  </si>
  <si>
    <t>Are you sure delete the selected items?</t>
  </si>
  <si>
    <t>Add Remark</t>
  </si>
  <si>
    <t>Please enter something here</t>
  </si>
  <si>
    <t>Select Mode</t>
  </si>
  <si>
    <t>Scroll Mode</t>
  </si>
  <si>
    <t>Can't find &amp;quot;{0}&amp;quot;</t>
  </si>
  <si>
    <t>Press &amp;quot;Ctrl+Enter&amp;quot; for a new line</t>
  </si>
  <si>
    <t>Mind Map Chart</t>
  </si>
  <si>
    <t>Organization Chart (Down)</t>
  </si>
  <si>
    <t>Organization Chart (Up)</t>
  </si>
  <si>
    <t>Tree Chart (Left)</t>
  </si>
  <si>
    <t>Tree Chart (Right)</t>
  </si>
  <si>
    <t>Logic Chart (Left)</t>
  </si>
  <si>
    <t>Logic Chart (Right)</t>
  </si>
  <si>
    <t>PNG</t>
  </si>
  <si>
    <t>JPEG</t>
  </si>
  <si>
    <t>GIF</t>
  </si>
  <si>
    <t>BMP</t>
  </si>
  <si>
    <t>TIFF</t>
  </si>
  <si>
    <t>SVG</t>
  </si>
  <si>
    <t>Text File</t>
  </si>
  <si>
    <t>Create a new Mind Map</t>
  </si>
  <si>
    <t>Open a old file</t>
  </si>
  <si>
    <t>Confirm Save</t>
  </si>
  <si>
    <t>The format is not supported</t>
  </si>
  <si>
    <t>No Pages</t>
  </si>
  <si>
    <t>Exception Occurs</t>
  </si>
  <si>
    <t>Document File</t>
  </si>
  <si>
    <t>All Support Formats</t>
  </si>
  <si>
    <t>All Image Files</t>
  </si>
  <si>
    <t>All Files</t>
  </si>
  <si>
    <t>File name is invalid or the format is not supported</t>
  </si>
  <si>
    <t>The same filename already exists. Do you want to replace it?</t>
  </si>
  <si>
    <t>Save tabs</t>
  </si>
  <si>
    <t>Do not ask me again</t>
  </si>
  <si>
    <t>Do you want Blumind save tabs and open them next startup?</t>
  </si>
  <si>
    <t>Format Painter Description</t>
  </si>
  <si>
    <t>Checking</t>
  </si>
  <si>
    <t>There is a new version can be use</t>
  </si>
  <si>
    <t>Your current version is the latest</t>
  </si>
  <si>
    <t>Invalid URL</t>
  </si>
  <si>
    <t>Unable to connect to the remote server, please visit our website.</t>
  </si>
  <si>
    <t>Please input Url below</t>
  </si>
  <si>
    <t>Portable Network Graphics</t>
  </si>
  <si>
    <t>Joint Photographic Experts Group</t>
  </si>
  <si>
    <t>Windows Bitmap</t>
  </si>
  <si>
    <t>Scalable Vector Graphics</t>
  </si>
  <si>
    <t>Description</t>
    <phoneticPr fontId="1" type="noConversion"/>
  </si>
  <si>
    <t>Please don't remove the "{0}", it will be replaced with the product version</t>
    <phoneticPr fontId="1" type="noConversion"/>
  </si>
  <si>
    <t>Language Name</t>
    <phoneticPr fontId="1" type="noConversion"/>
  </si>
  <si>
    <t>Translation(please enter them below)</t>
    <phoneticPr fontId="1" type="noConversion"/>
  </si>
  <si>
    <t>please input the translations in the Column B</t>
    <phoneticPr fontId="1" type="noConversion"/>
  </si>
  <si>
    <t>Word[English]</t>
    <phoneticPr fontId="1" type="noConversion"/>
  </si>
  <si>
    <t>this text will show on the top-left button</t>
    <phoneticPr fontId="1" type="noConversion"/>
  </si>
  <si>
    <t>Overview</t>
  </si>
  <si>
    <t>Author</t>
    <phoneticPr fontId="1" type="noConversion"/>
  </si>
  <si>
    <t>1.0</t>
    <phoneticPr fontId="1" type="noConversion"/>
  </si>
  <si>
    <t>Blumind Version</t>
    <phoneticPr fontId="1" type="noConversion"/>
  </si>
  <si>
    <t>Translation Version</t>
    <phoneticPr fontId="1" type="noConversion"/>
  </si>
  <si>
    <t>Save Recent Files</t>
  </si>
  <si>
    <t>Clear Recent Files</t>
  </si>
  <si>
    <t>Are you sure clear the recent files?</t>
  </si>
  <si>
    <t>Actual Size</t>
  </si>
  <si>
    <t>Modify</t>
  </si>
  <si>
    <t>Clear</t>
  </si>
  <si>
    <t>Invert Selection</t>
  </si>
  <si>
    <t>Reset All</t>
  </si>
  <si>
    <t>Modify Shortcuts</t>
  </si>
  <si>
    <t>Modifiers</t>
  </si>
  <si>
    <t>Key</t>
  </si>
  <si>
    <t>Are you sure reset all shortcuts?</t>
  </si>
  <si>
    <t>Timer</t>
  </si>
  <si>
    <t>Start Timer</t>
  </si>
  <si>
    <t>Hours</t>
  </si>
  <si>
    <t>Minutes</t>
  </si>
  <si>
    <t>Seconds</t>
  </si>
  <si>
    <t>Start</t>
  </si>
  <si>
    <t>Pause</t>
  </si>
  <si>
    <t>Time is over!</t>
  </si>
  <si>
    <t>{0} Minutes</t>
  </si>
  <si>
    <t>Version</t>
    <phoneticPr fontId="1" type="noConversion"/>
  </si>
  <si>
    <t>1.3.20.0</t>
    <phoneticPr fontId="1" type="noConversion"/>
  </si>
  <si>
    <t>2.0.0.0</t>
    <phoneticPr fontId="1" type="noConversion"/>
  </si>
  <si>
    <t>1.5.0.0</t>
    <phoneticPr fontId="1" type="noConversion"/>
  </si>
  <si>
    <t>Polish</t>
  </si>
  <si>
    <t>Polski</t>
  </si>
  <si>
    <t>Paweł Latkowski</t>
  </si>
  <si>
    <t>Otwórz</t>
  </si>
  <si>
    <t>Nowy</t>
  </si>
  <si>
    <t>Pomoc</t>
  </si>
  <si>
    <t>Opcje</t>
  </si>
  <si>
    <t>Ostatnie pliki</t>
  </si>
  <si>
    <t>Informacje</t>
  </si>
  <si>
    <t>Eksport</t>
  </si>
  <si>
    <t>Wyjście</t>
  </si>
  <si>
    <t>Zapisz</t>
  </si>
  <si>
    <t>Zapisz jako</t>
  </si>
  <si>
    <t>Więcej</t>
  </si>
  <si>
    <t>Więcej opcji</t>
  </si>
  <si>
    <t>Pełny ekran</t>
  </si>
  <si>
    <t>Wyjście z pełnego ekranu</t>
  </si>
  <si>
    <t>Eksportuj obraz</t>
  </si>
  <si>
    <t>Dodaj temat</t>
  </si>
  <si>
    <t>Dodaj zagadnienie</t>
  </si>
  <si>
    <t>Wytnij</t>
  </si>
  <si>
    <t>Wklej</t>
  </si>
  <si>
    <t>Kopiuj</t>
  </si>
  <si>
    <t>Usuń</t>
  </si>
  <si>
    <t>Zwiń</t>
  </si>
  <si>
    <t>Zaznacz wszystko</t>
  </si>
  <si>
    <t>Edytuj</t>
  </si>
  <si>
    <t>Składanie</t>
  </si>
  <si>
    <t>Rozwiń</t>
  </si>
  <si>
    <t>Przełącz zwijanie</t>
  </si>
  <si>
    <t>Zwiń wszystkie</t>
  </si>
  <si>
    <t>Rozwiń wszystkie</t>
  </si>
  <si>
    <t>Powiększ</t>
  </si>
  <si>
    <t>Zmniejsz</t>
  </si>
  <si>
    <t>Powiększanie</t>
  </si>
  <si>
    <t>Dopasowanie strony</t>
  </si>
  <si>
    <t>Dopasowanie szerokości</t>
  </si>
  <si>
    <t>Dopasowanie wysokości</t>
  </si>
  <si>
    <t>Drukuj</t>
  </si>
  <si>
    <t>Podgląd wydruku</t>
  </si>
  <si>
    <t>Ustawienia drukowania</t>
  </si>
  <si>
    <t>Jedna strona</t>
  </si>
  <si>
    <t>Dwie strony</t>
  </si>
  <si>
    <t>Cztery strony</t>
  </si>
  <si>
    <t>Cofnij</t>
  </si>
  <si>
    <t>Powtórz</t>
  </si>
  <si>
    <t>Wersja</t>
  </si>
  <si>
    <t>Obiekty</t>
  </si>
  <si>
    <t>Własności</t>
  </si>
  <si>
    <t>Wygląd</t>
  </si>
  <si>
    <t>Format malowania</t>
  </si>
  <si>
    <t>Notatki</t>
  </si>
  <si>
    <t>Ikona</t>
  </si>
  <si>
    <t>Styl</t>
  </si>
  <si>
    <t>Kolor tła</t>
  </si>
  <si>
    <t>Kolor obramowania</t>
  </si>
  <si>
    <t>Czcionka</t>
  </si>
  <si>
    <t>Kolor</t>
  </si>
  <si>
    <t>Kolor linii</t>
  </si>
  <si>
    <t>Odstępy</t>
  </si>
  <si>
    <t>tekst</t>
  </si>
  <si>
    <t>Nazwa</t>
  </si>
  <si>
    <t>Kolor po najechaniu myszką</t>
  </si>
  <si>
    <t>Kolor tła węzła</t>
  </si>
  <si>
    <t>Kolor węzła</t>
  </si>
  <si>
    <t>Kolor zaznaczenia</t>
  </si>
  <si>
    <t>Wszystko</t>
  </si>
  <si>
    <t>Lewa</t>
  </si>
  <si>
    <t>Góra</t>
  </si>
  <si>
    <t>Prawa</t>
  </si>
  <si>
    <t>Dół</t>
  </si>
  <si>
    <t>W górę</t>
  </si>
  <si>
    <t>W dół</t>
  </si>
  <si>
    <t>Zamknij</t>
  </si>
  <si>
    <t>Pierwsza strona</t>
  </si>
  <si>
    <t>Poprzednia strona</t>
  </si>
  <si>
    <t>Następna strona</t>
  </si>
  <si>
    <t>Ostatnia strona</t>
  </si>
  <si>
    <t>Ok</t>
  </si>
  <si>
    <t>Anuluj</t>
  </si>
  <si>
    <t>Przywróć domyślne</t>
  </si>
  <si>
    <t>Główny temat</t>
  </si>
  <si>
    <t>Zagadnienie</t>
  </si>
  <si>
    <t>Nowy dokument</t>
  </si>
  <si>
    <t>Skojarzenie</t>
  </si>
  <si>
    <t>Dopasowywanie</t>
  </si>
  <si>
    <t>Lokalizowanie</t>
  </si>
  <si>
    <t>Ustawienia strony</t>
  </si>
  <si>
    <t>Tapeta</t>
  </si>
  <si>
    <t>Kolor tła okna</t>
  </si>
  <si>
    <t>Kolor okna</t>
  </si>
  <si>
    <t>Poziomo</t>
  </si>
  <si>
    <t>Marginesy</t>
  </si>
  <si>
    <t>Język</t>
  </si>
  <si>
    <t>Sprawdź uaktualnienie</t>
  </si>
  <si>
    <t>Ściągnij</t>
  </si>
  <si>
    <t>Informacja zwrotna</t>
  </si>
  <si>
    <t>Opcje JPEG</t>
  </si>
  <si>
    <t>Jakość</t>
  </si>
  <si>
    <t>Opcje PNG</t>
  </si>
  <si>
    <t>Kolor przezroczystości</t>
  </si>
  <si>
    <t>Najgorszy</t>
  </si>
  <si>
    <t>Najlepszy</t>
  </si>
  <si>
    <t>Kolor tła gównego tematu</t>
  </si>
  <si>
    <t>Kolor głównego tematu</t>
  </si>
  <si>
    <t>Kolor obramowania głównego tematu</t>
  </si>
  <si>
    <t>Główne</t>
  </si>
  <si>
    <t>Modyfikacja wyglądu</t>
  </si>
  <si>
    <t>Wewnętrzne</t>
  </si>
  <si>
    <t>Rozszerzenie</t>
  </si>
  <si>
    <t>Podgląd</t>
  </si>
  <si>
    <t>Zastosuj wygląd</t>
  </si>
  <si>
    <t>Odśwież</t>
  </si>
  <si>
    <t>Skojarz .bmd plik</t>
  </si>
  <si>
    <t>Kształt</t>
  </si>
  <si>
    <t>Strona domowa</t>
  </si>
  <si>
    <t>Szerokość</t>
  </si>
  <si>
    <t>Wysokość</t>
  </si>
  <si>
    <t>Dowolna szerokość</t>
  </si>
  <si>
    <t>Dowolna wysokość</t>
  </si>
  <si>
    <t>Standardowo</t>
  </si>
  <si>
    <t>Kopia</t>
  </si>
  <si>
    <t>Sortowanie po polu</t>
  </si>
  <si>
    <t>Szukaj</t>
  </si>
  <si>
    <t>Zamień</t>
  </si>
  <si>
    <t>Co znaleść</t>
  </si>
  <si>
    <t>Zamienić z</t>
  </si>
  <si>
    <t>Opcje wyszukiwania</t>
  </si>
  <si>
    <t>Rozróżnianie wielkości liter</t>
  </si>
  <si>
    <t>Tylko całe wyrazy</t>
  </si>
  <si>
    <t>Wyrażenia regularne</t>
  </si>
  <si>
    <t>Szukaj do przodu</t>
  </si>
  <si>
    <t>Szukaj następne</t>
  </si>
  <si>
    <t>z ukrytymi</t>
  </si>
  <si>
    <t>Przesuń w górę</t>
  </si>
  <si>
    <t>Przesuń w dół</t>
  </si>
  <si>
    <t>Schemat kolorów Windows</t>
  </si>
  <si>
    <t>Wykresy</t>
  </si>
  <si>
    <t>Pokaż ikonę podpowiedzi</t>
  </si>
  <si>
    <t>Zaokrąglaj</t>
  </si>
  <si>
    <t>Warstwy</t>
  </si>
  <si>
    <t>Elementy</t>
  </si>
  <si>
    <t>Ikony</t>
  </si>
  <si>
    <t>Układ</t>
  </si>
  <si>
    <t>Rodzaje układów</t>
  </si>
  <si>
    <t>Dane</t>
  </si>
  <si>
    <t>Zeruj</t>
  </si>
  <si>
    <t>Pokaż Opis</t>
  </si>
  <si>
    <t>Pokaż pasek statusu</t>
  </si>
  <si>
    <t>Domyślne</t>
  </si>
  <si>
    <t>Pokaż strzałkę na lini</t>
  </si>
  <si>
    <t>Tak</t>
  </si>
  <si>
    <t>Nie</t>
  </si>
  <si>
    <t>Drukuj tytuł dokumentu</t>
  </si>
  <si>
    <t>Zapisz wygląd</t>
  </si>
  <si>
    <t>Podaj nazwę wyglądu</t>
  </si>
  <si>
    <t>Zapisz aktualny wygląd</t>
  </si>
  <si>
    <t>Żaden</t>
  </si>
  <si>
    <t>Zacznij czapkę</t>
  </si>
  <si>
    <t>Zakończ czapkę</t>
  </si>
  <si>
    <t>Styl linii</t>
  </si>
  <si>
    <t>Super cienka</t>
  </si>
  <si>
    <t>Cienka</t>
  </si>
  <si>
    <t>Średnia</t>
  </si>
  <si>
    <t>Pogrubienie</t>
  </si>
  <si>
    <t>Super pogrubienie</t>
  </si>
  <si>
    <t>Ciągła</t>
  </si>
  <si>
    <t>Przerywane</t>
  </si>
  <si>
    <t>Kropkowana</t>
  </si>
  <si>
    <t>Kreska kropka</t>
  </si>
  <si>
    <t>Kreska dwie kropki</t>
  </si>
  <si>
    <t>Ogród</t>
  </si>
  <si>
    <t>Zielony</t>
  </si>
  <si>
    <t>Zębaczowy</t>
  </si>
  <si>
    <t>Turkus</t>
  </si>
  <si>
    <t>Pasek boczny</t>
  </si>
  <si>
    <t>Dodaj połączenie</t>
  </si>
  <si>
    <t>Połączenie</t>
  </si>
  <si>
    <t>Kolor lini połączenia</t>
  </si>
  <si>
    <t>Prostowanie</t>
  </si>
  <si>
    <t>Odwracać</t>
  </si>
  <si>
    <t>Tabela klawiszy ułatwień</t>
  </si>
  <si>
    <t>Dokument</t>
  </si>
  <si>
    <t>Widok</t>
  </si>
  <si>
    <t>Różne</t>
  </si>
  <si>
    <t>Zaznaczenie</t>
  </si>
  <si>
    <t>Napisz do mnie</t>
  </si>
  <si>
    <t>Wyślij opinie (np.: błędy, pomysły)</t>
  </si>
  <si>
    <t>Operacje</t>
  </si>
  <si>
    <t>Klucz</t>
  </si>
  <si>
    <t>Linia bazowa</t>
  </si>
  <si>
    <t>Elipsa</t>
  </si>
  <si>
    <t>Prostokąt</t>
  </si>
  <si>
    <t>Poprzednia zakładka</t>
  </si>
  <si>
    <t>Następna zakładka</t>
  </si>
  <si>
    <t>Postęp(%)</t>
  </si>
  <si>
    <t>Widoczny</t>
  </si>
  <si>
    <t>Wartość</t>
  </si>
  <si>
    <t>Pokaż tekst</t>
  </si>
  <si>
    <t>Dopasowanie</t>
  </si>
  <si>
    <t>Typ źródła</t>
  </si>
  <si>
    <t>Obraz</t>
  </si>
  <si>
    <t>Dodaj pasek postępu</t>
  </si>
  <si>
    <t>Dodaj ikonę</t>
  </si>
  <si>
    <t>Dodaj</t>
  </si>
  <si>
    <t>Pasek postępu</t>
  </si>
  <si>
    <t>Adres Url</t>
  </si>
  <si>
    <t>Otwórz link</t>
  </si>
  <si>
    <t>Wskaż plik lokalny</t>
  </si>
  <si>
    <t>Wybierz ikonę</t>
  </si>
  <si>
    <t>Dodaj do mojej biblioteki ikon</t>
  </si>
  <si>
    <t>Zarządzaj moją biblioteką ikon</t>
  </si>
  <si>
    <t>Biblioteka ikon</t>
  </si>
  <si>
    <t>Z internetu</t>
  </si>
  <si>
    <t>Ściągnij obrazek z internetu</t>
  </si>
  <si>
    <t>Sugerowane zasoby</t>
  </si>
  <si>
    <t>Ogranicz rozmiar obrazka</t>
  </si>
  <si>
    <t>Dodaj pliki z obrazami</t>
  </si>
  <si>
    <t>Zmień rozmiar</t>
  </si>
  <si>
    <t>Na pewno skasować zaznaczone elementy?</t>
  </si>
  <si>
    <t>Dodaj uwagę</t>
  </si>
  <si>
    <t>Wpisz coś tutaj</t>
  </si>
  <si>
    <t>Tryb zaznaczania</t>
  </si>
  <si>
    <t>Tryb przewijania</t>
  </si>
  <si>
    <t>Nie znaleziono &amp;quot;{0}&amp;quot;</t>
  </si>
  <si>
    <t>Naciśnij &amp;quot;Ctrl+Enter&amp;quot; żeby wstawić nową linię</t>
  </si>
  <si>
    <t>Dziękuję</t>
  </si>
  <si>
    <t>Przegląd</t>
  </si>
  <si>
    <t>Szybka pomoc</t>
  </si>
  <si>
    <t>Opis</t>
  </si>
  <si>
    <t>Autor</t>
  </si>
  <si>
    <t>Firma</t>
  </si>
  <si>
    <t>Szerokość lini</t>
  </si>
  <si>
    <t>Szerokość obramowania</t>
  </si>
  <si>
    <t>Potwierdź</t>
  </si>
  <si>
    <t>Wykres Mind Map</t>
  </si>
  <si>
    <t>Wykres organizacyjny (dół)</t>
  </si>
  <si>
    <t>Wykres organizacyjny (góra)</t>
  </si>
  <si>
    <t>Wykres drzewka (lewa)</t>
  </si>
  <si>
    <t>Wykres drzewka (prawa)</t>
  </si>
  <si>
    <t>Wykres logiczny (lewa)</t>
  </si>
  <si>
    <t>Wykres logiczny (prawa)</t>
  </si>
  <si>
    <t>Plik tekstowy</t>
  </si>
  <si>
    <t>Twórz nową mapę</t>
  </si>
  <si>
    <t>Otwórz stary plik</t>
  </si>
  <si>
    <t>Dokument się zmienił, zapisac?</t>
  </si>
  <si>
    <t>Format jest nieobsługiwany</t>
  </si>
  <si>
    <t>Brak stron</t>
  </si>
  <si>
    <t>Nastąpił wyjątek</t>
  </si>
  <si>
    <t>Plik dokumentu</t>
  </si>
  <si>
    <t>Wszystki wspierane formaty</t>
  </si>
  <si>
    <t>Wszystkie pliki obrazków</t>
  </si>
  <si>
    <t>Wszystkie pliki</t>
  </si>
  <si>
    <t>Nazwa lub format pliku jest błędny</t>
  </si>
  <si>
    <t>Plik już istnieje, nadpisać go?</t>
  </si>
  <si>
    <t>Zapisz zakładki</t>
  </si>
  <si>
    <t>Nie pytaj znowu</t>
  </si>
  <si>
    <t>Czy zachować zakładki i je odtworzyć po otwarciu?</t>
  </si>
  <si>
    <t>Kopiuj format tematu i zastosuj do kolejnych.
Podwójnie kliknij ten przycisk aby zastosować do kilku.</t>
  </si>
  <si>
    <t>Sprawdzam</t>
  </si>
  <si>
    <t>Nowa wersja "{0}" jest dostępna</t>
  </si>
  <si>
    <t>Twoja wersja to</t>
  </si>
  <si>
    <t>Niepoprawny link url</t>
  </si>
  <si>
    <t>Problem z połączenie, odwiedź naszą stronę</t>
  </si>
  <si>
    <t>Wprowadź url poniżej</t>
  </si>
  <si>
    <t>Zapisz ostatnie pliki</t>
  </si>
  <si>
    <t>Czyść ostatnie pliki</t>
  </si>
  <si>
    <t>Na pewno chcesz wyczyścić ostatnie pliki?</t>
  </si>
  <si>
    <t>Rozmiar</t>
  </si>
  <si>
    <t>Modyfikuj</t>
  </si>
  <si>
    <t>Czyść</t>
  </si>
  <si>
    <t>Odwróć zaznaczenie</t>
  </si>
  <si>
    <t>Wyzeruj wszystko</t>
  </si>
  <si>
    <t>Zmień odwołania</t>
  </si>
  <si>
    <t>Modyfikacje</t>
  </si>
  <si>
    <t>Na pewno chcesz wyzerować wszystkie odwołania</t>
  </si>
  <si>
    <t>Stoper</t>
  </si>
  <si>
    <t>Uruchom stoper</t>
  </si>
  <si>
    <t>Godziny</t>
  </si>
  <si>
    <t>Minuty</t>
  </si>
  <si>
    <t>Sekundy</t>
  </si>
  <si>
    <t>Pauza</t>
  </si>
  <si>
    <t>Czas minął</t>
  </si>
  <si>
    <t>{0} Minut</t>
  </si>
  <si>
    <t>Na pewno wyzerować ustawienia</t>
  </si>
  <si>
    <t>Wpłaty</t>
  </si>
  <si>
    <t>Wstaw wykres</t>
  </si>
  <si>
    <t>Usuń wykres</t>
  </si>
  <si>
    <t>Zmień nazwę</t>
  </si>
  <si>
    <t>Wpisz nową nazwę</t>
  </si>
  <si>
    <t>Nowy wykres</t>
  </si>
  <si>
    <t>2.0.0.2</t>
    <phoneticPr fontId="1" type="noConversion"/>
  </si>
  <si>
    <t>MENU</t>
  </si>
  <si>
    <t>+</t>
  </si>
  <si>
    <t>-</t>
  </si>
  <si>
    <t>*</t>
  </si>
  <si>
    <t>←</t>
  </si>
  <si>
    <t>↑</t>
  </si>
  <si>
    <t>→</t>
  </si>
  <si>
    <t>↓</t>
  </si>
  <si>
    <t>Space</t>
  </si>
  <si>
    <t>Enter</t>
  </si>
  <si>
    <t>Esc</t>
  </si>
  <si>
    <t>Information</t>
  </si>
  <si>
    <t>Thanks</t>
  </si>
  <si>
    <t>Quick Help</t>
  </si>
  <si>
    <t>Description</t>
  </si>
  <si>
    <t>Author</t>
  </si>
  <si>
    <t>Company</t>
  </si>
  <si>
    <t>Line Width</t>
  </si>
  <si>
    <t>Border Width</t>
  </si>
  <si>
    <t>Confirm</t>
  </si>
  <si>
    <t>Graphics Interchange Format</t>
  </si>
  <si>
    <t>Tagged Image File Format</t>
  </si>
  <si>
    <t>Are you sure reset settings?</t>
  </si>
  <si>
    <t>Donate</t>
  </si>
  <si>
    <t>Insert Chart</t>
  </si>
  <si>
    <t>Remove Chart</t>
  </si>
  <si>
    <t>Rename</t>
  </si>
  <si>
    <t>Please enter the new name</t>
  </si>
  <si>
    <t>New Document</t>
  </si>
  <si>
    <t>New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</si>
</sst>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charset val="134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 applyBorder="1">
      <alignment vertical="center"/>
    </xf>
    <xf numFmtId="49" fontId="4" fillId="0" borderId="0" xfId="0" applyNumberFormat="1" applyFont="1" applyBorder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4" displayName="表4" ref="A6:D330" totalsRowShown="0" headerRowDxfId="7" dataDxfId="5" headerRowBorderDxfId="6" tableBorderDxfId="4">
  <tableColumns count="4">
    <tableColumn id="1" name="Word[English]" dataDxfId="3"/>
    <tableColumn id="2" name="Translation(please enter them below)" dataDxfId="2"/>
    <tableColumn id="3" name="Description" dataDxfId="1"/>
    <tableColumn id="4" name="Version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330"/>
  <sheetViews>
    <sheetView tabSelected="1" workbookViewId="0">
      <selection activeCell="A7" sqref="A7:B329"/>
    </sheetView>
  </sheetViews>
  <sheetFormatPr defaultRowHeight="15" x14ac:dyDescent="0.15"/>
  <cols>
    <col min="1" max="1" width="43.125" style="1" customWidth="1"/>
    <col min="2" max="2" width="49.875" style="7" customWidth="1"/>
    <col min="3" max="3" width="34.5" style="1" customWidth="1"/>
    <col min="4" max="4" width="34.5" style="19" customWidth="1"/>
    <col min="5" max="16384" width="9" style="1"/>
  </cols>
  <sheetData>
    <row r="1" spans="1:4" x14ac:dyDescent="0.15">
      <c r="A1" s="3" t="s">
        <v>282</v>
      </c>
      <c r="B1" s="18" t="s">
        <v>317</v>
      </c>
      <c r="C1" s="17" t="s">
        <v>318</v>
      </c>
    </row>
    <row r="2" spans="1:4" s="5" customFormat="1" x14ac:dyDescent="0.15">
      <c r="A2" s="3" t="s">
        <v>288</v>
      </c>
      <c r="B2" s="7" t="s">
        <v>319</v>
      </c>
      <c r="D2" s="19"/>
    </row>
    <row r="3" spans="1:4" s="5" customFormat="1" x14ac:dyDescent="0.15">
      <c r="A3" s="3" t="s">
        <v>291</v>
      </c>
      <c r="B3" s="7" t="s">
        <v>289</v>
      </c>
      <c r="D3" s="19"/>
    </row>
    <row r="4" spans="1:4" s="5" customFormat="1" x14ac:dyDescent="0.15">
      <c r="A4" s="3" t="s">
        <v>290</v>
      </c>
      <c r="B4" s="18" t="s">
        <v>608</v>
      </c>
      <c r="D4" s="19"/>
    </row>
    <row r="5" spans="1:4" s="4" customFormat="1" x14ac:dyDescent="0.15">
      <c r="A5" s="11" t="s">
        <v>284</v>
      </c>
      <c r="B5" s="12"/>
      <c r="C5" s="11"/>
      <c r="D5" s="11"/>
    </row>
    <row r="6" spans="1:4" x14ac:dyDescent="0.15">
      <c r="A6" s="2" t="s">
        <v>285</v>
      </c>
      <c r="B6" s="8" t="s">
        <v>283</v>
      </c>
      <c r="C6" s="2" t="s">
        <v>280</v>
      </c>
      <c r="D6" s="2" t="s">
        <v>313</v>
      </c>
    </row>
    <row r="7" spans="1:4" x14ac:dyDescent="0.15">
      <c r="A7" s="1" t="s">
        <v>0</v>
      </c>
      <c r="B7" s="7" t="s">
        <v>325</v>
      </c>
    </row>
    <row r="8" spans="1:4" x14ac:dyDescent="0.15">
      <c r="A8" s="1" t="s">
        <v>1</v>
      </c>
      <c r="B8" s="7" t="s">
        <v>609</v>
      </c>
      <c r="C8" s="1" t="s">
        <v>286</v>
      </c>
    </row>
    <row r="9" spans="1:4" x14ac:dyDescent="0.15">
      <c r="A9" s="1" t="s">
        <v>2</v>
      </c>
      <c r="B9" s="7" t="s">
        <v>320</v>
      </c>
    </row>
    <row r="10" spans="1:4" x14ac:dyDescent="0.15">
      <c r="A10" s="1" t="s">
        <v>3</v>
      </c>
      <c r="B10" s="7" t="s">
        <v>321</v>
      </c>
    </row>
    <row r="11" spans="1:4" x14ac:dyDescent="0.15">
      <c r="A11" s="1" t="s">
        <v>4</v>
      </c>
      <c r="B11" s="7" t="s">
        <v>322</v>
      </c>
    </row>
    <row r="12" spans="1:4" x14ac:dyDescent="0.15">
      <c r="A12" s="1" t="s">
        <v>5</v>
      </c>
      <c r="B12" s="7" t="s">
        <v>323</v>
      </c>
    </row>
    <row r="13" spans="1:4" x14ac:dyDescent="0.15">
      <c r="A13" s="1" t="s">
        <v>6</v>
      </c>
      <c r="B13" s="7" t="s">
        <v>324</v>
      </c>
    </row>
    <row r="14" spans="1:4" x14ac:dyDescent="0.15">
      <c r="A14" s="1" t="s">
        <v>7</v>
      </c>
      <c r="B14" s="7" t="s">
        <v>326</v>
      </c>
    </row>
    <row r="15" spans="1:4" x14ac:dyDescent="0.15">
      <c r="A15" s="1" t="s">
        <v>8</v>
      </c>
      <c r="B15" s="7" t="s">
        <v>327</v>
      </c>
    </row>
    <row r="16" spans="1:4" x14ac:dyDescent="0.15">
      <c r="A16" s="1" t="s">
        <v>9</v>
      </c>
      <c r="B16" s="7" t="s">
        <v>328</v>
      </c>
    </row>
    <row r="17" spans="1:2" x14ac:dyDescent="0.15">
      <c r="A17" s="1" t="s">
        <v>10</v>
      </c>
      <c r="B17" s="7" t="s">
        <v>329</v>
      </c>
    </row>
    <row r="18" spans="1:2" x14ac:dyDescent="0.15">
      <c r="A18" s="1" t="s">
        <v>11</v>
      </c>
      <c r="B18" s="7" t="s">
        <v>330</v>
      </c>
    </row>
    <row r="19" spans="1:2" x14ac:dyDescent="0.15">
      <c r="A19" s="1" t="s">
        <v>12</v>
      </c>
      <c r="B19" s="7" t="s">
        <v>331</v>
      </c>
    </row>
    <row r="20" spans="1:2" x14ac:dyDescent="0.15">
      <c r="A20" s="1" t="s">
        <v>13</v>
      </c>
      <c r="B20" s="7" t="s">
        <v>332</v>
      </c>
    </row>
    <row r="21" spans="1:2" x14ac:dyDescent="0.15">
      <c r="A21" s="1" t="s">
        <v>14</v>
      </c>
      <c r="B21" s="7" t="s">
        <v>333</v>
      </c>
    </row>
    <row r="22" spans="1:2" x14ac:dyDescent="0.15">
      <c r="A22" s="1" t="s">
        <v>15</v>
      </c>
      <c r="B22" s="7" t="s">
        <v>334</v>
      </c>
    </row>
    <row r="23" spans="1:2" x14ac:dyDescent="0.15">
      <c r="A23" s="1" t="s">
        <v>16</v>
      </c>
      <c r="B23" s="7" t="s">
        <v>335</v>
      </c>
    </row>
    <row r="24" spans="1:2" x14ac:dyDescent="0.15">
      <c r="A24" s="1" t="s">
        <v>17</v>
      </c>
      <c r="B24" s="7" t="s">
        <v>336</v>
      </c>
    </row>
    <row r="25" spans="1:2" x14ac:dyDescent="0.15">
      <c r="A25" s="1" t="s">
        <v>18</v>
      </c>
      <c r="B25" s="7" t="s">
        <v>337</v>
      </c>
    </row>
    <row r="26" spans="1:2" x14ac:dyDescent="0.15">
      <c r="A26" s="1" t="s">
        <v>19</v>
      </c>
      <c r="B26" s="7" t="s">
        <v>339</v>
      </c>
    </row>
    <row r="27" spans="1:2" x14ac:dyDescent="0.15">
      <c r="A27" s="1" t="s">
        <v>20</v>
      </c>
      <c r="B27" s="7" t="s">
        <v>338</v>
      </c>
    </row>
    <row r="28" spans="1:2" x14ac:dyDescent="0.15">
      <c r="A28" s="1" t="s">
        <v>21</v>
      </c>
      <c r="B28" s="7" t="s">
        <v>340</v>
      </c>
    </row>
    <row r="29" spans="1:2" x14ac:dyDescent="0.15">
      <c r="A29" s="1" t="s">
        <v>22</v>
      </c>
      <c r="B29" s="7" t="s">
        <v>343</v>
      </c>
    </row>
    <row r="30" spans="1:2" x14ac:dyDescent="0.15">
      <c r="A30" s="1" t="s">
        <v>23</v>
      </c>
      <c r="B30" s="7" t="s">
        <v>342</v>
      </c>
    </row>
    <row r="31" spans="1:2" x14ac:dyDescent="0.15">
      <c r="A31" s="1" t="s">
        <v>24</v>
      </c>
      <c r="B31" s="7" t="s">
        <v>344</v>
      </c>
    </row>
    <row r="32" spans="1:2" x14ac:dyDescent="0.15">
      <c r="A32" s="1" t="s">
        <v>25</v>
      </c>
      <c r="B32" s="7" t="s">
        <v>341</v>
      </c>
    </row>
    <row r="33" spans="1:2" x14ac:dyDescent="0.15">
      <c r="A33" s="1" t="s">
        <v>26</v>
      </c>
      <c r="B33" s="7" t="s">
        <v>345</v>
      </c>
    </row>
    <row r="34" spans="1:2" x14ac:dyDescent="0.15">
      <c r="A34" s="1" t="s">
        <v>27</v>
      </c>
      <c r="B34" s="7" t="s">
        <v>346</v>
      </c>
    </row>
    <row r="35" spans="1:2" x14ac:dyDescent="0.15">
      <c r="A35" s="1" t="s">
        <v>28</v>
      </c>
      <c r="B35" s="7" t="s">
        <v>347</v>
      </c>
    </row>
    <row r="36" spans="1:2" x14ac:dyDescent="0.15">
      <c r="A36" s="1" t="s">
        <v>29</v>
      </c>
      <c r="B36" s="7" t="s">
        <v>348</v>
      </c>
    </row>
    <row r="37" spans="1:2" x14ac:dyDescent="0.15">
      <c r="A37" s="1" t="s">
        <v>30</v>
      </c>
      <c r="B37" s="7" t="s">
        <v>349</v>
      </c>
    </row>
    <row r="38" spans="1:2" x14ac:dyDescent="0.15">
      <c r="A38" s="1" t="s">
        <v>31</v>
      </c>
      <c r="B38" s="7" t="s">
        <v>350</v>
      </c>
    </row>
    <row r="39" spans="1:2" x14ac:dyDescent="0.15">
      <c r="A39" s="1" t="s">
        <v>32</v>
      </c>
      <c r="B39" s="7" t="s">
        <v>351</v>
      </c>
    </row>
    <row r="40" spans="1:2" x14ac:dyDescent="0.15">
      <c r="A40" s="1" t="s">
        <v>33</v>
      </c>
      <c r="B40" s="7" t="s">
        <v>352</v>
      </c>
    </row>
    <row r="41" spans="1:2" x14ac:dyDescent="0.15">
      <c r="A41" s="1" t="s">
        <v>34</v>
      </c>
      <c r="B41" s="7" t="s">
        <v>353</v>
      </c>
    </row>
    <row r="42" spans="1:2" x14ac:dyDescent="0.15">
      <c r="A42" s="1" t="s">
        <v>35</v>
      </c>
      <c r="B42" s="7" t="s">
        <v>354</v>
      </c>
    </row>
    <row r="43" spans="1:2" x14ac:dyDescent="0.15">
      <c r="A43" s="1" t="s">
        <v>36</v>
      </c>
      <c r="B43" s="7" t="s">
        <v>355</v>
      </c>
    </row>
    <row r="44" spans="1:2" x14ac:dyDescent="0.15">
      <c r="A44" s="1" t="s">
        <v>37</v>
      </c>
      <c r="B44" s="7" t="s">
        <v>356</v>
      </c>
    </row>
    <row r="45" spans="1:2" x14ac:dyDescent="0.15">
      <c r="A45" s="1" t="s">
        <v>38</v>
      </c>
      <c r="B45" s="7" t="s">
        <v>357</v>
      </c>
    </row>
    <row r="46" spans="1:2" x14ac:dyDescent="0.15">
      <c r="A46" s="1" t="s">
        <v>39</v>
      </c>
      <c r="B46" s="7" t="s">
        <v>358</v>
      </c>
    </row>
    <row r="47" spans="1:2" x14ac:dyDescent="0.15">
      <c r="A47" s="1" t="s">
        <v>40</v>
      </c>
      <c r="B47" s="7" t="s">
        <v>359</v>
      </c>
    </row>
    <row r="48" spans="1:2" x14ac:dyDescent="0.15">
      <c r="A48" s="1" t="s">
        <v>41</v>
      </c>
      <c r="B48" s="7" t="s">
        <v>360</v>
      </c>
    </row>
    <row r="49" spans="1:2" x14ac:dyDescent="0.15">
      <c r="A49" s="1" t="s">
        <v>42</v>
      </c>
      <c r="B49" s="7" t="s">
        <v>361</v>
      </c>
    </row>
    <row r="50" spans="1:2" x14ac:dyDescent="0.15">
      <c r="A50" s="1" t="s">
        <v>43</v>
      </c>
      <c r="B50" s="7" t="s">
        <v>362</v>
      </c>
    </row>
    <row r="51" spans="1:2" x14ac:dyDescent="0.15">
      <c r="A51" s="1" t="s">
        <v>44</v>
      </c>
      <c r="B51" s="7" t="s">
        <v>363</v>
      </c>
    </row>
    <row r="52" spans="1:2" x14ac:dyDescent="0.15">
      <c r="A52" s="1" t="s">
        <v>45</v>
      </c>
      <c r="B52" s="7" t="s">
        <v>364</v>
      </c>
    </row>
    <row r="53" spans="1:2" x14ac:dyDescent="0.15">
      <c r="A53" s="1" t="s">
        <v>46</v>
      </c>
      <c r="B53" s="7" t="s">
        <v>365</v>
      </c>
    </row>
    <row r="54" spans="1:2" x14ac:dyDescent="0.15">
      <c r="A54" s="1" t="s">
        <v>47</v>
      </c>
      <c r="B54" s="7" t="s">
        <v>366</v>
      </c>
    </row>
    <row r="55" spans="1:2" x14ac:dyDescent="0.15">
      <c r="A55" s="1" t="s">
        <v>48</v>
      </c>
      <c r="B55" s="7" t="s">
        <v>367</v>
      </c>
    </row>
    <row r="56" spans="1:2" x14ac:dyDescent="0.15">
      <c r="A56" s="1" t="s">
        <v>49</v>
      </c>
      <c r="B56" s="7" t="s">
        <v>368</v>
      </c>
    </row>
    <row r="57" spans="1:2" x14ac:dyDescent="0.15">
      <c r="A57" s="1" t="s">
        <v>50</v>
      </c>
      <c r="B57" s="7" t="s">
        <v>369</v>
      </c>
    </row>
    <row r="58" spans="1:2" x14ac:dyDescent="0.15">
      <c r="A58" s="1" t="s">
        <v>51</v>
      </c>
      <c r="B58" s="7" t="s">
        <v>370</v>
      </c>
    </row>
    <row r="59" spans="1:2" x14ac:dyDescent="0.15">
      <c r="A59" s="1" t="s">
        <v>52</v>
      </c>
      <c r="B59" s="7" t="s">
        <v>371</v>
      </c>
    </row>
    <row r="60" spans="1:2" x14ac:dyDescent="0.15">
      <c r="A60" s="1" t="s">
        <v>53</v>
      </c>
      <c r="B60" s="7" t="s">
        <v>372</v>
      </c>
    </row>
    <row r="61" spans="1:2" x14ac:dyDescent="0.15">
      <c r="A61" s="1" t="s">
        <v>54</v>
      </c>
      <c r="B61" s="7" t="s">
        <v>373</v>
      </c>
    </row>
    <row r="62" spans="1:2" x14ac:dyDescent="0.15">
      <c r="A62" s="1" t="s">
        <v>55</v>
      </c>
      <c r="B62" s="7" t="s">
        <v>374</v>
      </c>
    </row>
    <row r="63" spans="1:2" x14ac:dyDescent="0.15">
      <c r="A63" s="1" t="s">
        <v>56</v>
      </c>
      <c r="B63" s="7" t="s">
        <v>375</v>
      </c>
    </row>
    <row r="64" spans="1:2" x14ac:dyDescent="0.15">
      <c r="A64" s="1" t="s">
        <v>57</v>
      </c>
      <c r="B64" s="7" t="s">
        <v>376</v>
      </c>
    </row>
    <row r="65" spans="1:2" x14ac:dyDescent="0.15">
      <c r="A65" s="1" t="s">
        <v>58</v>
      </c>
      <c r="B65" s="7" t="s">
        <v>377</v>
      </c>
    </row>
    <row r="66" spans="1:2" x14ac:dyDescent="0.15">
      <c r="A66" s="1" t="s">
        <v>59</v>
      </c>
      <c r="B66" s="7" t="s">
        <v>378</v>
      </c>
    </row>
    <row r="67" spans="1:2" x14ac:dyDescent="0.15">
      <c r="A67" s="1" t="s">
        <v>60</v>
      </c>
      <c r="B67" s="7" t="s">
        <v>379</v>
      </c>
    </row>
    <row r="68" spans="1:2" x14ac:dyDescent="0.15">
      <c r="A68" s="1" t="s">
        <v>61</v>
      </c>
      <c r="B68" s="7" t="s">
        <v>380</v>
      </c>
    </row>
    <row r="69" spans="1:2" x14ac:dyDescent="0.15">
      <c r="A69" s="1" t="s">
        <v>62</v>
      </c>
      <c r="B69" s="7" t="s">
        <v>381</v>
      </c>
    </row>
    <row r="70" spans="1:2" x14ac:dyDescent="0.15">
      <c r="A70" s="1" t="s">
        <v>63</v>
      </c>
      <c r="B70" s="7" t="s">
        <v>382</v>
      </c>
    </row>
    <row r="71" spans="1:2" x14ac:dyDescent="0.15">
      <c r="A71" s="1" t="s">
        <v>64</v>
      </c>
      <c r="B71" s="7" t="s">
        <v>383</v>
      </c>
    </row>
    <row r="72" spans="1:2" x14ac:dyDescent="0.15">
      <c r="A72" s="1" t="s">
        <v>65</v>
      </c>
      <c r="B72" s="7" t="s">
        <v>384</v>
      </c>
    </row>
    <row r="73" spans="1:2" x14ac:dyDescent="0.15">
      <c r="A73" s="1" t="s">
        <v>66</v>
      </c>
      <c r="B73" s="7" t="s">
        <v>385</v>
      </c>
    </row>
    <row r="74" spans="1:2" x14ac:dyDescent="0.15">
      <c r="A74" s="1" t="s">
        <v>67</v>
      </c>
      <c r="B74" s="7" t="s">
        <v>386</v>
      </c>
    </row>
    <row r="75" spans="1:2" x14ac:dyDescent="0.15">
      <c r="A75" s="1" t="s">
        <v>68</v>
      </c>
      <c r="B75" s="7" t="s">
        <v>387</v>
      </c>
    </row>
    <row r="76" spans="1:2" x14ac:dyDescent="0.15">
      <c r="A76" s="1" t="s">
        <v>69</v>
      </c>
      <c r="B76" s="7" t="s">
        <v>388</v>
      </c>
    </row>
    <row r="77" spans="1:2" x14ac:dyDescent="0.15">
      <c r="A77" s="1" t="s">
        <v>70</v>
      </c>
      <c r="B77" s="7" t="s">
        <v>389</v>
      </c>
    </row>
    <row r="78" spans="1:2" x14ac:dyDescent="0.15">
      <c r="A78" s="1" t="s">
        <v>71</v>
      </c>
      <c r="B78" s="7" t="s">
        <v>390</v>
      </c>
    </row>
    <row r="79" spans="1:2" x14ac:dyDescent="0.15">
      <c r="A79" s="1" t="s">
        <v>72</v>
      </c>
      <c r="B79" s="7" t="s">
        <v>391</v>
      </c>
    </row>
    <row r="80" spans="1:2" x14ac:dyDescent="0.15">
      <c r="A80" s="1" t="s">
        <v>73</v>
      </c>
      <c r="B80" s="7" t="s">
        <v>392</v>
      </c>
    </row>
    <row r="81" spans="1:2" x14ac:dyDescent="0.15">
      <c r="A81" s="1" t="s">
        <v>74</v>
      </c>
      <c r="B81" s="7" t="s">
        <v>393</v>
      </c>
    </row>
    <row r="82" spans="1:2" x14ac:dyDescent="0.15">
      <c r="A82" s="1" t="s">
        <v>75</v>
      </c>
      <c r="B82" s="7" t="s">
        <v>394</v>
      </c>
    </row>
    <row r="83" spans="1:2" x14ac:dyDescent="0.15">
      <c r="A83" s="1" t="s">
        <v>76</v>
      </c>
      <c r="B83" s="7" t="s">
        <v>395</v>
      </c>
    </row>
    <row r="84" spans="1:2" x14ac:dyDescent="0.15">
      <c r="A84" s="1" t="s">
        <v>77</v>
      </c>
      <c r="B84" s="7" t="s">
        <v>396</v>
      </c>
    </row>
    <row r="85" spans="1:2" x14ac:dyDescent="0.15">
      <c r="A85" s="1" t="s">
        <v>78</v>
      </c>
      <c r="B85" s="7" t="s">
        <v>397</v>
      </c>
    </row>
    <row r="86" spans="1:2" x14ac:dyDescent="0.15">
      <c r="A86" s="1" t="s">
        <v>79</v>
      </c>
      <c r="B86" s="7" t="s">
        <v>398</v>
      </c>
    </row>
    <row r="87" spans="1:2" x14ac:dyDescent="0.15">
      <c r="A87" s="1" t="s">
        <v>80</v>
      </c>
      <c r="B87" s="7" t="s">
        <v>399</v>
      </c>
    </row>
    <row r="88" spans="1:2" x14ac:dyDescent="0.15">
      <c r="A88" s="1" t="s">
        <v>81</v>
      </c>
      <c r="B88" s="7" t="s">
        <v>400</v>
      </c>
    </row>
    <row r="89" spans="1:2" x14ac:dyDescent="0.15">
      <c r="A89" s="1" t="s">
        <v>82</v>
      </c>
      <c r="B89" s="7" t="s">
        <v>366</v>
      </c>
    </row>
    <row r="90" spans="1:2" x14ac:dyDescent="0.15">
      <c r="A90" s="1" t="s">
        <v>83</v>
      </c>
      <c r="B90" s="7" t="s">
        <v>401</v>
      </c>
    </row>
    <row r="91" spans="1:2" x14ac:dyDescent="0.15">
      <c r="A91" s="1" t="s">
        <v>84</v>
      </c>
      <c r="B91" s="7" t="s">
        <v>402</v>
      </c>
    </row>
    <row r="92" spans="1:2" x14ac:dyDescent="0.15">
      <c r="A92" s="1" t="s">
        <v>85</v>
      </c>
      <c r="B92" s="7" t="s">
        <v>403</v>
      </c>
    </row>
    <row r="93" spans="1:2" x14ac:dyDescent="0.15">
      <c r="A93" s="1" t="s">
        <v>86</v>
      </c>
      <c r="B93" s="7" t="s">
        <v>404</v>
      </c>
    </row>
    <row r="94" spans="1:2" x14ac:dyDescent="0.15">
      <c r="A94" s="1" t="s">
        <v>87</v>
      </c>
      <c r="B94" s="7" t="s">
        <v>405</v>
      </c>
    </row>
    <row r="95" spans="1:2" x14ac:dyDescent="0.15">
      <c r="A95" s="1" t="s">
        <v>88</v>
      </c>
      <c r="B95" s="7" t="s">
        <v>406</v>
      </c>
    </row>
    <row r="96" spans="1:2" x14ac:dyDescent="0.15">
      <c r="A96" s="1" t="s">
        <v>89</v>
      </c>
      <c r="B96" s="7" t="s">
        <v>407</v>
      </c>
    </row>
    <row r="97" spans="1:2" x14ac:dyDescent="0.15">
      <c r="A97" s="1" t="s">
        <v>90</v>
      </c>
      <c r="B97" s="7" t="s">
        <v>408</v>
      </c>
    </row>
    <row r="98" spans="1:2" x14ac:dyDescent="0.15">
      <c r="A98" s="1" t="s">
        <v>91</v>
      </c>
      <c r="B98" s="7" t="s">
        <v>409</v>
      </c>
    </row>
    <row r="99" spans="1:2" x14ac:dyDescent="0.15">
      <c r="A99" s="1" t="s">
        <v>92</v>
      </c>
      <c r="B99" s="7" t="s">
        <v>410</v>
      </c>
    </row>
    <row r="100" spans="1:2" x14ac:dyDescent="0.15">
      <c r="A100" s="1" t="s">
        <v>93</v>
      </c>
      <c r="B100" s="7" t="s">
        <v>411</v>
      </c>
    </row>
    <row r="101" spans="1:2" x14ac:dyDescent="0.15">
      <c r="A101" s="1" t="s">
        <v>94</v>
      </c>
      <c r="B101" s="7" t="s">
        <v>412</v>
      </c>
    </row>
    <row r="102" spans="1:2" x14ac:dyDescent="0.15">
      <c r="A102" s="1" t="s">
        <v>95</v>
      </c>
      <c r="B102" s="7" t="s">
        <v>413</v>
      </c>
    </row>
    <row r="103" spans="1:2" x14ac:dyDescent="0.15">
      <c r="A103" s="1" t="s">
        <v>96</v>
      </c>
      <c r="B103" s="7" t="s">
        <v>414</v>
      </c>
    </row>
    <row r="104" spans="1:2" x14ac:dyDescent="0.15">
      <c r="A104" s="1" t="s">
        <v>97</v>
      </c>
      <c r="B104" s="7" t="s">
        <v>415</v>
      </c>
    </row>
    <row r="105" spans="1:2" x14ac:dyDescent="0.15">
      <c r="A105" s="1" t="s">
        <v>98</v>
      </c>
      <c r="B105" s="7" t="s">
        <v>416</v>
      </c>
    </row>
    <row r="106" spans="1:2" x14ac:dyDescent="0.15">
      <c r="A106" s="1" t="s">
        <v>99</v>
      </c>
      <c r="B106" s="7" t="s">
        <v>417</v>
      </c>
    </row>
    <row r="107" spans="1:2" x14ac:dyDescent="0.15">
      <c r="A107" s="1" t="s">
        <v>100</v>
      </c>
      <c r="B107" s="7" t="s">
        <v>418</v>
      </c>
    </row>
    <row r="108" spans="1:2" x14ac:dyDescent="0.15">
      <c r="A108" s="1" t="s">
        <v>101</v>
      </c>
      <c r="B108" s="7" t="s">
        <v>419</v>
      </c>
    </row>
    <row r="109" spans="1:2" x14ac:dyDescent="0.15">
      <c r="A109" s="1" t="s">
        <v>102</v>
      </c>
      <c r="B109" s="7" t="s">
        <v>420</v>
      </c>
    </row>
    <row r="110" spans="1:2" x14ac:dyDescent="0.15">
      <c r="A110" s="1" t="s">
        <v>103</v>
      </c>
      <c r="B110" s="7" t="s">
        <v>421</v>
      </c>
    </row>
    <row r="111" spans="1:2" x14ac:dyDescent="0.15">
      <c r="A111" s="1" t="s">
        <v>104</v>
      </c>
      <c r="B111" s="7" t="s">
        <v>422</v>
      </c>
    </row>
    <row r="112" spans="1:2" x14ac:dyDescent="0.15">
      <c r="A112" s="1" t="s">
        <v>105</v>
      </c>
      <c r="B112" s="7" t="s">
        <v>423</v>
      </c>
    </row>
    <row r="113" spans="1:2" x14ac:dyDescent="0.15">
      <c r="A113" s="1" t="s">
        <v>106</v>
      </c>
      <c r="B113" s="7" t="s">
        <v>374</v>
      </c>
    </row>
    <row r="114" spans="1:2" x14ac:dyDescent="0.15">
      <c r="A114" s="1" t="s">
        <v>107</v>
      </c>
      <c r="B114" s="7" t="s">
        <v>424</v>
      </c>
    </row>
    <row r="115" spans="1:2" x14ac:dyDescent="0.15">
      <c r="A115" s="1" t="s">
        <v>108</v>
      </c>
      <c r="B115" s="7" t="s">
        <v>425</v>
      </c>
    </row>
    <row r="116" spans="1:2" x14ac:dyDescent="0.15">
      <c r="A116" s="1" t="s">
        <v>109</v>
      </c>
      <c r="B116" s="7" t="s">
        <v>426</v>
      </c>
    </row>
    <row r="117" spans="1:2" x14ac:dyDescent="0.15">
      <c r="A117" s="1" t="s">
        <v>110</v>
      </c>
      <c r="B117" s="7" t="s">
        <v>427</v>
      </c>
    </row>
    <row r="118" spans="1:2" x14ac:dyDescent="0.15">
      <c r="A118" s="1" t="s">
        <v>111</v>
      </c>
      <c r="B118" s="7" t="s">
        <v>428</v>
      </c>
    </row>
    <row r="119" spans="1:2" x14ac:dyDescent="0.15">
      <c r="A119" s="1" t="s">
        <v>112</v>
      </c>
      <c r="B119" s="7" t="s">
        <v>429</v>
      </c>
    </row>
    <row r="120" spans="1:2" x14ac:dyDescent="0.15">
      <c r="A120" s="1" t="s">
        <v>113</v>
      </c>
      <c r="B120" s="7" t="s">
        <v>430</v>
      </c>
    </row>
    <row r="121" spans="1:2" x14ac:dyDescent="0.15">
      <c r="A121" s="1" t="s">
        <v>114</v>
      </c>
      <c r="B121" s="7" t="s">
        <v>431</v>
      </c>
    </row>
    <row r="122" spans="1:2" x14ac:dyDescent="0.15">
      <c r="A122" s="1" t="s">
        <v>115</v>
      </c>
      <c r="B122" s="7" t="s">
        <v>432</v>
      </c>
    </row>
    <row r="123" spans="1:2" x14ac:dyDescent="0.15">
      <c r="A123" s="1" t="s">
        <v>116</v>
      </c>
      <c r="B123" s="7" t="s">
        <v>433</v>
      </c>
    </row>
    <row r="124" spans="1:2" x14ac:dyDescent="0.15">
      <c r="A124" s="1" t="s">
        <v>117</v>
      </c>
      <c r="B124" s="7" t="s">
        <v>434</v>
      </c>
    </row>
    <row r="125" spans="1:2" x14ac:dyDescent="0.15">
      <c r="A125" s="1" t="s">
        <v>118</v>
      </c>
      <c r="B125" s="7" t="s">
        <v>435</v>
      </c>
    </row>
    <row r="126" spans="1:2" x14ac:dyDescent="0.15">
      <c r="A126" s="1" t="s">
        <v>119</v>
      </c>
      <c r="B126" s="7" t="s">
        <v>436</v>
      </c>
    </row>
    <row r="127" spans="1:2" x14ac:dyDescent="0.15">
      <c r="A127" s="1" t="s">
        <v>120</v>
      </c>
      <c r="B127" s="7" t="s">
        <v>437</v>
      </c>
    </row>
    <row r="128" spans="1:2" x14ac:dyDescent="0.15">
      <c r="A128" s="1" t="s">
        <v>121</v>
      </c>
      <c r="B128" s="7" t="s">
        <v>121</v>
      </c>
    </row>
    <row r="129" spans="1:2" x14ac:dyDescent="0.15">
      <c r="A129" s="1" t="s">
        <v>122</v>
      </c>
      <c r="B129" s="7" t="s">
        <v>438</v>
      </c>
    </row>
    <row r="130" spans="1:2" x14ac:dyDescent="0.15">
      <c r="A130" s="1" t="s">
        <v>123</v>
      </c>
      <c r="B130" s="7" t="s">
        <v>439</v>
      </c>
    </row>
    <row r="131" spans="1:2" x14ac:dyDescent="0.15">
      <c r="A131" s="1" t="s">
        <v>124</v>
      </c>
      <c r="B131" s="7" t="s">
        <v>440</v>
      </c>
    </row>
    <row r="132" spans="1:2" x14ac:dyDescent="0.15">
      <c r="A132" s="1" t="s">
        <v>125</v>
      </c>
      <c r="B132" s="7" t="s">
        <v>441</v>
      </c>
    </row>
    <row r="133" spans="1:2" x14ac:dyDescent="0.15">
      <c r="A133" s="1" t="s">
        <v>126</v>
      </c>
      <c r="B133" s="7" t="s">
        <v>442</v>
      </c>
    </row>
    <row r="134" spans="1:2" x14ac:dyDescent="0.15">
      <c r="A134" s="1" t="s">
        <v>127</v>
      </c>
      <c r="B134" s="7" t="s">
        <v>443</v>
      </c>
    </row>
    <row r="135" spans="1:2" x14ac:dyDescent="0.15">
      <c r="A135" s="1" t="s">
        <v>128</v>
      </c>
      <c r="B135" s="7" t="s">
        <v>444</v>
      </c>
    </row>
    <row r="136" spans="1:2" x14ac:dyDescent="0.15">
      <c r="A136" s="1" t="s">
        <v>129</v>
      </c>
      <c r="B136" s="7" t="s">
        <v>445</v>
      </c>
    </row>
    <row r="137" spans="1:2" x14ac:dyDescent="0.15">
      <c r="A137" s="1" t="s">
        <v>130</v>
      </c>
      <c r="B137" s="7" t="s">
        <v>446</v>
      </c>
    </row>
    <row r="138" spans="1:2" x14ac:dyDescent="0.15">
      <c r="A138" s="1" t="s">
        <v>131</v>
      </c>
      <c r="B138" s="7" t="s">
        <v>447</v>
      </c>
    </row>
    <row r="139" spans="1:2" x14ac:dyDescent="0.15">
      <c r="A139" s="1" t="s">
        <v>132</v>
      </c>
      <c r="B139" s="7" t="s">
        <v>448</v>
      </c>
    </row>
    <row r="140" spans="1:2" x14ac:dyDescent="0.15">
      <c r="A140" s="1" t="s">
        <v>133</v>
      </c>
      <c r="B140" s="7" t="s">
        <v>449</v>
      </c>
    </row>
    <row r="141" spans="1:2" x14ac:dyDescent="0.15">
      <c r="A141" s="1" t="s">
        <v>134</v>
      </c>
      <c r="B141" s="7" t="s">
        <v>450</v>
      </c>
    </row>
    <row r="142" spans="1:2" x14ac:dyDescent="0.15">
      <c r="A142" s="1" t="s">
        <v>135</v>
      </c>
      <c r="B142" s="7" t="s">
        <v>451</v>
      </c>
    </row>
    <row r="143" spans="1:2" x14ac:dyDescent="0.15">
      <c r="A143" s="1" t="s">
        <v>136</v>
      </c>
      <c r="B143" s="7" t="s">
        <v>452</v>
      </c>
    </row>
    <row r="144" spans="1:2" x14ac:dyDescent="0.15">
      <c r="A144" s="1" t="s">
        <v>137</v>
      </c>
      <c r="B144" s="7" t="s">
        <v>453</v>
      </c>
    </row>
    <row r="145" spans="1:2" x14ac:dyDescent="0.15">
      <c r="A145" s="1" t="s">
        <v>138</v>
      </c>
      <c r="B145" s="7" t="s">
        <v>454</v>
      </c>
    </row>
    <row r="146" spans="1:2" x14ac:dyDescent="0.15">
      <c r="A146" s="1" t="s">
        <v>139</v>
      </c>
      <c r="B146" s="7" t="s">
        <v>455</v>
      </c>
    </row>
    <row r="147" spans="1:2" x14ac:dyDescent="0.15">
      <c r="A147" s="1" t="s">
        <v>140</v>
      </c>
      <c r="B147" s="7" t="s">
        <v>456</v>
      </c>
    </row>
    <row r="148" spans="1:2" x14ac:dyDescent="0.15">
      <c r="A148" s="1" t="s">
        <v>141</v>
      </c>
      <c r="B148" s="7" t="s">
        <v>457</v>
      </c>
    </row>
    <row r="149" spans="1:2" x14ac:dyDescent="0.15">
      <c r="A149" s="1" t="s">
        <v>142</v>
      </c>
      <c r="B149" s="7" t="s">
        <v>458</v>
      </c>
    </row>
    <row r="150" spans="1:2" x14ac:dyDescent="0.15">
      <c r="A150" s="1" t="s">
        <v>143</v>
      </c>
      <c r="B150" s="7" t="s">
        <v>459</v>
      </c>
    </row>
    <row r="151" spans="1:2" x14ac:dyDescent="0.15">
      <c r="A151" s="1" t="s">
        <v>144</v>
      </c>
      <c r="B151" s="7" t="s">
        <v>460</v>
      </c>
    </row>
    <row r="152" spans="1:2" x14ac:dyDescent="0.15">
      <c r="A152" s="1" t="s">
        <v>145</v>
      </c>
      <c r="B152" s="7" t="s">
        <v>461</v>
      </c>
    </row>
    <row r="153" spans="1:2" x14ac:dyDescent="0.15">
      <c r="A153" s="1" t="s">
        <v>146</v>
      </c>
      <c r="B153" s="7" t="s">
        <v>462</v>
      </c>
    </row>
    <row r="154" spans="1:2" x14ac:dyDescent="0.15">
      <c r="A154" s="1" t="s">
        <v>147</v>
      </c>
      <c r="B154" s="7" t="s">
        <v>463</v>
      </c>
    </row>
    <row r="155" spans="1:2" x14ac:dyDescent="0.15">
      <c r="A155" s="1" t="s">
        <v>148</v>
      </c>
      <c r="B155" s="7" t="s">
        <v>464</v>
      </c>
    </row>
    <row r="156" spans="1:2" x14ac:dyDescent="0.15">
      <c r="A156" s="1" t="s">
        <v>149</v>
      </c>
      <c r="B156" s="7" t="s">
        <v>465</v>
      </c>
    </row>
    <row r="157" spans="1:2" x14ac:dyDescent="0.15">
      <c r="A157" s="1" t="s">
        <v>150</v>
      </c>
      <c r="B157" s="7" t="s">
        <v>466</v>
      </c>
    </row>
    <row r="158" spans="1:2" x14ac:dyDescent="0.15">
      <c r="A158" s="1" t="s">
        <v>151</v>
      </c>
      <c r="B158" s="7" t="s">
        <v>467</v>
      </c>
    </row>
    <row r="159" spans="1:2" x14ac:dyDescent="0.15">
      <c r="A159" s="1" t="s">
        <v>152</v>
      </c>
      <c r="B159" s="7" t="s">
        <v>468</v>
      </c>
    </row>
    <row r="160" spans="1:2" x14ac:dyDescent="0.15">
      <c r="A160" s="1" t="s">
        <v>153</v>
      </c>
      <c r="B160" s="7" t="s">
        <v>469</v>
      </c>
    </row>
    <row r="161" spans="1:2" x14ac:dyDescent="0.15">
      <c r="A161" s="1" t="s">
        <v>154</v>
      </c>
      <c r="B161" s="7" t="s">
        <v>470</v>
      </c>
    </row>
    <row r="162" spans="1:2" x14ac:dyDescent="0.15">
      <c r="A162" s="1" t="s">
        <v>155</v>
      </c>
      <c r="B162" s="7" t="s">
        <v>471</v>
      </c>
    </row>
    <row r="163" spans="1:2" x14ac:dyDescent="0.15">
      <c r="A163" s="1" t="s">
        <v>156</v>
      </c>
      <c r="B163" s="7" t="s">
        <v>472</v>
      </c>
    </row>
    <row r="164" spans="1:2" x14ac:dyDescent="0.15">
      <c r="A164" s="1" t="s">
        <v>157</v>
      </c>
      <c r="B164" s="7" t="s">
        <v>473</v>
      </c>
    </row>
    <row r="165" spans="1:2" x14ac:dyDescent="0.15">
      <c r="A165" s="1" t="s">
        <v>158</v>
      </c>
      <c r="B165" s="7" t="s">
        <v>474</v>
      </c>
    </row>
    <row r="166" spans="1:2" x14ac:dyDescent="0.15">
      <c r="A166" s="1" t="s">
        <v>159</v>
      </c>
      <c r="B166" s="7" t="s">
        <v>475</v>
      </c>
    </row>
    <row r="167" spans="1:2" x14ac:dyDescent="0.15">
      <c r="A167" s="1" t="s">
        <v>160</v>
      </c>
      <c r="B167" s="7" t="s">
        <v>476</v>
      </c>
    </row>
    <row r="168" spans="1:2" x14ac:dyDescent="0.15">
      <c r="A168" s="1" t="s">
        <v>161</v>
      </c>
      <c r="B168" s="7" t="s">
        <v>477</v>
      </c>
    </row>
    <row r="169" spans="1:2" x14ac:dyDescent="0.15">
      <c r="A169" s="1" t="s">
        <v>162</v>
      </c>
      <c r="B169" s="7" t="s">
        <v>478</v>
      </c>
    </row>
    <row r="170" spans="1:2" x14ac:dyDescent="0.15">
      <c r="A170" s="1" t="s">
        <v>163</v>
      </c>
      <c r="B170" s="7" t="s">
        <v>479</v>
      </c>
    </row>
    <row r="171" spans="1:2" x14ac:dyDescent="0.15">
      <c r="A171" s="1" t="s">
        <v>164</v>
      </c>
      <c r="B171" s="7" t="s">
        <v>480</v>
      </c>
    </row>
    <row r="172" spans="1:2" x14ac:dyDescent="0.15">
      <c r="A172" s="1" t="s">
        <v>165</v>
      </c>
      <c r="B172" s="7" t="s">
        <v>481</v>
      </c>
    </row>
    <row r="173" spans="1:2" x14ac:dyDescent="0.15">
      <c r="A173" s="1" t="s">
        <v>166</v>
      </c>
      <c r="B173" s="7" t="s">
        <v>482</v>
      </c>
    </row>
    <row r="174" spans="1:2" x14ac:dyDescent="0.15">
      <c r="A174" s="1" t="s">
        <v>167</v>
      </c>
      <c r="B174" s="7" t="s">
        <v>483</v>
      </c>
    </row>
    <row r="175" spans="1:2" x14ac:dyDescent="0.15">
      <c r="A175" s="1" t="s">
        <v>168</v>
      </c>
      <c r="B175" s="7" t="s">
        <v>484</v>
      </c>
    </row>
    <row r="176" spans="1:2" x14ac:dyDescent="0.15">
      <c r="A176" s="1" t="s">
        <v>169</v>
      </c>
      <c r="B176" s="7" t="s">
        <v>485</v>
      </c>
    </row>
    <row r="177" spans="1:2" x14ac:dyDescent="0.15">
      <c r="A177" s="1" t="s">
        <v>170</v>
      </c>
      <c r="B177" s="7" t="s">
        <v>486</v>
      </c>
    </row>
    <row r="178" spans="1:2" x14ac:dyDescent="0.15">
      <c r="A178" s="1" t="s">
        <v>171</v>
      </c>
      <c r="B178" s="7" t="s">
        <v>487</v>
      </c>
    </row>
    <row r="179" spans="1:2" x14ac:dyDescent="0.15">
      <c r="A179" s="1" t="s">
        <v>172</v>
      </c>
      <c r="B179" s="7" t="s">
        <v>495</v>
      </c>
    </row>
    <row r="180" spans="1:2" x14ac:dyDescent="0.15">
      <c r="A180" s="1" t="s">
        <v>173</v>
      </c>
      <c r="B180" s="7" t="s">
        <v>488</v>
      </c>
    </row>
    <row r="181" spans="1:2" x14ac:dyDescent="0.15">
      <c r="A181" s="1" t="s">
        <v>174</v>
      </c>
      <c r="B181" s="7" t="s">
        <v>489</v>
      </c>
    </row>
    <row r="182" spans="1:2" x14ac:dyDescent="0.15">
      <c r="A182" s="1" t="s">
        <v>175</v>
      </c>
      <c r="B182" s="7" t="s">
        <v>175</v>
      </c>
    </row>
    <row r="183" spans="1:2" x14ac:dyDescent="0.15">
      <c r="A183" s="1" t="s">
        <v>176</v>
      </c>
      <c r="B183" s="7" t="s">
        <v>490</v>
      </c>
    </row>
    <row r="184" spans="1:2" x14ac:dyDescent="0.15">
      <c r="A184" s="1" t="s">
        <v>177</v>
      </c>
      <c r="B184" s="7" t="s">
        <v>491</v>
      </c>
    </row>
    <row r="185" spans="1:2" x14ac:dyDescent="0.15">
      <c r="A185" s="1" t="s">
        <v>178</v>
      </c>
      <c r="B185" s="7" t="s">
        <v>492</v>
      </c>
    </row>
    <row r="186" spans="1:2" x14ac:dyDescent="0.15">
      <c r="A186" s="1" t="s">
        <v>179</v>
      </c>
      <c r="B186" s="7" t="s">
        <v>493</v>
      </c>
    </row>
    <row r="187" spans="1:2" x14ac:dyDescent="0.15">
      <c r="A187" s="1" t="s">
        <v>180</v>
      </c>
      <c r="B187" s="7" t="s">
        <v>494</v>
      </c>
    </row>
    <row r="188" spans="1:2" x14ac:dyDescent="0.15">
      <c r="A188" s="1" t="s">
        <v>181</v>
      </c>
      <c r="B188" s="7" t="s">
        <v>496</v>
      </c>
    </row>
    <row r="189" spans="1:2" x14ac:dyDescent="0.15">
      <c r="A189" s="1" t="s">
        <v>182</v>
      </c>
      <c r="B189" s="7" t="s">
        <v>497</v>
      </c>
    </row>
    <row r="190" spans="1:2" x14ac:dyDescent="0.15">
      <c r="A190" s="1" t="s">
        <v>183</v>
      </c>
      <c r="B190" s="7" t="s">
        <v>498</v>
      </c>
    </row>
    <row r="191" spans="1:2" x14ac:dyDescent="0.15">
      <c r="A191" s="1" t="s">
        <v>184</v>
      </c>
      <c r="B191" s="7" t="s">
        <v>499</v>
      </c>
    </row>
    <row r="192" spans="1:2" x14ac:dyDescent="0.15">
      <c r="A192" s="1" t="s">
        <v>185</v>
      </c>
      <c r="B192" s="7" t="s">
        <v>500</v>
      </c>
    </row>
    <row r="193" spans="1:2" x14ac:dyDescent="0.15">
      <c r="A193" s="1" t="s">
        <v>186</v>
      </c>
      <c r="B193" s="7" t="s">
        <v>501</v>
      </c>
    </row>
    <row r="194" spans="1:2" x14ac:dyDescent="0.15">
      <c r="A194" s="1" t="s">
        <v>187</v>
      </c>
      <c r="B194" s="7" t="s">
        <v>502</v>
      </c>
    </row>
    <row r="195" spans="1:2" x14ac:dyDescent="0.15">
      <c r="A195" s="1" t="s">
        <v>188</v>
      </c>
      <c r="B195" s="7" t="s">
        <v>503</v>
      </c>
    </row>
    <row r="196" spans="1:2" x14ac:dyDescent="0.15">
      <c r="A196" s="1" t="s">
        <v>186</v>
      </c>
      <c r="B196" s="7" t="s">
        <v>501</v>
      </c>
    </row>
    <row r="197" spans="1:2" x14ac:dyDescent="0.15">
      <c r="A197" s="1" t="s">
        <v>189</v>
      </c>
      <c r="B197" s="7" t="s">
        <v>504</v>
      </c>
    </row>
    <row r="198" spans="1:2" x14ac:dyDescent="0.15">
      <c r="A198" s="1" t="s">
        <v>190</v>
      </c>
      <c r="B198" s="7" t="s">
        <v>505</v>
      </c>
    </row>
    <row r="199" spans="1:2" x14ac:dyDescent="0.15">
      <c r="A199" s="1" t="s">
        <v>191</v>
      </c>
      <c r="B199" s="7" t="s">
        <v>506</v>
      </c>
    </row>
    <row r="200" spans="1:2" x14ac:dyDescent="0.15">
      <c r="A200" s="1" t="s">
        <v>192</v>
      </c>
      <c r="B200" s="7" t="s">
        <v>610</v>
      </c>
    </row>
    <row r="201" spans="1:2" x14ac:dyDescent="0.15">
      <c r="A201" s="1" t="s">
        <v>193</v>
      </c>
      <c r="B201" s="7" t="s">
        <v>611</v>
      </c>
    </row>
    <row r="202" spans="1:2" x14ac:dyDescent="0.15">
      <c r="A202" s="1" t="s">
        <v>194</v>
      </c>
      <c r="B202" s="7" t="s">
        <v>612</v>
      </c>
    </row>
    <row r="203" spans="1:2" x14ac:dyDescent="0.15">
      <c r="A203" s="1" t="s">
        <v>195</v>
      </c>
      <c r="B203" s="9" t="s">
        <v>613</v>
      </c>
    </row>
    <row r="204" spans="1:2" x14ac:dyDescent="0.15">
      <c r="A204" s="1" t="s">
        <v>196</v>
      </c>
      <c r="B204" s="9" t="s">
        <v>614</v>
      </c>
    </row>
    <row r="205" spans="1:2" x14ac:dyDescent="0.15">
      <c r="A205" s="1" t="s">
        <v>197</v>
      </c>
      <c r="B205" s="9" t="s">
        <v>615</v>
      </c>
    </row>
    <row r="206" spans="1:2" x14ac:dyDescent="0.15">
      <c r="A206" s="1" t="s">
        <v>198</v>
      </c>
      <c r="B206" s="9" t="s">
        <v>616</v>
      </c>
    </row>
    <row r="207" spans="1:2" x14ac:dyDescent="0.15">
      <c r="A207" s="1" t="s">
        <v>199</v>
      </c>
      <c r="B207" s="7" t="s">
        <v>617</v>
      </c>
    </row>
    <row r="208" spans="1:2" x14ac:dyDescent="0.15">
      <c r="A208" s="1" t="s">
        <v>200</v>
      </c>
      <c r="B208" s="7" t="s">
        <v>618</v>
      </c>
    </row>
    <row r="209" spans="1:2" x14ac:dyDescent="0.15">
      <c r="A209" s="1" t="s">
        <v>201</v>
      </c>
      <c r="B209" s="7" t="s">
        <v>619</v>
      </c>
    </row>
    <row r="210" spans="1:2" x14ac:dyDescent="0.15">
      <c r="A210" s="1" t="s">
        <v>202</v>
      </c>
      <c r="B210" s="7" t="s">
        <v>507</v>
      </c>
    </row>
    <row r="211" spans="1:2" x14ac:dyDescent="0.15">
      <c r="A211" s="1" t="s">
        <v>203</v>
      </c>
      <c r="B211" s="7" t="s">
        <v>508</v>
      </c>
    </row>
    <row r="212" spans="1:2" x14ac:dyDescent="0.15">
      <c r="A212" s="1" t="s">
        <v>204</v>
      </c>
      <c r="B212" s="7" t="s">
        <v>509</v>
      </c>
    </row>
    <row r="213" spans="1:2" x14ac:dyDescent="0.15">
      <c r="A213" s="1" t="s">
        <v>205</v>
      </c>
      <c r="B213" s="7" t="s">
        <v>510</v>
      </c>
    </row>
    <row r="214" spans="1:2" x14ac:dyDescent="0.15">
      <c r="A214" s="1" t="s">
        <v>206</v>
      </c>
      <c r="B214" s="7" t="s">
        <v>511</v>
      </c>
    </row>
    <row r="215" spans="1:2" x14ac:dyDescent="0.15">
      <c r="A215" s="1" t="s">
        <v>207</v>
      </c>
      <c r="B215" s="7" t="s">
        <v>512</v>
      </c>
    </row>
    <row r="216" spans="1:2" x14ac:dyDescent="0.15">
      <c r="A216" s="1" t="s">
        <v>208</v>
      </c>
      <c r="B216" s="7" t="s">
        <v>513</v>
      </c>
    </row>
    <row r="217" spans="1:2" x14ac:dyDescent="0.15">
      <c r="A217" s="1" t="s">
        <v>209</v>
      </c>
      <c r="B217" s="7" t="s">
        <v>514</v>
      </c>
    </row>
    <row r="218" spans="1:2" x14ac:dyDescent="0.15">
      <c r="A218" s="1" t="s">
        <v>210</v>
      </c>
      <c r="B218" s="7" t="s">
        <v>515</v>
      </c>
    </row>
    <row r="219" spans="1:2" x14ac:dyDescent="0.15">
      <c r="A219" s="1" t="s">
        <v>211</v>
      </c>
      <c r="B219" s="7" t="s">
        <v>516</v>
      </c>
    </row>
    <row r="220" spans="1:2" x14ac:dyDescent="0.15">
      <c r="A220" s="1" t="s">
        <v>212</v>
      </c>
      <c r="B220" s="7" t="s">
        <v>517</v>
      </c>
    </row>
    <row r="221" spans="1:2" x14ac:dyDescent="0.15">
      <c r="A221" s="1" t="s">
        <v>213</v>
      </c>
      <c r="B221" s="7" t="s">
        <v>518</v>
      </c>
    </row>
    <row r="222" spans="1:2" x14ac:dyDescent="0.15">
      <c r="A222" s="1" t="s">
        <v>214</v>
      </c>
      <c r="B222" s="7" t="s">
        <v>519</v>
      </c>
    </row>
    <row r="223" spans="1:2" x14ac:dyDescent="0.15">
      <c r="A223" s="1" t="s">
        <v>215</v>
      </c>
      <c r="B223" s="7" t="s">
        <v>520</v>
      </c>
    </row>
    <row r="224" spans="1:2" x14ac:dyDescent="0.15">
      <c r="A224" s="1" t="s">
        <v>216</v>
      </c>
      <c r="B224" s="7" t="s">
        <v>521</v>
      </c>
    </row>
    <row r="225" spans="1:2" x14ac:dyDescent="0.15">
      <c r="A225" s="1" t="s">
        <v>217</v>
      </c>
      <c r="B225" s="7" t="s">
        <v>522</v>
      </c>
    </row>
    <row r="226" spans="1:2" x14ac:dyDescent="0.15">
      <c r="A226" s="1" t="s">
        <v>218</v>
      </c>
      <c r="B226" s="7" t="s">
        <v>180</v>
      </c>
    </row>
    <row r="227" spans="1:2" x14ac:dyDescent="0.15">
      <c r="A227" s="1" t="s">
        <v>219</v>
      </c>
      <c r="B227" s="7" t="s">
        <v>523</v>
      </c>
    </row>
    <row r="228" spans="1:2" x14ac:dyDescent="0.15">
      <c r="A228" s="1" t="s">
        <v>220</v>
      </c>
      <c r="B228" s="7" t="s">
        <v>524</v>
      </c>
    </row>
    <row r="229" spans="1:2" x14ac:dyDescent="0.15">
      <c r="A229" s="1" t="s">
        <v>221</v>
      </c>
      <c r="B229" s="7" t="s">
        <v>525</v>
      </c>
    </row>
    <row r="230" spans="1:2" x14ac:dyDescent="0.15">
      <c r="A230" s="1" t="s">
        <v>222</v>
      </c>
      <c r="B230" s="7" t="s">
        <v>222</v>
      </c>
    </row>
    <row r="231" spans="1:2" x14ac:dyDescent="0.15">
      <c r="A231" s="1" t="s">
        <v>223</v>
      </c>
      <c r="B231" s="7" t="s">
        <v>526</v>
      </c>
    </row>
    <row r="232" spans="1:2" x14ac:dyDescent="0.15">
      <c r="A232" s="1" t="s">
        <v>224</v>
      </c>
      <c r="B232" s="7" t="s">
        <v>527</v>
      </c>
    </row>
    <row r="233" spans="1:2" x14ac:dyDescent="0.15">
      <c r="A233" s="1" t="s">
        <v>225</v>
      </c>
      <c r="B233" s="7" t="s">
        <v>528</v>
      </c>
    </row>
    <row r="234" spans="1:2" x14ac:dyDescent="0.15">
      <c r="A234" s="1" t="s">
        <v>226</v>
      </c>
      <c r="B234" s="7" t="s">
        <v>529</v>
      </c>
    </row>
    <row r="235" spans="1:2" x14ac:dyDescent="0.15">
      <c r="A235" s="1" t="s">
        <v>227</v>
      </c>
      <c r="B235" s="7" t="s">
        <v>530</v>
      </c>
    </row>
    <row r="236" spans="1:2" x14ac:dyDescent="0.15">
      <c r="A236" s="1" t="s">
        <v>228</v>
      </c>
      <c r="B236" s="7" t="s">
        <v>531</v>
      </c>
    </row>
    <row r="237" spans="1:2" x14ac:dyDescent="0.15">
      <c r="A237" s="1" t="s">
        <v>229</v>
      </c>
      <c r="B237" s="7" t="s">
        <v>532</v>
      </c>
    </row>
    <row r="238" spans="1:2" x14ac:dyDescent="0.15">
      <c r="A238" s="1" t="s">
        <v>230</v>
      </c>
      <c r="B238" s="7" t="s">
        <v>533</v>
      </c>
    </row>
    <row r="239" spans="1:2" x14ac:dyDescent="0.15">
      <c r="A239" s="1" t="s">
        <v>231</v>
      </c>
      <c r="B239" s="7" t="s">
        <v>534</v>
      </c>
    </row>
    <row r="240" spans="1:2" x14ac:dyDescent="0.15">
      <c r="A240" s="1" t="s">
        <v>232</v>
      </c>
      <c r="B240" s="7" t="s">
        <v>535</v>
      </c>
    </row>
    <row r="241" spans="1:4" x14ac:dyDescent="0.15">
      <c r="A241" s="1" t="s">
        <v>233</v>
      </c>
      <c r="B241" s="7" t="s">
        <v>536</v>
      </c>
    </row>
    <row r="242" spans="1:4" x14ac:dyDescent="0.15">
      <c r="A242" s="1" t="s">
        <v>234</v>
      </c>
      <c r="B242" s="7" t="s">
        <v>537</v>
      </c>
    </row>
    <row r="243" spans="1:4" x14ac:dyDescent="0.15">
      <c r="A243" s="1" t="s">
        <v>235</v>
      </c>
      <c r="B243" s="7" t="s">
        <v>538</v>
      </c>
    </row>
    <row r="244" spans="1:4" x14ac:dyDescent="0.15">
      <c r="A244" s="1" t="s">
        <v>236</v>
      </c>
      <c r="B244" s="7" t="s">
        <v>539</v>
      </c>
    </row>
    <row r="245" spans="1:4" x14ac:dyDescent="0.15">
      <c r="A245" s="1" t="s">
        <v>237</v>
      </c>
      <c r="B245" s="7" t="s">
        <v>540</v>
      </c>
    </row>
    <row r="246" spans="1:4" x14ac:dyDescent="0.15">
      <c r="A246" s="1" t="s">
        <v>238</v>
      </c>
      <c r="B246" s="7" t="s">
        <v>541</v>
      </c>
    </row>
    <row r="247" spans="1:4" x14ac:dyDescent="0.15">
      <c r="A247" s="1" t="s">
        <v>239</v>
      </c>
      <c r="B247" s="7" t="s">
        <v>542</v>
      </c>
    </row>
    <row r="248" spans="1:4" x14ac:dyDescent="0.15">
      <c r="A248" s="1" t="s">
        <v>620</v>
      </c>
      <c r="B248" s="7" t="s">
        <v>325</v>
      </c>
    </row>
    <row r="249" spans="1:4" x14ac:dyDescent="0.15">
      <c r="A249" s="1" t="s">
        <v>621</v>
      </c>
      <c r="B249" s="7" t="s">
        <v>543</v>
      </c>
    </row>
    <row r="250" spans="1:4" x14ac:dyDescent="0.15">
      <c r="A250" s="1" t="s">
        <v>287</v>
      </c>
      <c r="B250" s="7" t="s">
        <v>544</v>
      </c>
    </row>
    <row r="251" spans="1:4" x14ac:dyDescent="0.15">
      <c r="A251" s="5" t="s">
        <v>622</v>
      </c>
      <c r="B251" s="7" t="s">
        <v>545</v>
      </c>
      <c r="C251" s="5"/>
    </row>
    <row r="252" spans="1:4" s="5" customFormat="1" x14ac:dyDescent="0.15">
      <c r="A252" s="6" t="s">
        <v>623</v>
      </c>
      <c r="B252" s="10" t="s">
        <v>546</v>
      </c>
      <c r="C252" s="6"/>
      <c r="D252" s="19"/>
    </row>
    <row r="253" spans="1:4" s="5" customFormat="1" x14ac:dyDescent="0.15">
      <c r="A253" s="6" t="s">
        <v>624</v>
      </c>
      <c r="B253" s="10" t="s">
        <v>547</v>
      </c>
      <c r="C253" s="6"/>
      <c r="D253" s="19"/>
    </row>
    <row r="254" spans="1:4" s="5" customFormat="1" x14ac:dyDescent="0.15">
      <c r="A254" s="6" t="s">
        <v>625</v>
      </c>
      <c r="B254" s="10" t="s">
        <v>548</v>
      </c>
      <c r="C254" s="6"/>
      <c r="D254" s="19"/>
    </row>
    <row r="255" spans="1:4" s="6" customFormat="1" x14ac:dyDescent="0.15">
      <c r="A255" s="13" t="s">
        <v>626</v>
      </c>
      <c r="B255" s="14" t="s">
        <v>549</v>
      </c>
      <c r="C255" s="13"/>
      <c r="D255" s="19"/>
    </row>
    <row r="256" spans="1:4" s="6" customFormat="1" x14ac:dyDescent="0.15">
      <c r="A256" s="13" t="s">
        <v>627</v>
      </c>
      <c r="B256" s="14" t="s">
        <v>550</v>
      </c>
      <c r="C256" s="13"/>
      <c r="D256" s="19"/>
    </row>
    <row r="257" spans="1:4" s="13" customFormat="1" x14ac:dyDescent="0.15">
      <c r="A257" s="15" t="s">
        <v>628</v>
      </c>
      <c r="B257" s="16" t="s">
        <v>551</v>
      </c>
      <c r="C257" s="15"/>
      <c r="D257" s="19"/>
    </row>
    <row r="258" spans="1:4" x14ac:dyDescent="0.15">
      <c r="A258" s="5"/>
      <c r="C258" s="5"/>
    </row>
    <row r="259" spans="1:4" x14ac:dyDescent="0.15">
      <c r="A259" s="1" t="s">
        <v>240</v>
      </c>
      <c r="B259" s="7" t="s">
        <v>552</v>
      </c>
    </row>
    <row r="260" spans="1:4" x14ac:dyDescent="0.15">
      <c r="A260" s="1" t="s">
        <v>241</v>
      </c>
      <c r="B260" s="7" t="s">
        <v>553</v>
      </c>
    </row>
    <row r="261" spans="1:4" x14ac:dyDescent="0.15">
      <c r="A261" s="1" t="s">
        <v>242</v>
      </c>
      <c r="B261" s="7" t="s">
        <v>554</v>
      </c>
    </row>
    <row r="262" spans="1:4" x14ac:dyDescent="0.15">
      <c r="A262" s="1" t="s">
        <v>243</v>
      </c>
      <c r="B262" s="7" t="s">
        <v>555</v>
      </c>
    </row>
    <row r="263" spans="1:4" x14ac:dyDescent="0.15">
      <c r="A263" s="1" t="s">
        <v>244</v>
      </c>
      <c r="B263" s="7" t="s">
        <v>556</v>
      </c>
    </row>
    <row r="264" spans="1:4" x14ac:dyDescent="0.15">
      <c r="A264" s="1" t="s">
        <v>245</v>
      </c>
      <c r="B264" s="7" t="s">
        <v>557</v>
      </c>
    </row>
    <row r="265" spans="1:4" x14ac:dyDescent="0.15">
      <c r="A265" s="1" t="s">
        <v>246</v>
      </c>
      <c r="B265" s="7" t="s">
        <v>558</v>
      </c>
    </row>
    <row r="267" spans="1:4" x14ac:dyDescent="0.15">
      <c r="A267" s="1" t="s">
        <v>247</v>
      </c>
      <c r="B267" s="7" t="s">
        <v>276</v>
      </c>
    </row>
    <row r="268" spans="1:4" x14ac:dyDescent="0.15">
      <c r="A268" s="1" t="s">
        <v>248</v>
      </c>
      <c r="B268" s="7" t="s">
        <v>277</v>
      </c>
    </row>
    <row r="269" spans="1:4" x14ac:dyDescent="0.15">
      <c r="A269" s="1" t="s">
        <v>249</v>
      </c>
      <c r="B269" s="7" t="s">
        <v>629</v>
      </c>
    </row>
    <row r="270" spans="1:4" x14ac:dyDescent="0.15">
      <c r="A270" s="1" t="s">
        <v>250</v>
      </c>
      <c r="B270" s="7" t="s">
        <v>278</v>
      </c>
    </row>
    <row r="271" spans="1:4" x14ac:dyDescent="0.15">
      <c r="A271" s="1" t="s">
        <v>251</v>
      </c>
      <c r="B271" s="7" t="s">
        <v>630</v>
      </c>
    </row>
    <row r="272" spans="1:4" x14ac:dyDescent="0.15">
      <c r="A272" s="1" t="s">
        <v>252</v>
      </c>
      <c r="B272" s="7" t="s">
        <v>279</v>
      </c>
    </row>
    <row r="273" spans="1:2" x14ac:dyDescent="0.15">
      <c r="A273" s="1" t="s">
        <v>253</v>
      </c>
      <c r="B273" s="7" t="s">
        <v>559</v>
      </c>
    </row>
    <row r="275" spans="1:2" x14ac:dyDescent="0.15">
      <c r="A275" s="1" t="s">
        <v>254</v>
      </c>
      <c r="B275" s="7" t="s">
        <v>560</v>
      </c>
    </row>
    <row r="276" spans="1:2" x14ac:dyDescent="0.15">
      <c r="A276" s="1" t="s">
        <v>255</v>
      </c>
      <c r="B276" s="7" t="s">
        <v>561</v>
      </c>
    </row>
    <row r="277" spans="1:2" x14ac:dyDescent="0.15">
      <c r="A277" s="1" t="s">
        <v>256</v>
      </c>
      <c r="B277" s="7" t="s">
        <v>562</v>
      </c>
    </row>
    <row r="278" spans="1:2" x14ac:dyDescent="0.15">
      <c r="A278" s="1" t="s">
        <v>257</v>
      </c>
      <c r="B278" s="7" t="s">
        <v>563</v>
      </c>
    </row>
    <row r="279" spans="1:2" x14ac:dyDescent="0.15">
      <c r="A279" s="1" t="s">
        <v>258</v>
      </c>
      <c r="B279" s="7" t="s">
        <v>564</v>
      </c>
    </row>
    <row r="280" spans="1:2" x14ac:dyDescent="0.15">
      <c r="A280" s="1" t="s">
        <v>259</v>
      </c>
      <c r="B280" s="7" t="s">
        <v>565</v>
      </c>
    </row>
    <row r="281" spans="1:2" x14ac:dyDescent="0.15">
      <c r="A281" s="1" t="s">
        <v>260</v>
      </c>
      <c r="B281" s="7" t="s">
        <v>566</v>
      </c>
    </row>
    <row r="282" spans="1:2" x14ac:dyDescent="0.15">
      <c r="A282" s="1" t="s">
        <v>261</v>
      </c>
      <c r="B282" s="7" t="s">
        <v>567</v>
      </c>
    </row>
    <row r="283" spans="1:2" x14ac:dyDescent="0.15">
      <c r="A283" s="1" t="s">
        <v>262</v>
      </c>
      <c r="B283" s="7" t="s">
        <v>568</v>
      </c>
    </row>
    <row r="284" spans="1:2" x14ac:dyDescent="0.15">
      <c r="A284" s="1" t="s">
        <v>263</v>
      </c>
      <c r="B284" s="7" t="s">
        <v>569</v>
      </c>
    </row>
    <row r="285" spans="1:2" x14ac:dyDescent="0.15">
      <c r="A285" s="1" t="s">
        <v>264</v>
      </c>
      <c r="B285" s="7" t="s">
        <v>570</v>
      </c>
    </row>
    <row r="286" spans="1:2" x14ac:dyDescent="0.15">
      <c r="A286" s="1" t="s">
        <v>265</v>
      </c>
      <c r="B286" s="7" t="s">
        <v>571</v>
      </c>
    </row>
    <row r="287" spans="1:2" x14ac:dyDescent="0.15">
      <c r="A287" s="1" t="s">
        <v>266</v>
      </c>
      <c r="B287" s="7" t="s">
        <v>572</v>
      </c>
    </row>
    <row r="288" spans="1:2" x14ac:dyDescent="0.15">
      <c r="A288" s="1" t="s">
        <v>267</v>
      </c>
      <c r="B288" s="7" t="s">
        <v>573</v>
      </c>
    </row>
    <row r="289" spans="1:4" x14ac:dyDescent="0.15">
      <c r="A289" s="1" t="s">
        <v>268</v>
      </c>
      <c r="B289" s="7" t="s">
        <v>574</v>
      </c>
    </row>
    <row r="290" spans="1:4" ht="30" x14ac:dyDescent="0.15">
      <c r="A290" s="1" t="s">
        <v>269</v>
      </c>
      <c r="B290" s="21" t="s">
        <v>575</v>
      </c>
      <c r="C290" s="21"/>
    </row>
    <row r="291" spans="1:4" x14ac:dyDescent="0.15">
      <c r="A291" s="1" t="s">
        <v>270</v>
      </c>
      <c r="B291" s="7" t="s">
        <v>576</v>
      </c>
    </row>
    <row r="292" spans="1:4" x14ac:dyDescent="0.15">
      <c r="A292" s="1" t="s">
        <v>271</v>
      </c>
      <c r="B292" s="7" t="s">
        <v>577</v>
      </c>
      <c r="C292" s="1" t="s">
        <v>281</v>
      </c>
    </row>
    <row r="293" spans="1:4" x14ac:dyDescent="0.15">
      <c r="A293" s="1" t="s">
        <v>272</v>
      </c>
      <c r="B293" s="7" t="s">
        <v>578</v>
      </c>
    </row>
    <row r="294" spans="1:4" x14ac:dyDescent="0.15">
      <c r="A294" s="1" t="s">
        <v>273</v>
      </c>
      <c r="B294" s="7" t="s">
        <v>579</v>
      </c>
    </row>
    <row r="295" spans="1:4" x14ac:dyDescent="0.15">
      <c r="A295" s="1" t="s">
        <v>274</v>
      </c>
      <c r="B295" s="7" t="s">
        <v>580</v>
      </c>
    </row>
    <row r="296" spans="1:4" s="15" customFormat="1" x14ac:dyDescent="0.15">
      <c r="A296" s="17" t="s">
        <v>275</v>
      </c>
      <c r="B296" s="18" t="s">
        <v>581</v>
      </c>
      <c r="C296" s="17"/>
      <c r="D296" s="19"/>
    </row>
    <row r="297" spans="1:4" s="15" customFormat="1" x14ac:dyDescent="0.15">
      <c r="A297" s="17"/>
      <c r="B297" s="18"/>
      <c r="C297" s="17"/>
      <c r="D297" s="19"/>
    </row>
    <row r="298" spans="1:4" s="15" customFormat="1" x14ac:dyDescent="0.15">
      <c r="A298" s="17" t="s">
        <v>292</v>
      </c>
      <c r="B298" s="18" t="s">
        <v>582</v>
      </c>
      <c r="C298" s="17"/>
      <c r="D298" s="19"/>
    </row>
    <row r="299" spans="1:4" s="15" customFormat="1" x14ac:dyDescent="0.15">
      <c r="A299" s="17" t="s">
        <v>293</v>
      </c>
      <c r="B299" s="18" t="s">
        <v>583</v>
      </c>
      <c r="C299" s="17"/>
      <c r="D299" s="19"/>
    </row>
    <row r="300" spans="1:4" s="15" customFormat="1" x14ac:dyDescent="0.15">
      <c r="A300" s="17" t="s">
        <v>294</v>
      </c>
      <c r="B300" s="18" t="s">
        <v>584</v>
      </c>
      <c r="C300" s="17"/>
      <c r="D300" s="19"/>
    </row>
    <row r="301" spans="1:4" s="17" customFormat="1" x14ac:dyDescent="0.15">
      <c r="A301" s="19"/>
      <c r="B301" s="20"/>
      <c r="C301" s="19"/>
      <c r="D301" s="19"/>
    </row>
    <row r="302" spans="1:4" s="17" customFormat="1" x14ac:dyDescent="0.15">
      <c r="A302" s="19" t="s">
        <v>295</v>
      </c>
      <c r="B302" s="20" t="s">
        <v>585</v>
      </c>
      <c r="C302" s="19"/>
      <c r="D302" s="19" t="s">
        <v>314</v>
      </c>
    </row>
    <row r="303" spans="1:4" s="17" customFormat="1" x14ac:dyDescent="0.15">
      <c r="A303" s="19" t="s">
        <v>296</v>
      </c>
      <c r="B303" s="20" t="s">
        <v>586</v>
      </c>
      <c r="C303" s="19"/>
      <c r="D303" s="19" t="s">
        <v>314</v>
      </c>
    </row>
    <row r="304" spans="1:4" s="17" customFormat="1" x14ac:dyDescent="0.15">
      <c r="A304" s="19" t="s">
        <v>297</v>
      </c>
      <c r="B304" s="20" t="s">
        <v>587</v>
      </c>
      <c r="C304" s="19"/>
      <c r="D304" s="19" t="s">
        <v>314</v>
      </c>
    </row>
    <row r="305" spans="1:4" s="17" customFormat="1" x14ac:dyDescent="0.15">
      <c r="A305" s="19" t="s">
        <v>298</v>
      </c>
      <c r="B305" s="20" t="s">
        <v>588</v>
      </c>
      <c r="C305" s="19"/>
      <c r="D305" s="19" t="s">
        <v>314</v>
      </c>
    </row>
    <row r="306" spans="1:4" s="17" customFormat="1" x14ac:dyDescent="0.15">
      <c r="A306" s="19" t="s">
        <v>299</v>
      </c>
      <c r="B306" s="20" t="s">
        <v>589</v>
      </c>
      <c r="C306" s="19"/>
      <c r="D306" s="19" t="s">
        <v>314</v>
      </c>
    </row>
    <row r="307" spans="1:4" s="17" customFormat="1" x14ac:dyDescent="0.15">
      <c r="A307" s="19" t="s">
        <v>300</v>
      </c>
      <c r="B307" s="20" t="s">
        <v>590</v>
      </c>
      <c r="C307" s="19"/>
      <c r="D307" s="19" t="s">
        <v>314</v>
      </c>
    </row>
    <row r="308" spans="1:4" s="17" customFormat="1" x14ac:dyDescent="0.15">
      <c r="A308" s="19" t="s">
        <v>301</v>
      </c>
      <c r="B308" s="20" t="s">
        <v>591</v>
      </c>
      <c r="C308" s="19"/>
      <c r="D308" s="19" t="s">
        <v>314</v>
      </c>
    </row>
    <row r="309" spans="1:4" s="17" customFormat="1" x14ac:dyDescent="0.15">
      <c r="A309" s="19" t="s">
        <v>302</v>
      </c>
      <c r="B309" s="20" t="s">
        <v>506</v>
      </c>
      <c r="C309" s="19"/>
      <c r="D309" s="19" t="s">
        <v>314</v>
      </c>
    </row>
    <row r="310" spans="1:4" s="17" customFormat="1" x14ac:dyDescent="0.15">
      <c r="A310" s="19" t="s">
        <v>303</v>
      </c>
      <c r="B310" s="20" t="s">
        <v>592</v>
      </c>
      <c r="C310" s="19"/>
      <c r="D310" s="19" t="s">
        <v>314</v>
      </c>
    </row>
    <row r="311" spans="1:4" s="17" customFormat="1" x14ac:dyDescent="0.15">
      <c r="A311" s="19" t="s">
        <v>304</v>
      </c>
      <c r="B311" s="20" t="s">
        <v>593</v>
      </c>
      <c r="C311" s="19"/>
      <c r="D311" s="19" t="s">
        <v>314</v>
      </c>
    </row>
    <row r="312" spans="1:4" s="17" customFormat="1" x14ac:dyDescent="0.15">
      <c r="A312" s="19" t="s">
        <v>305</v>
      </c>
      <c r="B312" s="20" t="s">
        <v>594</v>
      </c>
      <c r="C312" s="19"/>
      <c r="D312" s="19" t="s">
        <v>314</v>
      </c>
    </row>
    <row r="313" spans="1:4" s="17" customFormat="1" x14ac:dyDescent="0.15">
      <c r="A313" s="19" t="s">
        <v>306</v>
      </c>
      <c r="B313" s="20" t="s">
        <v>595</v>
      </c>
      <c r="C313" s="19"/>
      <c r="D313" s="19" t="s">
        <v>314</v>
      </c>
    </row>
    <row r="314" spans="1:4" s="17" customFormat="1" x14ac:dyDescent="0.15">
      <c r="A314" s="19" t="s">
        <v>307</v>
      </c>
      <c r="B314" s="20" t="s">
        <v>596</v>
      </c>
      <c r="C314" s="19"/>
      <c r="D314" s="19" t="s">
        <v>314</v>
      </c>
    </row>
    <row r="315" spans="1:4" s="17" customFormat="1" x14ac:dyDescent="0.15">
      <c r="A315" s="19" t="s">
        <v>308</v>
      </c>
      <c r="B315" s="20" t="s">
        <v>597</v>
      </c>
      <c r="C315" s="19"/>
      <c r="D315" s="19" t="s">
        <v>314</v>
      </c>
    </row>
    <row r="316" spans="1:4" x14ac:dyDescent="0.15">
      <c r="A316" s="15" t="s">
        <v>309</v>
      </c>
      <c r="B316" s="7" t="s">
        <v>309</v>
      </c>
      <c r="D316" s="19" t="s">
        <v>314</v>
      </c>
    </row>
    <row r="317" spans="1:4" s="15" customFormat="1" x14ac:dyDescent="0.15">
      <c r="A317" s="19" t="s">
        <v>310</v>
      </c>
      <c r="B317" s="20" t="s">
        <v>598</v>
      </c>
      <c r="C317" s="19"/>
      <c r="D317" s="19" t="s">
        <v>314</v>
      </c>
    </row>
    <row r="318" spans="1:4" x14ac:dyDescent="0.15">
      <c r="A318" s="17" t="s">
        <v>311</v>
      </c>
      <c r="B318" s="20" t="s">
        <v>599</v>
      </c>
      <c r="C318" s="19"/>
      <c r="D318" s="19" t="s">
        <v>314</v>
      </c>
    </row>
    <row r="319" spans="1:4" x14ac:dyDescent="0.15">
      <c r="A319" s="17" t="s">
        <v>312</v>
      </c>
      <c r="B319" s="20" t="s">
        <v>600</v>
      </c>
      <c r="C319" s="19"/>
      <c r="D319" s="19" t="s">
        <v>314</v>
      </c>
    </row>
    <row r="320" spans="1:4" x14ac:dyDescent="0.15">
      <c r="A320" s="19"/>
      <c r="B320" s="20"/>
      <c r="C320" s="19"/>
    </row>
    <row r="321" spans="1:4" x14ac:dyDescent="0.15">
      <c r="A321" s="19" t="s">
        <v>631</v>
      </c>
      <c r="B321" s="20" t="s">
        <v>601</v>
      </c>
      <c r="C321" s="19"/>
      <c r="D321" s="19" t="s">
        <v>316</v>
      </c>
    </row>
    <row r="322" spans="1:4" x14ac:dyDescent="0.15">
      <c r="A322" s="19" t="s">
        <v>632</v>
      </c>
      <c r="B322" s="20" t="s">
        <v>602</v>
      </c>
      <c r="C322" s="19"/>
      <c r="D322" s="19" t="s">
        <v>316</v>
      </c>
    </row>
    <row r="323" spans="1:4" x14ac:dyDescent="0.15">
      <c r="A323" s="19"/>
      <c r="B323" s="20"/>
      <c r="C323" s="19"/>
    </row>
    <row r="324" spans="1:4" x14ac:dyDescent="0.15">
      <c r="A324" s="19" t="s">
        <v>633</v>
      </c>
      <c r="B324" s="20" t="s">
        <v>603</v>
      </c>
      <c r="C324" s="19"/>
      <c r="D324" s="19" t="s">
        <v>315</v>
      </c>
    </row>
    <row r="325" spans="1:4" x14ac:dyDescent="0.15">
      <c r="A325" s="19" t="s">
        <v>634</v>
      </c>
      <c r="B325" s="20" t="s">
        <v>604</v>
      </c>
      <c r="C325" s="19"/>
      <c r="D325" s="19" t="s">
        <v>315</v>
      </c>
    </row>
    <row r="326" spans="1:4" x14ac:dyDescent="0.15">
      <c r="A326" s="19" t="s">
        <v>635</v>
      </c>
      <c r="B326" s="20" t="s">
        <v>605</v>
      </c>
      <c r="C326" s="19"/>
      <c r="D326" s="19" t="s">
        <v>315</v>
      </c>
    </row>
    <row r="327" spans="1:4" x14ac:dyDescent="0.15">
      <c r="A327" s="19" t="s">
        <v>636</v>
      </c>
      <c r="B327" s="20" t="s">
        <v>606</v>
      </c>
      <c r="C327" s="19"/>
      <c r="D327" s="19" t="s">
        <v>315</v>
      </c>
    </row>
    <row r="328" spans="1:4" x14ac:dyDescent="0.15">
      <c r="A328" s="19" t="s">
        <v>637</v>
      </c>
      <c r="B328" s="20" t="s">
        <v>400</v>
      </c>
      <c r="C328" s="19"/>
      <c r="D328" s="19" t="s">
        <v>315</v>
      </c>
    </row>
    <row r="329" spans="1:4" x14ac:dyDescent="0.15">
      <c r="A329" s="19" t="s">
        <v>638</v>
      </c>
      <c r="B329" s="20" t="s">
        <v>607</v>
      </c>
      <c r="C329" s="19"/>
    </row>
    <row r="330" spans="1:4" x14ac:dyDescent="0.15">
      <c r="A330" s="19"/>
      <c r="B330" s="20"/>
      <c r="C330" s="19"/>
    </row>
  </sheetData>
  <phoneticPr fontId="1" type="noConversion"/>
  <pageMargins left="0.7" right="0.7" top="0.75" bottom="0.75" header="0.3" footer="0.3"/>
  <pageSetup paperSize="9" orientation="portrait" r:id="rId1"/>
  <customProperties>
    <customPr name="DVSECTION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IV7"/>
  <sheetViews>
    <sheetView workbookViewId="0"/>
  </sheetViews>
  <sheetFormatPr defaultRowHeight="13.5" x14ac:dyDescent="0.15"/>
  <sheetData>
    <row r="1" spans="1:256" x14ac:dyDescent="0.15">
      <c r="A1" t="e">
        <f>IF('Blumind Translations'!1:1,"AAAAAF4f2QA=",0)</f>
        <v>#VALUE!</v>
      </c>
      <c r="B1" t="e">
        <f>AND('Blumind Translations'!A1,"AAAAAF4f2QE=")</f>
        <v>#VALUE!</v>
      </c>
      <c r="C1" t="e">
        <f>AND('Blumind Translations'!B1,"AAAAAF4f2QI=")</f>
        <v>#VALUE!</v>
      </c>
      <c r="D1" t="e">
        <f>AND('Blumind Translations'!C1,"AAAAAF4f2QM=")</f>
        <v>#VALUE!</v>
      </c>
      <c r="E1" t="e">
        <f>AND('Blumind Translations'!D1,"AAAAAF4f2QQ=")</f>
        <v>#VALUE!</v>
      </c>
      <c r="F1">
        <f>IF('Blumind Translations'!2:2,"AAAAAF4f2QU=",0)</f>
        <v>0</v>
      </c>
      <c r="G1" t="e">
        <f>AND('Blumind Translations'!A2,"AAAAAF4f2QY=")</f>
        <v>#VALUE!</v>
      </c>
      <c r="H1" t="e">
        <f>AND('Blumind Translations'!B2,"AAAAAF4f2Qc=")</f>
        <v>#VALUE!</v>
      </c>
      <c r="I1" t="e">
        <f>AND('Blumind Translations'!C2,"AAAAAF4f2Qg=")</f>
        <v>#VALUE!</v>
      </c>
      <c r="J1" t="e">
        <f>AND('Blumind Translations'!D2,"AAAAAF4f2Qk=")</f>
        <v>#VALUE!</v>
      </c>
      <c r="K1">
        <f>IF('Blumind Translations'!3:3,"AAAAAF4f2Qo=",0)</f>
        <v>0</v>
      </c>
      <c r="L1" t="e">
        <f>AND('Blumind Translations'!A3,"AAAAAF4f2Qs=")</f>
        <v>#VALUE!</v>
      </c>
      <c r="M1" t="e">
        <f>AND('Blumind Translations'!B3,"AAAAAF4f2Qw=")</f>
        <v>#VALUE!</v>
      </c>
      <c r="N1" t="e">
        <f>AND('Blumind Translations'!C3,"AAAAAF4f2Q0=")</f>
        <v>#VALUE!</v>
      </c>
      <c r="O1" t="e">
        <f>AND('Blumind Translations'!D3,"AAAAAF4f2Q4=")</f>
        <v>#VALUE!</v>
      </c>
      <c r="P1">
        <f>IF('Blumind Translations'!4:4,"AAAAAF4f2Q8=",0)</f>
        <v>0</v>
      </c>
      <c r="Q1" t="e">
        <f>AND('Blumind Translations'!A4,"AAAAAF4f2RA=")</f>
        <v>#VALUE!</v>
      </c>
      <c r="R1" t="e">
        <f>AND('Blumind Translations'!B4,"AAAAAF4f2RE=")</f>
        <v>#VALUE!</v>
      </c>
      <c r="S1" t="e">
        <f>AND('Blumind Translations'!C4,"AAAAAF4f2RI=")</f>
        <v>#VALUE!</v>
      </c>
      <c r="T1" t="e">
        <f>AND('Blumind Translations'!D4,"AAAAAF4f2RM=")</f>
        <v>#VALUE!</v>
      </c>
      <c r="U1">
        <f>IF('Blumind Translations'!5:5,"AAAAAF4f2RQ=",0)</f>
        <v>0</v>
      </c>
      <c r="V1" t="e">
        <f>AND('Blumind Translations'!A5,"AAAAAF4f2RU=")</f>
        <v>#VALUE!</v>
      </c>
      <c r="W1" t="e">
        <f>AND('Blumind Translations'!B5,"AAAAAF4f2RY=")</f>
        <v>#VALUE!</v>
      </c>
      <c r="X1" t="e">
        <f>AND('Blumind Translations'!C5,"AAAAAF4f2Rc=")</f>
        <v>#VALUE!</v>
      </c>
      <c r="Y1" t="e">
        <f>AND('Blumind Translations'!D5,"AAAAAF4f2Rg=")</f>
        <v>#VALUE!</v>
      </c>
      <c r="Z1">
        <f>IF('Blumind Translations'!6:6,"AAAAAF4f2Rk=",0)</f>
        <v>0</v>
      </c>
      <c r="AA1" t="e">
        <f>AND('Blumind Translations'!A6,"AAAAAF4f2Ro=")</f>
        <v>#VALUE!</v>
      </c>
      <c r="AB1" t="e">
        <f>AND('Blumind Translations'!B6,"AAAAAF4f2Rs=")</f>
        <v>#VALUE!</v>
      </c>
      <c r="AC1" t="e">
        <f>AND('Blumind Translations'!C6,"AAAAAF4f2Rw=")</f>
        <v>#VALUE!</v>
      </c>
      <c r="AD1" t="e">
        <f>AND('Blumind Translations'!D6,"AAAAAF4f2R0=")</f>
        <v>#VALUE!</v>
      </c>
      <c r="AE1">
        <f>IF('Blumind Translations'!7:7,"AAAAAF4f2R4=",0)</f>
        <v>0</v>
      </c>
      <c r="AF1" t="e">
        <f>AND('Blumind Translations'!A7,"AAAAAF4f2R8=")</f>
        <v>#VALUE!</v>
      </c>
      <c r="AG1" t="e">
        <f>AND('Blumind Translations'!B7,"AAAAAF4f2SA=")</f>
        <v>#VALUE!</v>
      </c>
      <c r="AH1" t="e">
        <f>AND('Blumind Translations'!C7,"AAAAAF4f2SE=")</f>
        <v>#VALUE!</v>
      </c>
      <c r="AI1" t="e">
        <f>AND('Blumind Translations'!D7,"AAAAAF4f2SI=")</f>
        <v>#VALUE!</v>
      </c>
      <c r="AJ1">
        <f>IF('Blumind Translations'!8:8,"AAAAAF4f2SM=",0)</f>
        <v>0</v>
      </c>
      <c r="AK1" t="e">
        <f>AND('Blumind Translations'!A8,"AAAAAF4f2SQ=")</f>
        <v>#VALUE!</v>
      </c>
      <c r="AL1" t="e">
        <f>AND('Blumind Translations'!B8,"AAAAAF4f2SU=")</f>
        <v>#VALUE!</v>
      </c>
      <c r="AM1" t="e">
        <f>AND('Blumind Translations'!C8,"AAAAAF4f2SY=")</f>
        <v>#VALUE!</v>
      </c>
      <c r="AN1" t="e">
        <f>AND('Blumind Translations'!D8,"AAAAAF4f2Sc=")</f>
        <v>#VALUE!</v>
      </c>
      <c r="AO1">
        <f>IF('Blumind Translations'!9:9,"AAAAAF4f2Sg=",0)</f>
        <v>0</v>
      </c>
      <c r="AP1" t="e">
        <f>AND('Blumind Translations'!A9,"AAAAAF4f2Sk=")</f>
        <v>#VALUE!</v>
      </c>
      <c r="AQ1" t="e">
        <f>AND('Blumind Translations'!B9,"AAAAAF4f2So=")</f>
        <v>#VALUE!</v>
      </c>
      <c r="AR1" t="e">
        <f>AND('Blumind Translations'!C9,"AAAAAF4f2Ss=")</f>
        <v>#VALUE!</v>
      </c>
      <c r="AS1" t="e">
        <f>AND('Blumind Translations'!D9,"AAAAAF4f2Sw=")</f>
        <v>#VALUE!</v>
      </c>
      <c r="AT1">
        <f>IF('Blumind Translations'!10:10,"AAAAAF4f2S0=",0)</f>
        <v>0</v>
      </c>
      <c r="AU1" t="e">
        <f>AND('Blumind Translations'!A10,"AAAAAF4f2S4=")</f>
        <v>#VALUE!</v>
      </c>
      <c r="AV1" t="e">
        <f>AND('Blumind Translations'!B10,"AAAAAF4f2S8=")</f>
        <v>#VALUE!</v>
      </c>
      <c r="AW1" t="e">
        <f>AND('Blumind Translations'!C10,"AAAAAF4f2TA=")</f>
        <v>#VALUE!</v>
      </c>
      <c r="AX1" t="e">
        <f>AND('Blumind Translations'!D10,"AAAAAF4f2TE=")</f>
        <v>#VALUE!</v>
      </c>
      <c r="AY1">
        <f>IF('Blumind Translations'!11:11,"AAAAAF4f2TI=",0)</f>
        <v>0</v>
      </c>
      <c r="AZ1" t="e">
        <f>AND('Blumind Translations'!A11,"AAAAAF4f2TM=")</f>
        <v>#VALUE!</v>
      </c>
      <c r="BA1" t="e">
        <f>AND('Blumind Translations'!B11,"AAAAAF4f2TQ=")</f>
        <v>#VALUE!</v>
      </c>
      <c r="BB1" t="e">
        <f>AND('Blumind Translations'!C11,"AAAAAF4f2TU=")</f>
        <v>#VALUE!</v>
      </c>
      <c r="BC1" t="e">
        <f>AND('Blumind Translations'!D11,"AAAAAF4f2TY=")</f>
        <v>#VALUE!</v>
      </c>
      <c r="BD1">
        <f>IF('Blumind Translations'!12:12,"AAAAAF4f2Tc=",0)</f>
        <v>0</v>
      </c>
      <c r="BE1" t="e">
        <f>AND('Blumind Translations'!A12,"AAAAAF4f2Tg=")</f>
        <v>#VALUE!</v>
      </c>
      <c r="BF1" t="e">
        <f>AND('Blumind Translations'!B12,"AAAAAF4f2Tk=")</f>
        <v>#VALUE!</v>
      </c>
      <c r="BG1" t="e">
        <f>AND('Blumind Translations'!C12,"AAAAAF4f2To=")</f>
        <v>#VALUE!</v>
      </c>
      <c r="BH1" t="e">
        <f>AND('Blumind Translations'!D12,"AAAAAF4f2Ts=")</f>
        <v>#VALUE!</v>
      </c>
      <c r="BI1">
        <f>IF('Blumind Translations'!13:13,"AAAAAF4f2Tw=",0)</f>
        <v>0</v>
      </c>
      <c r="BJ1" t="e">
        <f>AND('Blumind Translations'!A13,"AAAAAF4f2T0=")</f>
        <v>#VALUE!</v>
      </c>
      <c r="BK1" t="e">
        <f>AND('Blumind Translations'!B13,"AAAAAF4f2T4=")</f>
        <v>#VALUE!</v>
      </c>
      <c r="BL1" t="e">
        <f>AND('Blumind Translations'!C13,"AAAAAF4f2T8=")</f>
        <v>#VALUE!</v>
      </c>
      <c r="BM1" t="e">
        <f>AND('Blumind Translations'!D13,"AAAAAF4f2UA=")</f>
        <v>#VALUE!</v>
      </c>
      <c r="BN1">
        <f>IF('Blumind Translations'!14:14,"AAAAAF4f2UE=",0)</f>
        <v>0</v>
      </c>
      <c r="BO1" t="e">
        <f>AND('Blumind Translations'!A14,"AAAAAF4f2UI=")</f>
        <v>#VALUE!</v>
      </c>
      <c r="BP1" t="e">
        <f>AND('Blumind Translations'!B14,"AAAAAF4f2UM=")</f>
        <v>#VALUE!</v>
      </c>
      <c r="BQ1" t="e">
        <f>AND('Blumind Translations'!C14,"AAAAAF4f2UQ=")</f>
        <v>#VALUE!</v>
      </c>
      <c r="BR1" t="e">
        <f>AND('Blumind Translations'!D14,"AAAAAF4f2UU=")</f>
        <v>#VALUE!</v>
      </c>
      <c r="BS1">
        <f>IF('Blumind Translations'!15:15,"AAAAAF4f2UY=",0)</f>
        <v>0</v>
      </c>
      <c r="BT1" t="e">
        <f>AND('Blumind Translations'!A15,"AAAAAF4f2Uc=")</f>
        <v>#VALUE!</v>
      </c>
      <c r="BU1" t="e">
        <f>AND('Blumind Translations'!B15,"AAAAAF4f2Ug=")</f>
        <v>#VALUE!</v>
      </c>
      <c r="BV1" t="e">
        <f>AND('Blumind Translations'!C15,"AAAAAF4f2Uk=")</f>
        <v>#VALUE!</v>
      </c>
      <c r="BW1" t="e">
        <f>AND('Blumind Translations'!D15,"AAAAAF4f2Uo=")</f>
        <v>#VALUE!</v>
      </c>
      <c r="BX1">
        <f>IF('Blumind Translations'!16:16,"AAAAAF4f2Us=",0)</f>
        <v>0</v>
      </c>
      <c r="BY1" t="e">
        <f>AND('Blumind Translations'!A16,"AAAAAF4f2Uw=")</f>
        <v>#VALUE!</v>
      </c>
      <c r="BZ1" t="e">
        <f>AND('Blumind Translations'!B16,"AAAAAF4f2U0=")</f>
        <v>#VALUE!</v>
      </c>
      <c r="CA1" t="e">
        <f>AND('Blumind Translations'!C16,"AAAAAF4f2U4=")</f>
        <v>#VALUE!</v>
      </c>
      <c r="CB1" t="e">
        <f>AND('Blumind Translations'!D16,"AAAAAF4f2U8=")</f>
        <v>#VALUE!</v>
      </c>
      <c r="CC1">
        <f>IF('Blumind Translations'!17:17,"AAAAAF4f2VA=",0)</f>
        <v>0</v>
      </c>
      <c r="CD1" t="e">
        <f>AND('Blumind Translations'!A17,"AAAAAF4f2VE=")</f>
        <v>#VALUE!</v>
      </c>
      <c r="CE1" t="e">
        <f>AND('Blumind Translations'!B17,"AAAAAF4f2VI=")</f>
        <v>#VALUE!</v>
      </c>
      <c r="CF1" t="e">
        <f>AND('Blumind Translations'!C17,"AAAAAF4f2VM=")</f>
        <v>#VALUE!</v>
      </c>
      <c r="CG1" t="e">
        <f>AND('Blumind Translations'!D17,"AAAAAF4f2VQ=")</f>
        <v>#VALUE!</v>
      </c>
      <c r="CH1">
        <f>IF('Blumind Translations'!18:18,"AAAAAF4f2VU=",0)</f>
        <v>0</v>
      </c>
      <c r="CI1" t="e">
        <f>AND('Blumind Translations'!A18,"AAAAAF4f2VY=")</f>
        <v>#VALUE!</v>
      </c>
      <c r="CJ1" t="e">
        <f>AND('Blumind Translations'!B18,"AAAAAF4f2Vc=")</f>
        <v>#VALUE!</v>
      </c>
      <c r="CK1" t="e">
        <f>AND('Blumind Translations'!C18,"AAAAAF4f2Vg=")</f>
        <v>#VALUE!</v>
      </c>
      <c r="CL1" t="e">
        <f>AND('Blumind Translations'!D18,"AAAAAF4f2Vk=")</f>
        <v>#VALUE!</v>
      </c>
      <c r="CM1">
        <f>IF('Blumind Translations'!19:19,"AAAAAF4f2Vo=",0)</f>
        <v>0</v>
      </c>
      <c r="CN1" t="e">
        <f>AND('Blumind Translations'!A19,"AAAAAF4f2Vs=")</f>
        <v>#VALUE!</v>
      </c>
      <c r="CO1" t="e">
        <f>AND('Blumind Translations'!B19,"AAAAAF4f2Vw=")</f>
        <v>#VALUE!</v>
      </c>
      <c r="CP1" t="e">
        <f>AND('Blumind Translations'!C19,"AAAAAF4f2V0=")</f>
        <v>#VALUE!</v>
      </c>
      <c r="CQ1" t="e">
        <f>AND('Blumind Translations'!D19,"AAAAAF4f2V4=")</f>
        <v>#VALUE!</v>
      </c>
      <c r="CR1">
        <f>IF('Blumind Translations'!20:20,"AAAAAF4f2V8=",0)</f>
        <v>0</v>
      </c>
      <c r="CS1" t="e">
        <f>AND('Blumind Translations'!A20,"AAAAAF4f2WA=")</f>
        <v>#VALUE!</v>
      </c>
      <c r="CT1" t="e">
        <f>AND('Blumind Translations'!B20,"AAAAAF4f2WE=")</f>
        <v>#VALUE!</v>
      </c>
      <c r="CU1" t="e">
        <f>AND('Blumind Translations'!C20,"AAAAAF4f2WI=")</f>
        <v>#VALUE!</v>
      </c>
      <c r="CV1" t="e">
        <f>AND('Blumind Translations'!D20,"AAAAAF4f2WM=")</f>
        <v>#VALUE!</v>
      </c>
      <c r="CW1">
        <f>IF('Blumind Translations'!21:21,"AAAAAF4f2WQ=",0)</f>
        <v>0</v>
      </c>
      <c r="CX1" t="e">
        <f>AND('Blumind Translations'!A21,"AAAAAF4f2WU=")</f>
        <v>#VALUE!</v>
      </c>
      <c r="CY1" t="e">
        <f>AND('Blumind Translations'!B21,"AAAAAF4f2WY=")</f>
        <v>#VALUE!</v>
      </c>
      <c r="CZ1" t="e">
        <f>AND('Blumind Translations'!C21,"AAAAAF4f2Wc=")</f>
        <v>#VALUE!</v>
      </c>
      <c r="DA1" t="e">
        <f>AND('Blumind Translations'!D21,"AAAAAF4f2Wg=")</f>
        <v>#VALUE!</v>
      </c>
      <c r="DB1">
        <f>IF('Blumind Translations'!22:22,"AAAAAF4f2Wk=",0)</f>
        <v>0</v>
      </c>
      <c r="DC1" t="e">
        <f>AND('Blumind Translations'!A22,"AAAAAF4f2Wo=")</f>
        <v>#VALUE!</v>
      </c>
      <c r="DD1" t="e">
        <f>AND('Blumind Translations'!B22,"AAAAAF4f2Ws=")</f>
        <v>#VALUE!</v>
      </c>
      <c r="DE1" t="e">
        <f>AND('Blumind Translations'!C22,"AAAAAF4f2Ww=")</f>
        <v>#VALUE!</v>
      </c>
      <c r="DF1" t="e">
        <f>AND('Blumind Translations'!D22,"AAAAAF4f2W0=")</f>
        <v>#VALUE!</v>
      </c>
      <c r="DG1">
        <f>IF('Blumind Translations'!23:23,"AAAAAF4f2W4=",0)</f>
        <v>0</v>
      </c>
      <c r="DH1" t="e">
        <f>AND('Blumind Translations'!A23,"AAAAAF4f2W8=")</f>
        <v>#VALUE!</v>
      </c>
      <c r="DI1" t="e">
        <f>AND('Blumind Translations'!B23,"AAAAAF4f2XA=")</f>
        <v>#VALUE!</v>
      </c>
      <c r="DJ1" t="e">
        <f>AND('Blumind Translations'!C23,"AAAAAF4f2XE=")</f>
        <v>#VALUE!</v>
      </c>
      <c r="DK1" t="e">
        <f>AND('Blumind Translations'!D23,"AAAAAF4f2XI=")</f>
        <v>#VALUE!</v>
      </c>
      <c r="DL1">
        <f>IF('Blumind Translations'!24:24,"AAAAAF4f2XM=",0)</f>
        <v>0</v>
      </c>
      <c r="DM1" t="e">
        <f>AND('Blumind Translations'!A24,"AAAAAF4f2XQ=")</f>
        <v>#VALUE!</v>
      </c>
      <c r="DN1" t="e">
        <f>AND('Blumind Translations'!B24,"AAAAAF4f2XU=")</f>
        <v>#VALUE!</v>
      </c>
      <c r="DO1" t="e">
        <f>AND('Blumind Translations'!C24,"AAAAAF4f2XY=")</f>
        <v>#VALUE!</v>
      </c>
      <c r="DP1" t="e">
        <f>AND('Blumind Translations'!D24,"AAAAAF4f2Xc=")</f>
        <v>#VALUE!</v>
      </c>
      <c r="DQ1">
        <f>IF('Blumind Translations'!25:25,"AAAAAF4f2Xg=",0)</f>
        <v>0</v>
      </c>
      <c r="DR1" t="e">
        <f>AND('Blumind Translations'!A25,"AAAAAF4f2Xk=")</f>
        <v>#VALUE!</v>
      </c>
      <c r="DS1" t="e">
        <f>AND('Blumind Translations'!B25,"AAAAAF4f2Xo=")</f>
        <v>#VALUE!</v>
      </c>
      <c r="DT1" t="e">
        <f>AND('Blumind Translations'!C25,"AAAAAF4f2Xs=")</f>
        <v>#VALUE!</v>
      </c>
      <c r="DU1" t="e">
        <f>AND('Blumind Translations'!D25,"AAAAAF4f2Xw=")</f>
        <v>#VALUE!</v>
      </c>
      <c r="DV1">
        <f>IF('Blumind Translations'!26:26,"AAAAAF4f2X0=",0)</f>
        <v>0</v>
      </c>
      <c r="DW1" t="e">
        <f>AND('Blumind Translations'!A26,"AAAAAF4f2X4=")</f>
        <v>#VALUE!</v>
      </c>
      <c r="DX1" t="e">
        <f>AND('Blumind Translations'!B26,"AAAAAF4f2X8=")</f>
        <v>#VALUE!</v>
      </c>
      <c r="DY1" t="e">
        <f>AND('Blumind Translations'!C26,"AAAAAF4f2YA=")</f>
        <v>#VALUE!</v>
      </c>
      <c r="DZ1" t="e">
        <f>AND('Blumind Translations'!D26,"AAAAAF4f2YE=")</f>
        <v>#VALUE!</v>
      </c>
      <c r="EA1">
        <f>IF('Blumind Translations'!27:27,"AAAAAF4f2YI=",0)</f>
        <v>0</v>
      </c>
      <c r="EB1" t="e">
        <f>AND('Blumind Translations'!A27,"AAAAAF4f2YM=")</f>
        <v>#VALUE!</v>
      </c>
      <c r="EC1" t="e">
        <f>AND('Blumind Translations'!B27,"AAAAAF4f2YQ=")</f>
        <v>#VALUE!</v>
      </c>
      <c r="ED1" t="e">
        <f>AND('Blumind Translations'!C27,"AAAAAF4f2YU=")</f>
        <v>#VALUE!</v>
      </c>
      <c r="EE1" t="e">
        <f>AND('Blumind Translations'!D27,"AAAAAF4f2YY=")</f>
        <v>#VALUE!</v>
      </c>
      <c r="EF1">
        <f>IF('Blumind Translations'!28:28,"AAAAAF4f2Yc=",0)</f>
        <v>0</v>
      </c>
      <c r="EG1" t="e">
        <f>AND('Blumind Translations'!A28,"AAAAAF4f2Yg=")</f>
        <v>#VALUE!</v>
      </c>
      <c r="EH1" t="e">
        <f>AND('Blumind Translations'!B28,"AAAAAF4f2Yk=")</f>
        <v>#VALUE!</v>
      </c>
      <c r="EI1" t="e">
        <f>AND('Blumind Translations'!C28,"AAAAAF4f2Yo=")</f>
        <v>#VALUE!</v>
      </c>
      <c r="EJ1" t="e">
        <f>AND('Blumind Translations'!D28,"AAAAAF4f2Ys=")</f>
        <v>#VALUE!</v>
      </c>
      <c r="EK1">
        <f>IF('Blumind Translations'!29:29,"AAAAAF4f2Yw=",0)</f>
        <v>0</v>
      </c>
      <c r="EL1" t="e">
        <f>AND('Blumind Translations'!A29,"AAAAAF4f2Y0=")</f>
        <v>#VALUE!</v>
      </c>
      <c r="EM1" t="e">
        <f>AND('Blumind Translations'!B29,"AAAAAF4f2Y4=")</f>
        <v>#VALUE!</v>
      </c>
      <c r="EN1" t="e">
        <f>AND('Blumind Translations'!C29,"AAAAAF4f2Y8=")</f>
        <v>#VALUE!</v>
      </c>
      <c r="EO1" t="e">
        <f>AND('Blumind Translations'!D29,"AAAAAF4f2ZA=")</f>
        <v>#VALUE!</v>
      </c>
      <c r="EP1">
        <f>IF('Blumind Translations'!30:30,"AAAAAF4f2ZE=",0)</f>
        <v>0</v>
      </c>
      <c r="EQ1" t="e">
        <f>AND('Blumind Translations'!A30,"AAAAAF4f2ZI=")</f>
        <v>#VALUE!</v>
      </c>
      <c r="ER1" t="e">
        <f>AND('Blumind Translations'!B30,"AAAAAF4f2ZM=")</f>
        <v>#VALUE!</v>
      </c>
      <c r="ES1" t="e">
        <f>AND('Blumind Translations'!C30,"AAAAAF4f2ZQ=")</f>
        <v>#VALUE!</v>
      </c>
      <c r="ET1" t="e">
        <f>AND('Blumind Translations'!D30,"AAAAAF4f2ZU=")</f>
        <v>#VALUE!</v>
      </c>
      <c r="EU1">
        <f>IF('Blumind Translations'!31:31,"AAAAAF4f2ZY=",0)</f>
        <v>0</v>
      </c>
      <c r="EV1" t="e">
        <f>AND('Blumind Translations'!A31,"AAAAAF4f2Zc=")</f>
        <v>#VALUE!</v>
      </c>
      <c r="EW1" t="e">
        <f>AND('Blumind Translations'!B31,"AAAAAF4f2Zg=")</f>
        <v>#VALUE!</v>
      </c>
      <c r="EX1" t="e">
        <f>AND('Blumind Translations'!C31,"AAAAAF4f2Zk=")</f>
        <v>#VALUE!</v>
      </c>
      <c r="EY1" t="e">
        <f>AND('Blumind Translations'!D31,"AAAAAF4f2Zo=")</f>
        <v>#VALUE!</v>
      </c>
      <c r="EZ1">
        <f>IF('Blumind Translations'!32:32,"AAAAAF4f2Zs=",0)</f>
        <v>0</v>
      </c>
      <c r="FA1" t="e">
        <f>AND('Blumind Translations'!A32,"AAAAAF4f2Zw=")</f>
        <v>#VALUE!</v>
      </c>
      <c r="FB1" t="e">
        <f>AND('Blumind Translations'!B32,"AAAAAF4f2Z0=")</f>
        <v>#VALUE!</v>
      </c>
      <c r="FC1" t="e">
        <f>AND('Blumind Translations'!C32,"AAAAAF4f2Z4=")</f>
        <v>#VALUE!</v>
      </c>
      <c r="FD1" t="e">
        <f>AND('Blumind Translations'!D32,"AAAAAF4f2Z8=")</f>
        <v>#VALUE!</v>
      </c>
      <c r="FE1">
        <f>IF('Blumind Translations'!33:33,"AAAAAF4f2aA=",0)</f>
        <v>0</v>
      </c>
      <c r="FF1" t="e">
        <f>AND('Blumind Translations'!A33,"AAAAAF4f2aE=")</f>
        <v>#VALUE!</v>
      </c>
      <c r="FG1" t="e">
        <f>AND('Blumind Translations'!B33,"AAAAAF4f2aI=")</f>
        <v>#VALUE!</v>
      </c>
      <c r="FH1" t="e">
        <f>AND('Blumind Translations'!C33,"AAAAAF4f2aM=")</f>
        <v>#VALUE!</v>
      </c>
      <c r="FI1" t="e">
        <f>AND('Blumind Translations'!D33,"AAAAAF4f2aQ=")</f>
        <v>#VALUE!</v>
      </c>
      <c r="FJ1">
        <f>IF('Blumind Translations'!34:34,"AAAAAF4f2aU=",0)</f>
        <v>0</v>
      </c>
      <c r="FK1" t="e">
        <f>AND('Blumind Translations'!A34,"AAAAAF4f2aY=")</f>
        <v>#VALUE!</v>
      </c>
      <c r="FL1" t="e">
        <f>AND('Blumind Translations'!B34,"AAAAAF4f2ac=")</f>
        <v>#VALUE!</v>
      </c>
      <c r="FM1" t="e">
        <f>AND('Blumind Translations'!C34,"AAAAAF4f2ag=")</f>
        <v>#VALUE!</v>
      </c>
      <c r="FN1" t="e">
        <f>AND('Blumind Translations'!D34,"AAAAAF4f2ak=")</f>
        <v>#VALUE!</v>
      </c>
      <c r="FO1">
        <f>IF('Blumind Translations'!35:35,"AAAAAF4f2ao=",0)</f>
        <v>0</v>
      </c>
      <c r="FP1" t="e">
        <f>AND('Blumind Translations'!A35,"AAAAAF4f2as=")</f>
        <v>#VALUE!</v>
      </c>
      <c r="FQ1" t="e">
        <f>AND('Blumind Translations'!B35,"AAAAAF4f2aw=")</f>
        <v>#VALUE!</v>
      </c>
      <c r="FR1" t="e">
        <f>AND('Blumind Translations'!C35,"AAAAAF4f2a0=")</f>
        <v>#VALUE!</v>
      </c>
      <c r="FS1" t="e">
        <f>AND('Blumind Translations'!D35,"AAAAAF4f2a4=")</f>
        <v>#VALUE!</v>
      </c>
      <c r="FT1">
        <f>IF('Blumind Translations'!36:36,"AAAAAF4f2a8=",0)</f>
        <v>0</v>
      </c>
      <c r="FU1" t="e">
        <f>AND('Blumind Translations'!A36,"AAAAAF4f2bA=")</f>
        <v>#VALUE!</v>
      </c>
      <c r="FV1" t="e">
        <f>AND('Blumind Translations'!B36,"AAAAAF4f2bE=")</f>
        <v>#VALUE!</v>
      </c>
      <c r="FW1" t="e">
        <f>AND('Blumind Translations'!C36,"AAAAAF4f2bI=")</f>
        <v>#VALUE!</v>
      </c>
      <c r="FX1" t="e">
        <f>AND('Blumind Translations'!D36,"AAAAAF4f2bM=")</f>
        <v>#VALUE!</v>
      </c>
      <c r="FY1">
        <f>IF('Blumind Translations'!37:37,"AAAAAF4f2bQ=",0)</f>
        <v>0</v>
      </c>
      <c r="FZ1" t="e">
        <f>AND('Blumind Translations'!A37,"AAAAAF4f2bU=")</f>
        <v>#VALUE!</v>
      </c>
      <c r="GA1" t="e">
        <f>AND('Blumind Translations'!B37,"AAAAAF4f2bY=")</f>
        <v>#VALUE!</v>
      </c>
      <c r="GB1" t="e">
        <f>AND('Blumind Translations'!C37,"AAAAAF4f2bc=")</f>
        <v>#VALUE!</v>
      </c>
      <c r="GC1" t="e">
        <f>AND('Blumind Translations'!D37,"AAAAAF4f2bg=")</f>
        <v>#VALUE!</v>
      </c>
      <c r="GD1">
        <f>IF('Blumind Translations'!38:38,"AAAAAF4f2bk=",0)</f>
        <v>0</v>
      </c>
      <c r="GE1" t="e">
        <f>AND('Blumind Translations'!A38,"AAAAAF4f2bo=")</f>
        <v>#VALUE!</v>
      </c>
      <c r="GF1" t="e">
        <f>AND('Blumind Translations'!B38,"AAAAAF4f2bs=")</f>
        <v>#VALUE!</v>
      </c>
      <c r="GG1" t="e">
        <f>AND('Blumind Translations'!C38,"AAAAAF4f2bw=")</f>
        <v>#VALUE!</v>
      </c>
      <c r="GH1" t="e">
        <f>AND('Blumind Translations'!D38,"AAAAAF4f2b0=")</f>
        <v>#VALUE!</v>
      </c>
      <c r="GI1">
        <f>IF('Blumind Translations'!39:39,"AAAAAF4f2b4=",0)</f>
        <v>0</v>
      </c>
      <c r="GJ1" t="e">
        <f>AND('Blumind Translations'!A39,"AAAAAF4f2b8=")</f>
        <v>#VALUE!</v>
      </c>
      <c r="GK1" t="e">
        <f>AND('Blumind Translations'!B39,"AAAAAF4f2cA=")</f>
        <v>#VALUE!</v>
      </c>
      <c r="GL1" t="e">
        <f>AND('Blumind Translations'!C39,"AAAAAF4f2cE=")</f>
        <v>#VALUE!</v>
      </c>
      <c r="GM1" t="e">
        <f>AND('Blumind Translations'!D39,"AAAAAF4f2cI=")</f>
        <v>#VALUE!</v>
      </c>
      <c r="GN1">
        <f>IF('Blumind Translations'!40:40,"AAAAAF4f2cM=",0)</f>
        <v>0</v>
      </c>
      <c r="GO1" t="e">
        <f>AND('Blumind Translations'!A40,"AAAAAF4f2cQ=")</f>
        <v>#VALUE!</v>
      </c>
      <c r="GP1" t="e">
        <f>AND('Blumind Translations'!B40,"AAAAAF4f2cU=")</f>
        <v>#VALUE!</v>
      </c>
      <c r="GQ1" t="e">
        <f>AND('Blumind Translations'!C40,"AAAAAF4f2cY=")</f>
        <v>#VALUE!</v>
      </c>
      <c r="GR1" t="e">
        <f>AND('Blumind Translations'!D40,"AAAAAF4f2cc=")</f>
        <v>#VALUE!</v>
      </c>
      <c r="GS1">
        <f>IF('Blumind Translations'!41:41,"AAAAAF4f2cg=",0)</f>
        <v>0</v>
      </c>
      <c r="GT1" t="e">
        <f>AND('Blumind Translations'!A41,"AAAAAF4f2ck=")</f>
        <v>#VALUE!</v>
      </c>
      <c r="GU1" t="e">
        <f>AND('Blumind Translations'!B41,"AAAAAF4f2co=")</f>
        <v>#VALUE!</v>
      </c>
      <c r="GV1" t="e">
        <f>AND('Blumind Translations'!C41,"AAAAAF4f2cs=")</f>
        <v>#VALUE!</v>
      </c>
      <c r="GW1" t="e">
        <f>AND('Blumind Translations'!D41,"AAAAAF4f2cw=")</f>
        <v>#VALUE!</v>
      </c>
      <c r="GX1">
        <f>IF('Blumind Translations'!42:42,"AAAAAF4f2c0=",0)</f>
        <v>0</v>
      </c>
      <c r="GY1" t="e">
        <f>AND('Blumind Translations'!A42,"AAAAAF4f2c4=")</f>
        <v>#VALUE!</v>
      </c>
      <c r="GZ1" t="e">
        <f>AND('Blumind Translations'!B42,"AAAAAF4f2c8=")</f>
        <v>#VALUE!</v>
      </c>
      <c r="HA1" t="e">
        <f>AND('Blumind Translations'!C42,"AAAAAF4f2dA=")</f>
        <v>#VALUE!</v>
      </c>
      <c r="HB1" t="e">
        <f>AND('Blumind Translations'!D42,"AAAAAF4f2dE=")</f>
        <v>#VALUE!</v>
      </c>
      <c r="HC1">
        <f>IF('Blumind Translations'!43:43,"AAAAAF4f2dI=",0)</f>
        <v>0</v>
      </c>
      <c r="HD1" t="e">
        <f>AND('Blumind Translations'!A43,"AAAAAF4f2dM=")</f>
        <v>#VALUE!</v>
      </c>
      <c r="HE1" t="e">
        <f>AND('Blumind Translations'!B43,"AAAAAF4f2dQ=")</f>
        <v>#VALUE!</v>
      </c>
      <c r="HF1" t="e">
        <f>AND('Blumind Translations'!C43,"AAAAAF4f2dU=")</f>
        <v>#VALUE!</v>
      </c>
      <c r="HG1" t="e">
        <f>AND('Blumind Translations'!D43,"AAAAAF4f2dY=")</f>
        <v>#VALUE!</v>
      </c>
      <c r="HH1">
        <f>IF('Blumind Translations'!44:44,"AAAAAF4f2dc=",0)</f>
        <v>0</v>
      </c>
      <c r="HI1" t="e">
        <f>AND('Blumind Translations'!A44,"AAAAAF4f2dg=")</f>
        <v>#VALUE!</v>
      </c>
      <c r="HJ1" t="e">
        <f>AND('Blumind Translations'!B44,"AAAAAF4f2dk=")</f>
        <v>#VALUE!</v>
      </c>
      <c r="HK1" t="e">
        <f>AND('Blumind Translations'!C44,"AAAAAF4f2do=")</f>
        <v>#VALUE!</v>
      </c>
      <c r="HL1" t="e">
        <f>AND('Blumind Translations'!D44,"AAAAAF4f2ds=")</f>
        <v>#VALUE!</v>
      </c>
      <c r="HM1">
        <f>IF('Blumind Translations'!45:45,"AAAAAF4f2dw=",0)</f>
        <v>0</v>
      </c>
      <c r="HN1" t="e">
        <f>AND('Blumind Translations'!A45,"AAAAAF4f2d0=")</f>
        <v>#VALUE!</v>
      </c>
      <c r="HO1" t="e">
        <f>AND('Blumind Translations'!B45,"AAAAAF4f2d4=")</f>
        <v>#VALUE!</v>
      </c>
      <c r="HP1" t="e">
        <f>AND('Blumind Translations'!C45,"AAAAAF4f2d8=")</f>
        <v>#VALUE!</v>
      </c>
      <c r="HQ1" t="e">
        <f>AND('Blumind Translations'!D45,"AAAAAF4f2eA=")</f>
        <v>#VALUE!</v>
      </c>
      <c r="HR1">
        <f>IF('Blumind Translations'!46:46,"AAAAAF4f2eE=",0)</f>
        <v>0</v>
      </c>
      <c r="HS1" t="e">
        <f>AND('Blumind Translations'!A46,"AAAAAF4f2eI=")</f>
        <v>#VALUE!</v>
      </c>
      <c r="HT1" t="e">
        <f>AND('Blumind Translations'!B46,"AAAAAF4f2eM=")</f>
        <v>#VALUE!</v>
      </c>
      <c r="HU1" t="e">
        <f>AND('Blumind Translations'!C46,"AAAAAF4f2eQ=")</f>
        <v>#VALUE!</v>
      </c>
      <c r="HV1" t="e">
        <f>AND('Blumind Translations'!D46,"AAAAAF4f2eU=")</f>
        <v>#VALUE!</v>
      </c>
      <c r="HW1">
        <f>IF('Blumind Translations'!47:47,"AAAAAF4f2eY=",0)</f>
        <v>0</v>
      </c>
      <c r="HX1" t="e">
        <f>AND('Blumind Translations'!A47,"AAAAAF4f2ec=")</f>
        <v>#VALUE!</v>
      </c>
      <c r="HY1" t="e">
        <f>AND('Blumind Translations'!B47,"AAAAAF4f2eg=")</f>
        <v>#VALUE!</v>
      </c>
      <c r="HZ1" t="e">
        <f>AND('Blumind Translations'!C47,"AAAAAF4f2ek=")</f>
        <v>#VALUE!</v>
      </c>
      <c r="IA1" t="e">
        <f>AND('Blumind Translations'!D47,"AAAAAF4f2eo=")</f>
        <v>#VALUE!</v>
      </c>
      <c r="IB1">
        <f>IF('Blumind Translations'!48:48,"AAAAAF4f2es=",0)</f>
        <v>0</v>
      </c>
      <c r="IC1" t="e">
        <f>AND('Blumind Translations'!A48,"AAAAAF4f2ew=")</f>
        <v>#VALUE!</v>
      </c>
      <c r="ID1" t="e">
        <f>AND('Blumind Translations'!B48,"AAAAAF4f2e0=")</f>
        <v>#VALUE!</v>
      </c>
      <c r="IE1" t="e">
        <f>AND('Blumind Translations'!C48,"AAAAAF4f2e4=")</f>
        <v>#VALUE!</v>
      </c>
      <c r="IF1" t="e">
        <f>AND('Blumind Translations'!D48,"AAAAAF4f2e8=")</f>
        <v>#VALUE!</v>
      </c>
      <c r="IG1">
        <f>IF('Blumind Translations'!49:49,"AAAAAF4f2fA=",0)</f>
        <v>0</v>
      </c>
      <c r="IH1" t="e">
        <f>AND('Blumind Translations'!A49,"AAAAAF4f2fE=")</f>
        <v>#VALUE!</v>
      </c>
      <c r="II1" t="e">
        <f>AND('Blumind Translations'!B49,"AAAAAF4f2fI=")</f>
        <v>#VALUE!</v>
      </c>
      <c r="IJ1" t="e">
        <f>AND('Blumind Translations'!C49,"AAAAAF4f2fM=")</f>
        <v>#VALUE!</v>
      </c>
      <c r="IK1" t="e">
        <f>AND('Blumind Translations'!D49,"AAAAAF4f2fQ=")</f>
        <v>#VALUE!</v>
      </c>
      <c r="IL1">
        <f>IF('Blumind Translations'!50:50,"AAAAAF4f2fU=",0)</f>
        <v>0</v>
      </c>
      <c r="IM1" t="e">
        <f>AND('Blumind Translations'!A50,"AAAAAF4f2fY=")</f>
        <v>#VALUE!</v>
      </c>
      <c r="IN1" t="e">
        <f>AND('Blumind Translations'!B50,"AAAAAF4f2fc=")</f>
        <v>#VALUE!</v>
      </c>
      <c r="IO1" t="e">
        <f>AND('Blumind Translations'!C50,"AAAAAF4f2fg=")</f>
        <v>#VALUE!</v>
      </c>
      <c r="IP1" t="e">
        <f>AND('Blumind Translations'!D50,"AAAAAF4f2fk=")</f>
        <v>#VALUE!</v>
      </c>
      <c r="IQ1">
        <f>IF('Blumind Translations'!51:51,"AAAAAF4f2fo=",0)</f>
        <v>0</v>
      </c>
      <c r="IR1" t="e">
        <f>AND('Blumind Translations'!A51,"AAAAAF4f2fs=")</f>
        <v>#VALUE!</v>
      </c>
      <c r="IS1" t="e">
        <f>AND('Blumind Translations'!B51,"AAAAAF4f2fw=")</f>
        <v>#VALUE!</v>
      </c>
      <c r="IT1" t="e">
        <f>AND('Blumind Translations'!C51,"AAAAAF4f2f0=")</f>
        <v>#VALUE!</v>
      </c>
      <c r="IU1" t="e">
        <f>AND('Blumind Translations'!D51,"AAAAAF4f2f4=")</f>
        <v>#VALUE!</v>
      </c>
      <c r="IV1">
        <f>IF('Blumind Translations'!52:52,"AAAAAF4f2f8=",0)</f>
        <v>0</v>
      </c>
    </row>
    <row r="2" spans="1:256" x14ac:dyDescent="0.15">
      <c r="A2" t="e">
        <f>AND('Blumind Translations'!A52,"AAAAAFf9NwA=")</f>
        <v>#VALUE!</v>
      </c>
      <c r="B2" t="e">
        <f>AND('Blumind Translations'!B52,"AAAAAFf9NwE=")</f>
        <v>#VALUE!</v>
      </c>
      <c r="C2" t="e">
        <f>AND('Blumind Translations'!C52,"AAAAAFf9NwI=")</f>
        <v>#VALUE!</v>
      </c>
      <c r="D2" t="e">
        <f>AND('Blumind Translations'!D52,"AAAAAFf9NwM=")</f>
        <v>#VALUE!</v>
      </c>
      <c r="E2">
        <f>IF('Blumind Translations'!53:53,"AAAAAFf9NwQ=",0)</f>
        <v>0</v>
      </c>
      <c r="F2" t="e">
        <f>AND('Blumind Translations'!A53,"AAAAAFf9NwU=")</f>
        <v>#VALUE!</v>
      </c>
      <c r="G2" t="e">
        <f>AND('Blumind Translations'!B53,"AAAAAFf9NwY=")</f>
        <v>#VALUE!</v>
      </c>
      <c r="H2" t="e">
        <f>AND('Blumind Translations'!C53,"AAAAAFf9Nwc=")</f>
        <v>#VALUE!</v>
      </c>
      <c r="I2" t="e">
        <f>AND('Blumind Translations'!D53,"AAAAAFf9Nwg=")</f>
        <v>#VALUE!</v>
      </c>
      <c r="J2">
        <f>IF('Blumind Translations'!54:54,"AAAAAFf9Nwk=",0)</f>
        <v>0</v>
      </c>
      <c r="K2" t="e">
        <f>AND('Blumind Translations'!A54,"AAAAAFf9Nwo=")</f>
        <v>#VALUE!</v>
      </c>
      <c r="L2" t="e">
        <f>AND('Blumind Translations'!B54,"AAAAAFf9Nws=")</f>
        <v>#VALUE!</v>
      </c>
      <c r="M2" t="e">
        <f>AND('Blumind Translations'!C54,"AAAAAFf9Nww=")</f>
        <v>#VALUE!</v>
      </c>
      <c r="N2" t="e">
        <f>AND('Blumind Translations'!D54,"AAAAAFf9Nw0=")</f>
        <v>#VALUE!</v>
      </c>
      <c r="O2">
        <f>IF('Blumind Translations'!55:55,"AAAAAFf9Nw4=",0)</f>
        <v>0</v>
      </c>
      <c r="P2" t="e">
        <f>AND('Blumind Translations'!A55,"AAAAAFf9Nw8=")</f>
        <v>#VALUE!</v>
      </c>
      <c r="Q2" t="e">
        <f>AND('Blumind Translations'!B55,"AAAAAFf9NxA=")</f>
        <v>#VALUE!</v>
      </c>
      <c r="R2" t="e">
        <f>AND('Blumind Translations'!C55,"AAAAAFf9NxE=")</f>
        <v>#VALUE!</v>
      </c>
      <c r="S2" t="e">
        <f>AND('Blumind Translations'!D55,"AAAAAFf9NxI=")</f>
        <v>#VALUE!</v>
      </c>
      <c r="T2">
        <f>IF('Blumind Translations'!56:56,"AAAAAFf9NxM=",0)</f>
        <v>0</v>
      </c>
      <c r="U2" t="e">
        <f>AND('Blumind Translations'!A56,"AAAAAFf9NxQ=")</f>
        <v>#VALUE!</v>
      </c>
      <c r="V2" t="e">
        <f>AND('Blumind Translations'!B56,"AAAAAFf9NxU=")</f>
        <v>#VALUE!</v>
      </c>
      <c r="W2" t="e">
        <f>AND('Blumind Translations'!C56,"AAAAAFf9NxY=")</f>
        <v>#VALUE!</v>
      </c>
      <c r="X2" t="e">
        <f>AND('Blumind Translations'!D56,"AAAAAFf9Nxc=")</f>
        <v>#VALUE!</v>
      </c>
      <c r="Y2">
        <f>IF('Blumind Translations'!57:57,"AAAAAFf9Nxg=",0)</f>
        <v>0</v>
      </c>
      <c r="Z2" t="e">
        <f>AND('Blumind Translations'!A57,"AAAAAFf9Nxk=")</f>
        <v>#VALUE!</v>
      </c>
      <c r="AA2" t="e">
        <f>AND('Blumind Translations'!B57,"AAAAAFf9Nxo=")</f>
        <v>#VALUE!</v>
      </c>
      <c r="AB2" t="e">
        <f>AND('Blumind Translations'!C57,"AAAAAFf9Nxs=")</f>
        <v>#VALUE!</v>
      </c>
      <c r="AC2" t="e">
        <f>AND('Blumind Translations'!D57,"AAAAAFf9Nxw=")</f>
        <v>#VALUE!</v>
      </c>
      <c r="AD2">
        <f>IF('Blumind Translations'!58:58,"AAAAAFf9Nx0=",0)</f>
        <v>0</v>
      </c>
      <c r="AE2" t="e">
        <f>AND('Blumind Translations'!A58,"AAAAAFf9Nx4=")</f>
        <v>#VALUE!</v>
      </c>
      <c r="AF2" t="e">
        <f>AND('Blumind Translations'!B58,"AAAAAFf9Nx8=")</f>
        <v>#VALUE!</v>
      </c>
      <c r="AG2" t="e">
        <f>AND('Blumind Translations'!C58,"AAAAAFf9NyA=")</f>
        <v>#VALUE!</v>
      </c>
      <c r="AH2" t="e">
        <f>AND('Blumind Translations'!D58,"AAAAAFf9NyE=")</f>
        <v>#VALUE!</v>
      </c>
      <c r="AI2">
        <f>IF('Blumind Translations'!59:59,"AAAAAFf9NyI=",0)</f>
        <v>0</v>
      </c>
      <c r="AJ2" t="e">
        <f>AND('Blumind Translations'!A59,"AAAAAFf9NyM=")</f>
        <v>#VALUE!</v>
      </c>
      <c r="AK2" t="e">
        <f>AND('Blumind Translations'!B59,"AAAAAFf9NyQ=")</f>
        <v>#VALUE!</v>
      </c>
      <c r="AL2" t="e">
        <f>AND('Blumind Translations'!C59,"AAAAAFf9NyU=")</f>
        <v>#VALUE!</v>
      </c>
      <c r="AM2" t="e">
        <f>AND('Blumind Translations'!D59,"AAAAAFf9NyY=")</f>
        <v>#VALUE!</v>
      </c>
      <c r="AN2">
        <f>IF('Blumind Translations'!60:60,"AAAAAFf9Nyc=",0)</f>
        <v>0</v>
      </c>
      <c r="AO2" t="e">
        <f>AND('Blumind Translations'!A60,"AAAAAFf9Nyg=")</f>
        <v>#VALUE!</v>
      </c>
      <c r="AP2" t="e">
        <f>AND('Blumind Translations'!B60,"AAAAAFf9Nyk=")</f>
        <v>#VALUE!</v>
      </c>
      <c r="AQ2" t="e">
        <f>AND('Blumind Translations'!C60,"AAAAAFf9Nyo=")</f>
        <v>#VALUE!</v>
      </c>
      <c r="AR2" t="e">
        <f>AND('Blumind Translations'!D60,"AAAAAFf9Nys=")</f>
        <v>#VALUE!</v>
      </c>
      <c r="AS2">
        <f>IF('Blumind Translations'!61:61,"AAAAAFf9Nyw=",0)</f>
        <v>0</v>
      </c>
      <c r="AT2" t="e">
        <f>AND('Blumind Translations'!A61,"AAAAAFf9Ny0=")</f>
        <v>#VALUE!</v>
      </c>
      <c r="AU2" t="e">
        <f>AND('Blumind Translations'!B61,"AAAAAFf9Ny4=")</f>
        <v>#VALUE!</v>
      </c>
      <c r="AV2" t="e">
        <f>AND('Blumind Translations'!C61,"AAAAAFf9Ny8=")</f>
        <v>#VALUE!</v>
      </c>
      <c r="AW2" t="e">
        <f>AND('Blumind Translations'!D61,"AAAAAFf9NzA=")</f>
        <v>#VALUE!</v>
      </c>
      <c r="AX2">
        <f>IF('Blumind Translations'!62:62,"AAAAAFf9NzE=",0)</f>
        <v>0</v>
      </c>
      <c r="AY2" t="e">
        <f>AND('Blumind Translations'!A62,"AAAAAFf9NzI=")</f>
        <v>#VALUE!</v>
      </c>
      <c r="AZ2" t="e">
        <f>AND('Blumind Translations'!B62,"AAAAAFf9NzM=")</f>
        <v>#VALUE!</v>
      </c>
      <c r="BA2" t="e">
        <f>AND('Blumind Translations'!C62,"AAAAAFf9NzQ=")</f>
        <v>#VALUE!</v>
      </c>
      <c r="BB2" t="e">
        <f>AND('Blumind Translations'!D62,"AAAAAFf9NzU=")</f>
        <v>#VALUE!</v>
      </c>
      <c r="BC2">
        <f>IF('Blumind Translations'!63:63,"AAAAAFf9NzY=",0)</f>
        <v>0</v>
      </c>
      <c r="BD2" t="e">
        <f>AND('Blumind Translations'!A63,"AAAAAFf9Nzc=")</f>
        <v>#VALUE!</v>
      </c>
      <c r="BE2" t="e">
        <f>AND('Blumind Translations'!B63,"AAAAAFf9Nzg=")</f>
        <v>#VALUE!</v>
      </c>
      <c r="BF2" t="e">
        <f>AND('Blumind Translations'!C63,"AAAAAFf9Nzk=")</f>
        <v>#VALUE!</v>
      </c>
      <c r="BG2" t="e">
        <f>AND('Blumind Translations'!D63,"AAAAAFf9Nzo=")</f>
        <v>#VALUE!</v>
      </c>
      <c r="BH2">
        <f>IF('Blumind Translations'!64:64,"AAAAAFf9Nzs=",0)</f>
        <v>0</v>
      </c>
      <c r="BI2" t="e">
        <f>AND('Blumind Translations'!A64,"AAAAAFf9Nzw=")</f>
        <v>#VALUE!</v>
      </c>
      <c r="BJ2" t="e">
        <f>AND('Blumind Translations'!B64,"AAAAAFf9Nz0=")</f>
        <v>#VALUE!</v>
      </c>
      <c r="BK2" t="e">
        <f>AND('Blumind Translations'!C64,"AAAAAFf9Nz4=")</f>
        <v>#VALUE!</v>
      </c>
      <c r="BL2" t="e">
        <f>AND('Blumind Translations'!D64,"AAAAAFf9Nz8=")</f>
        <v>#VALUE!</v>
      </c>
      <c r="BM2">
        <f>IF('Blumind Translations'!65:65,"AAAAAFf9N0A=",0)</f>
        <v>0</v>
      </c>
      <c r="BN2" t="e">
        <f>AND('Blumind Translations'!A65,"AAAAAFf9N0E=")</f>
        <v>#VALUE!</v>
      </c>
      <c r="BO2" t="e">
        <f>AND('Blumind Translations'!B65,"AAAAAFf9N0I=")</f>
        <v>#VALUE!</v>
      </c>
      <c r="BP2" t="e">
        <f>AND('Blumind Translations'!C65,"AAAAAFf9N0M=")</f>
        <v>#VALUE!</v>
      </c>
      <c r="BQ2" t="e">
        <f>AND('Blumind Translations'!D65,"AAAAAFf9N0Q=")</f>
        <v>#VALUE!</v>
      </c>
      <c r="BR2">
        <f>IF('Blumind Translations'!66:66,"AAAAAFf9N0U=",0)</f>
        <v>0</v>
      </c>
      <c r="BS2" t="e">
        <f>AND('Blumind Translations'!A66,"AAAAAFf9N0Y=")</f>
        <v>#VALUE!</v>
      </c>
      <c r="BT2" t="e">
        <f>AND('Blumind Translations'!B66,"AAAAAFf9N0c=")</f>
        <v>#VALUE!</v>
      </c>
      <c r="BU2" t="e">
        <f>AND('Blumind Translations'!C66,"AAAAAFf9N0g=")</f>
        <v>#VALUE!</v>
      </c>
      <c r="BV2" t="e">
        <f>AND('Blumind Translations'!D66,"AAAAAFf9N0k=")</f>
        <v>#VALUE!</v>
      </c>
      <c r="BW2">
        <f>IF('Blumind Translations'!67:67,"AAAAAFf9N0o=",0)</f>
        <v>0</v>
      </c>
      <c r="BX2" t="e">
        <f>AND('Blumind Translations'!A67,"AAAAAFf9N0s=")</f>
        <v>#VALUE!</v>
      </c>
      <c r="BY2" t="e">
        <f>AND('Blumind Translations'!B67,"AAAAAFf9N0w=")</f>
        <v>#VALUE!</v>
      </c>
      <c r="BZ2" t="e">
        <f>AND('Blumind Translations'!C67,"AAAAAFf9N00=")</f>
        <v>#VALUE!</v>
      </c>
      <c r="CA2" t="e">
        <f>AND('Blumind Translations'!D67,"AAAAAFf9N04=")</f>
        <v>#VALUE!</v>
      </c>
      <c r="CB2">
        <f>IF('Blumind Translations'!68:68,"AAAAAFf9N08=",0)</f>
        <v>0</v>
      </c>
      <c r="CC2" t="e">
        <f>AND('Blumind Translations'!A68,"AAAAAFf9N1A=")</f>
        <v>#VALUE!</v>
      </c>
      <c r="CD2" t="e">
        <f>AND('Blumind Translations'!B68,"AAAAAFf9N1E=")</f>
        <v>#VALUE!</v>
      </c>
      <c r="CE2" t="e">
        <f>AND('Blumind Translations'!C68,"AAAAAFf9N1I=")</f>
        <v>#VALUE!</v>
      </c>
      <c r="CF2" t="e">
        <f>AND('Blumind Translations'!D68,"AAAAAFf9N1M=")</f>
        <v>#VALUE!</v>
      </c>
      <c r="CG2">
        <f>IF('Blumind Translations'!69:69,"AAAAAFf9N1Q=",0)</f>
        <v>0</v>
      </c>
      <c r="CH2" t="e">
        <f>AND('Blumind Translations'!A69,"AAAAAFf9N1U=")</f>
        <v>#VALUE!</v>
      </c>
      <c r="CI2" t="e">
        <f>AND('Blumind Translations'!B69,"AAAAAFf9N1Y=")</f>
        <v>#VALUE!</v>
      </c>
      <c r="CJ2" t="e">
        <f>AND('Blumind Translations'!C69,"AAAAAFf9N1c=")</f>
        <v>#VALUE!</v>
      </c>
      <c r="CK2" t="e">
        <f>AND('Blumind Translations'!D69,"AAAAAFf9N1g=")</f>
        <v>#VALUE!</v>
      </c>
      <c r="CL2">
        <f>IF('Blumind Translations'!70:70,"AAAAAFf9N1k=",0)</f>
        <v>0</v>
      </c>
      <c r="CM2" t="e">
        <f>AND('Blumind Translations'!A70,"AAAAAFf9N1o=")</f>
        <v>#VALUE!</v>
      </c>
      <c r="CN2" t="e">
        <f>AND('Blumind Translations'!B70,"AAAAAFf9N1s=")</f>
        <v>#VALUE!</v>
      </c>
      <c r="CO2" t="e">
        <f>AND('Blumind Translations'!C70,"AAAAAFf9N1w=")</f>
        <v>#VALUE!</v>
      </c>
      <c r="CP2" t="e">
        <f>AND('Blumind Translations'!D70,"AAAAAFf9N10=")</f>
        <v>#VALUE!</v>
      </c>
      <c r="CQ2">
        <f>IF('Blumind Translations'!71:71,"AAAAAFf9N14=",0)</f>
        <v>0</v>
      </c>
      <c r="CR2" t="e">
        <f>AND('Blumind Translations'!A71,"AAAAAFf9N18=")</f>
        <v>#VALUE!</v>
      </c>
      <c r="CS2" t="e">
        <f>AND('Blumind Translations'!B71,"AAAAAFf9N2A=")</f>
        <v>#VALUE!</v>
      </c>
      <c r="CT2" t="e">
        <f>AND('Blumind Translations'!C71,"AAAAAFf9N2E=")</f>
        <v>#VALUE!</v>
      </c>
      <c r="CU2" t="e">
        <f>AND('Blumind Translations'!D71,"AAAAAFf9N2I=")</f>
        <v>#VALUE!</v>
      </c>
      <c r="CV2">
        <f>IF('Blumind Translations'!72:72,"AAAAAFf9N2M=",0)</f>
        <v>0</v>
      </c>
      <c r="CW2" t="e">
        <f>AND('Blumind Translations'!A72,"AAAAAFf9N2Q=")</f>
        <v>#VALUE!</v>
      </c>
      <c r="CX2" t="e">
        <f>AND('Blumind Translations'!B72,"AAAAAFf9N2U=")</f>
        <v>#VALUE!</v>
      </c>
      <c r="CY2" t="e">
        <f>AND('Blumind Translations'!C72,"AAAAAFf9N2Y=")</f>
        <v>#VALUE!</v>
      </c>
      <c r="CZ2" t="e">
        <f>AND('Blumind Translations'!D72,"AAAAAFf9N2c=")</f>
        <v>#VALUE!</v>
      </c>
      <c r="DA2">
        <f>IF('Blumind Translations'!73:73,"AAAAAFf9N2g=",0)</f>
        <v>0</v>
      </c>
      <c r="DB2" t="e">
        <f>AND('Blumind Translations'!A73,"AAAAAFf9N2k=")</f>
        <v>#VALUE!</v>
      </c>
      <c r="DC2" t="e">
        <f>AND('Blumind Translations'!B73,"AAAAAFf9N2o=")</f>
        <v>#VALUE!</v>
      </c>
      <c r="DD2" t="e">
        <f>AND('Blumind Translations'!C73,"AAAAAFf9N2s=")</f>
        <v>#VALUE!</v>
      </c>
      <c r="DE2" t="e">
        <f>AND('Blumind Translations'!D73,"AAAAAFf9N2w=")</f>
        <v>#VALUE!</v>
      </c>
      <c r="DF2">
        <f>IF('Blumind Translations'!74:74,"AAAAAFf9N20=",0)</f>
        <v>0</v>
      </c>
      <c r="DG2" t="e">
        <f>AND('Blumind Translations'!A74,"AAAAAFf9N24=")</f>
        <v>#VALUE!</v>
      </c>
      <c r="DH2" t="e">
        <f>AND('Blumind Translations'!B74,"AAAAAFf9N28=")</f>
        <v>#VALUE!</v>
      </c>
      <c r="DI2" t="e">
        <f>AND('Blumind Translations'!C74,"AAAAAFf9N3A=")</f>
        <v>#VALUE!</v>
      </c>
      <c r="DJ2" t="e">
        <f>AND('Blumind Translations'!D74,"AAAAAFf9N3E=")</f>
        <v>#VALUE!</v>
      </c>
      <c r="DK2">
        <f>IF('Blumind Translations'!75:75,"AAAAAFf9N3I=",0)</f>
        <v>0</v>
      </c>
      <c r="DL2" t="e">
        <f>AND('Blumind Translations'!A75,"AAAAAFf9N3M=")</f>
        <v>#VALUE!</v>
      </c>
      <c r="DM2" t="e">
        <f>AND('Blumind Translations'!B75,"AAAAAFf9N3Q=")</f>
        <v>#VALUE!</v>
      </c>
      <c r="DN2" t="e">
        <f>AND('Blumind Translations'!C75,"AAAAAFf9N3U=")</f>
        <v>#VALUE!</v>
      </c>
      <c r="DO2" t="e">
        <f>AND('Blumind Translations'!D75,"AAAAAFf9N3Y=")</f>
        <v>#VALUE!</v>
      </c>
      <c r="DP2">
        <f>IF('Blumind Translations'!76:76,"AAAAAFf9N3c=",0)</f>
        <v>0</v>
      </c>
      <c r="DQ2" t="e">
        <f>AND('Blumind Translations'!A76,"AAAAAFf9N3g=")</f>
        <v>#VALUE!</v>
      </c>
      <c r="DR2" t="e">
        <f>AND('Blumind Translations'!B76,"AAAAAFf9N3k=")</f>
        <v>#VALUE!</v>
      </c>
      <c r="DS2" t="e">
        <f>AND('Blumind Translations'!C76,"AAAAAFf9N3o=")</f>
        <v>#VALUE!</v>
      </c>
      <c r="DT2" t="e">
        <f>AND('Blumind Translations'!D76,"AAAAAFf9N3s=")</f>
        <v>#VALUE!</v>
      </c>
      <c r="DU2">
        <f>IF('Blumind Translations'!77:77,"AAAAAFf9N3w=",0)</f>
        <v>0</v>
      </c>
      <c r="DV2" t="e">
        <f>AND('Blumind Translations'!A77,"AAAAAFf9N30=")</f>
        <v>#VALUE!</v>
      </c>
      <c r="DW2" t="e">
        <f>AND('Blumind Translations'!B77,"AAAAAFf9N34=")</f>
        <v>#VALUE!</v>
      </c>
      <c r="DX2" t="e">
        <f>AND('Blumind Translations'!C77,"AAAAAFf9N38=")</f>
        <v>#VALUE!</v>
      </c>
      <c r="DY2" t="e">
        <f>AND('Blumind Translations'!D77,"AAAAAFf9N4A=")</f>
        <v>#VALUE!</v>
      </c>
      <c r="DZ2">
        <f>IF('Blumind Translations'!78:78,"AAAAAFf9N4E=",0)</f>
        <v>0</v>
      </c>
      <c r="EA2" t="e">
        <f>AND('Blumind Translations'!A78,"AAAAAFf9N4I=")</f>
        <v>#VALUE!</v>
      </c>
      <c r="EB2" t="e">
        <f>AND('Blumind Translations'!B78,"AAAAAFf9N4M=")</f>
        <v>#VALUE!</v>
      </c>
      <c r="EC2" t="e">
        <f>AND('Blumind Translations'!C78,"AAAAAFf9N4Q=")</f>
        <v>#VALUE!</v>
      </c>
      <c r="ED2" t="e">
        <f>AND('Blumind Translations'!D78,"AAAAAFf9N4U=")</f>
        <v>#VALUE!</v>
      </c>
      <c r="EE2">
        <f>IF('Blumind Translations'!79:79,"AAAAAFf9N4Y=",0)</f>
        <v>0</v>
      </c>
      <c r="EF2" t="e">
        <f>AND('Blumind Translations'!A79,"AAAAAFf9N4c=")</f>
        <v>#VALUE!</v>
      </c>
      <c r="EG2" t="e">
        <f>AND('Blumind Translations'!B79,"AAAAAFf9N4g=")</f>
        <v>#VALUE!</v>
      </c>
      <c r="EH2" t="e">
        <f>AND('Blumind Translations'!C79,"AAAAAFf9N4k=")</f>
        <v>#VALUE!</v>
      </c>
      <c r="EI2" t="e">
        <f>AND('Blumind Translations'!D79,"AAAAAFf9N4o=")</f>
        <v>#VALUE!</v>
      </c>
      <c r="EJ2">
        <f>IF('Blumind Translations'!80:80,"AAAAAFf9N4s=",0)</f>
        <v>0</v>
      </c>
      <c r="EK2" t="e">
        <f>AND('Blumind Translations'!A80,"AAAAAFf9N4w=")</f>
        <v>#VALUE!</v>
      </c>
      <c r="EL2" t="e">
        <f>AND('Blumind Translations'!B80,"AAAAAFf9N40=")</f>
        <v>#VALUE!</v>
      </c>
      <c r="EM2" t="e">
        <f>AND('Blumind Translations'!C80,"AAAAAFf9N44=")</f>
        <v>#VALUE!</v>
      </c>
      <c r="EN2" t="e">
        <f>AND('Blumind Translations'!D80,"AAAAAFf9N48=")</f>
        <v>#VALUE!</v>
      </c>
      <c r="EO2">
        <f>IF('Blumind Translations'!81:81,"AAAAAFf9N5A=",0)</f>
        <v>0</v>
      </c>
      <c r="EP2" t="e">
        <f>AND('Blumind Translations'!A81,"AAAAAFf9N5E=")</f>
        <v>#VALUE!</v>
      </c>
      <c r="EQ2" t="e">
        <f>AND('Blumind Translations'!B81,"AAAAAFf9N5I=")</f>
        <v>#VALUE!</v>
      </c>
      <c r="ER2" t="e">
        <f>AND('Blumind Translations'!C81,"AAAAAFf9N5M=")</f>
        <v>#VALUE!</v>
      </c>
      <c r="ES2" t="e">
        <f>AND('Blumind Translations'!D81,"AAAAAFf9N5Q=")</f>
        <v>#VALUE!</v>
      </c>
      <c r="ET2">
        <f>IF('Blumind Translations'!82:82,"AAAAAFf9N5U=",0)</f>
        <v>0</v>
      </c>
      <c r="EU2" t="e">
        <f>AND('Blumind Translations'!A82,"AAAAAFf9N5Y=")</f>
        <v>#VALUE!</v>
      </c>
      <c r="EV2" t="e">
        <f>AND('Blumind Translations'!B82,"AAAAAFf9N5c=")</f>
        <v>#VALUE!</v>
      </c>
      <c r="EW2" t="e">
        <f>AND('Blumind Translations'!C82,"AAAAAFf9N5g=")</f>
        <v>#VALUE!</v>
      </c>
      <c r="EX2" t="e">
        <f>AND('Blumind Translations'!D82,"AAAAAFf9N5k=")</f>
        <v>#VALUE!</v>
      </c>
      <c r="EY2">
        <f>IF('Blumind Translations'!83:83,"AAAAAFf9N5o=",0)</f>
        <v>0</v>
      </c>
      <c r="EZ2" t="e">
        <f>AND('Blumind Translations'!A83,"AAAAAFf9N5s=")</f>
        <v>#VALUE!</v>
      </c>
      <c r="FA2" t="e">
        <f>AND('Blumind Translations'!B83,"AAAAAFf9N5w=")</f>
        <v>#VALUE!</v>
      </c>
      <c r="FB2" t="e">
        <f>AND('Blumind Translations'!C83,"AAAAAFf9N50=")</f>
        <v>#VALUE!</v>
      </c>
      <c r="FC2" t="e">
        <f>AND('Blumind Translations'!D83,"AAAAAFf9N54=")</f>
        <v>#VALUE!</v>
      </c>
      <c r="FD2">
        <f>IF('Blumind Translations'!84:84,"AAAAAFf9N58=",0)</f>
        <v>0</v>
      </c>
      <c r="FE2" t="e">
        <f>AND('Blumind Translations'!A84,"AAAAAFf9N6A=")</f>
        <v>#VALUE!</v>
      </c>
      <c r="FF2" t="e">
        <f>AND('Blumind Translations'!B84,"AAAAAFf9N6E=")</f>
        <v>#VALUE!</v>
      </c>
      <c r="FG2" t="e">
        <f>AND('Blumind Translations'!C84,"AAAAAFf9N6I=")</f>
        <v>#VALUE!</v>
      </c>
      <c r="FH2" t="e">
        <f>AND('Blumind Translations'!D84,"AAAAAFf9N6M=")</f>
        <v>#VALUE!</v>
      </c>
      <c r="FI2">
        <f>IF('Blumind Translations'!85:85,"AAAAAFf9N6Q=",0)</f>
        <v>0</v>
      </c>
      <c r="FJ2" t="e">
        <f>AND('Blumind Translations'!A85,"AAAAAFf9N6U=")</f>
        <v>#VALUE!</v>
      </c>
      <c r="FK2" t="e">
        <f>AND('Blumind Translations'!B85,"AAAAAFf9N6Y=")</f>
        <v>#VALUE!</v>
      </c>
      <c r="FL2" t="e">
        <f>AND('Blumind Translations'!C85,"AAAAAFf9N6c=")</f>
        <v>#VALUE!</v>
      </c>
      <c r="FM2" t="e">
        <f>AND('Blumind Translations'!D85,"AAAAAFf9N6g=")</f>
        <v>#VALUE!</v>
      </c>
      <c r="FN2">
        <f>IF('Blumind Translations'!86:86,"AAAAAFf9N6k=",0)</f>
        <v>0</v>
      </c>
      <c r="FO2" t="e">
        <f>AND('Blumind Translations'!A86,"AAAAAFf9N6o=")</f>
        <v>#VALUE!</v>
      </c>
      <c r="FP2" t="e">
        <f>AND('Blumind Translations'!B86,"AAAAAFf9N6s=")</f>
        <v>#VALUE!</v>
      </c>
      <c r="FQ2" t="e">
        <f>AND('Blumind Translations'!C86,"AAAAAFf9N6w=")</f>
        <v>#VALUE!</v>
      </c>
      <c r="FR2" t="e">
        <f>AND('Blumind Translations'!D86,"AAAAAFf9N60=")</f>
        <v>#VALUE!</v>
      </c>
      <c r="FS2">
        <f>IF('Blumind Translations'!87:87,"AAAAAFf9N64=",0)</f>
        <v>0</v>
      </c>
      <c r="FT2" t="e">
        <f>AND('Blumind Translations'!A87,"AAAAAFf9N68=")</f>
        <v>#VALUE!</v>
      </c>
      <c r="FU2" t="e">
        <f>AND('Blumind Translations'!B87,"AAAAAFf9N7A=")</f>
        <v>#VALUE!</v>
      </c>
      <c r="FV2" t="e">
        <f>AND('Blumind Translations'!C87,"AAAAAFf9N7E=")</f>
        <v>#VALUE!</v>
      </c>
      <c r="FW2" t="e">
        <f>AND('Blumind Translations'!D87,"AAAAAFf9N7I=")</f>
        <v>#VALUE!</v>
      </c>
      <c r="FX2">
        <f>IF('Blumind Translations'!88:88,"AAAAAFf9N7M=",0)</f>
        <v>0</v>
      </c>
      <c r="FY2" t="e">
        <f>AND('Blumind Translations'!A88,"AAAAAFf9N7Q=")</f>
        <v>#VALUE!</v>
      </c>
      <c r="FZ2" t="e">
        <f>AND('Blumind Translations'!B88,"AAAAAFf9N7U=")</f>
        <v>#VALUE!</v>
      </c>
      <c r="GA2" t="e">
        <f>AND('Blumind Translations'!C88,"AAAAAFf9N7Y=")</f>
        <v>#VALUE!</v>
      </c>
      <c r="GB2" t="e">
        <f>AND('Blumind Translations'!D88,"AAAAAFf9N7c=")</f>
        <v>#VALUE!</v>
      </c>
      <c r="GC2">
        <f>IF('Blumind Translations'!89:89,"AAAAAFf9N7g=",0)</f>
        <v>0</v>
      </c>
      <c r="GD2" t="e">
        <f>AND('Blumind Translations'!A89,"AAAAAFf9N7k=")</f>
        <v>#VALUE!</v>
      </c>
      <c r="GE2" t="e">
        <f>AND('Blumind Translations'!B89,"AAAAAFf9N7o=")</f>
        <v>#VALUE!</v>
      </c>
      <c r="GF2" t="e">
        <f>AND('Blumind Translations'!C89,"AAAAAFf9N7s=")</f>
        <v>#VALUE!</v>
      </c>
      <c r="GG2" t="e">
        <f>AND('Blumind Translations'!D89,"AAAAAFf9N7w=")</f>
        <v>#VALUE!</v>
      </c>
      <c r="GH2">
        <f>IF('Blumind Translations'!90:90,"AAAAAFf9N70=",0)</f>
        <v>0</v>
      </c>
      <c r="GI2" t="e">
        <f>AND('Blumind Translations'!A90,"AAAAAFf9N74=")</f>
        <v>#VALUE!</v>
      </c>
      <c r="GJ2" t="e">
        <f>AND('Blumind Translations'!B90,"AAAAAFf9N78=")</f>
        <v>#VALUE!</v>
      </c>
      <c r="GK2" t="e">
        <f>AND('Blumind Translations'!C90,"AAAAAFf9N8A=")</f>
        <v>#VALUE!</v>
      </c>
      <c r="GL2" t="e">
        <f>AND('Blumind Translations'!D90,"AAAAAFf9N8E=")</f>
        <v>#VALUE!</v>
      </c>
      <c r="GM2">
        <f>IF('Blumind Translations'!91:91,"AAAAAFf9N8I=",0)</f>
        <v>0</v>
      </c>
      <c r="GN2" t="e">
        <f>AND('Blumind Translations'!A91,"AAAAAFf9N8M=")</f>
        <v>#VALUE!</v>
      </c>
      <c r="GO2" t="e">
        <f>AND('Blumind Translations'!B91,"AAAAAFf9N8Q=")</f>
        <v>#VALUE!</v>
      </c>
      <c r="GP2" t="e">
        <f>AND('Blumind Translations'!C91,"AAAAAFf9N8U=")</f>
        <v>#VALUE!</v>
      </c>
      <c r="GQ2" t="e">
        <f>AND('Blumind Translations'!D91,"AAAAAFf9N8Y=")</f>
        <v>#VALUE!</v>
      </c>
      <c r="GR2">
        <f>IF('Blumind Translations'!92:92,"AAAAAFf9N8c=",0)</f>
        <v>0</v>
      </c>
      <c r="GS2" t="e">
        <f>AND('Blumind Translations'!A92,"AAAAAFf9N8g=")</f>
        <v>#VALUE!</v>
      </c>
      <c r="GT2" t="e">
        <f>AND('Blumind Translations'!B92,"AAAAAFf9N8k=")</f>
        <v>#VALUE!</v>
      </c>
      <c r="GU2" t="e">
        <f>AND('Blumind Translations'!C92,"AAAAAFf9N8o=")</f>
        <v>#VALUE!</v>
      </c>
      <c r="GV2" t="e">
        <f>AND('Blumind Translations'!D92,"AAAAAFf9N8s=")</f>
        <v>#VALUE!</v>
      </c>
      <c r="GW2">
        <f>IF('Blumind Translations'!93:93,"AAAAAFf9N8w=",0)</f>
        <v>0</v>
      </c>
      <c r="GX2" t="e">
        <f>AND('Blumind Translations'!A93,"AAAAAFf9N80=")</f>
        <v>#VALUE!</v>
      </c>
      <c r="GY2" t="e">
        <f>AND('Blumind Translations'!B93,"AAAAAFf9N84=")</f>
        <v>#VALUE!</v>
      </c>
      <c r="GZ2" t="e">
        <f>AND('Blumind Translations'!C93,"AAAAAFf9N88=")</f>
        <v>#VALUE!</v>
      </c>
      <c r="HA2" t="e">
        <f>AND('Blumind Translations'!D93,"AAAAAFf9N9A=")</f>
        <v>#VALUE!</v>
      </c>
      <c r="HB2">
        <f>IF('Blumind Translations'!94:94,"AAAAAFf9N9E=",0)</f>
        <v>0</v>
      </c>
      <c r="HC2" t="e">
        <f>AND('Blumind Translations'!A94,"AAAAAFf9N9I=")</f>
        <v>#VALUE!</v>
      </c>
      <c r="HD2" t="e">
        <f>AND('Blumind Translations'!B94,"AAAAAFf9N9M=")</f>
        <v>#VALUE!</v>
      </c>
      <c r="HE2" t="e">
        <f>AND('Blumind Translations'!C94,"AAAAAFf9N9Q=")</f>
        <v>#VALUE!</v>
      </c>
      <c r="HF2" t="e">
        <f>AND('Blumind Translations'!D94,"AAAAAFf9N9U=")</f>
        <v>#VALUE!</v>
      </c>
      <c r="HG2">
        <f>IF('Blumind Translations'!95:95,"AAAAAFf9N9Y=",0)</f>
        <v>0</v>
      </c>
      <c r="HH2" t="e">
        <f>AND('Blumind Translations'!A95,"AAAAAFf9N9c=")</f>
        <v>#VALUE!</v>
      </c>
      <c r="HI2" t="e">
        <f>AND('Blumind Translations'!B95,"AAAAAFf9N9g=")</f>
        <v>#VALUE!</v>
      </c>
      <c r="HJ2" t="e">
        <f>AND('Blumind Translations'!C95,"AAAAAFf9N9k=")</f>
        <v>#VALUE!</v>
      </c>
      <c r="HK2" t="e">
        <f>AND('Blumind Translations'!D95,"AAAAAFf9N9o=")</f>
        <v>#VALUE!</v>
      </c>
      <c r="HL2">
        <f>IF('Blumind Translations'!96:96,"AAAAAFf9N9s=",0)</f>
        <v>0</v>
      </c>
      <c r="HM2" t="e">
        <f>AND('Blumind Translations'!A96,"AAAAAFf9N9w=")</f>
        <v>#VALUE!</v>
      </c>
      <c r="HN2" t="e">
        <f>AND('Blumind Translations'!B96,"AAAAAFf9N90=")</f>
        <v>#VALUE!</v>
      </c>
      <c r="HO2" t="e">
        <f>AND('Blumind Translations'!C96,"AAAAAFf9N94=")</f>
        <v>#VALUE!</v>
      </c>
      <c r="HP2" t="e">
        <f>AND('Blumind Translations'!D96,"AAAAAFf9N98=")</f>
        <v>#VALUE!</v>
      </c>
      <c r="HQ2">
        <f>IF('Blumind Translations'!97:97,"AAAAAFf9N+A=",0)</f>
        <v>0</v>
      </c>
      <c r="HR2" t="e">
        <f>AND('Blumind Translations'!A97,"AAAAAFf9N+E=")</f>
        <v>#VALUE!</v>
      </c>
      <c r="HS2" t="e">
        <f>AND('Blumind Translations'!B97,"AAAAAFf9N+I=")</f>
        <v>#VALUE!</v>
      </c>
      <c r="HT2" t="e">
        <f>AND('Blumind Translations'!C97,"AAAAAFf9N+M=")</f>
        <v>#VALUE!</v>
      </c>
      <c r="HU2" t="e">
        <f>AND('Blumind Translations'!D97,"AAAAAFf9N+Q=")</f>
        <v>#VALUE!</v>
      </c>
      <c r="HV2">
        <f>IF('Blumind Translations'!98:98,"AAAAAFf9N+U=",0)</f>
        <v>0</v>
      </c>
      <c r="HW2" t="e">
        <f>AND('Blumind Translations'!A98,"AAAAAFf9N+Y=")</f>
        <v>#VALUE!</v>
      </c>
      <c r="HX2" t="e">
        <f>AND('Blumind Translations'!B98,"AAAAAFf9N+c=")</f>
        <v>#VALUE!</v>
      </c>
      <c r="HY2" t="e">
        <f>AND('Blumind Translations'!C98,"AAAAAFf9N+g=")</f>
        <v>#VALUE!</v>
      </c>
      <c r="HZ2" t="e">
        <f>AND('Blumind Translations'!D98,"AAAAAFf9N+k=")</f>
        <v>#VALUE!</v>
      </c>
      <c r="IA2">
        <f>IF('Blumind Translations'!99:99,"AAAAAFf9N+o=",0)</f>
        <v>0</v>
      </c>
      <c r="IB2" t="e">
        <f>AND('Blumind Translations'!A99,"AAAAAFf9N+s=")</f>
        <v>#VALUE!</v>
      </c>
      <c r="IC2" t="e">
        <f>AND('Blumind Translations'!B99,"AAAAAFf9N+w=")</f>
        <v>#VALUE!</v>
      </c>
      <c r="ID2" t="e">
        <f>AND('Blumind Translations'!C99,"AAAAAFf9N+0=")</f>
        <v>#VALUE!</v>
      </c>
      <c r="IE2" t="e">
        <f>AND('Blumind Translations'!D99,"AAAAAFf9N+4=")</f>
        <v>#VALUE!</v>
      </c>
      <c r="IF2">
        <f>IF('Blumind Translations'!100:100,"AAAAAFf9N+8=",0)</f>
        <v>0</v>
      </c>
      <c r="IG2" t="e">
        <f>AND('Blumind Translations'!A100,"AAAAAFf9N/A=")</f>
        <v>#VALUE!</v>
      </c>
      <c r="IH2" t="e">
        <f>AND('Blumind Translations'!B100,"AAAAAFf9N/E=")</f>
        <v>#VALUE!</v>
      </c>
      <c r="II2" t="e">
        <f>AND('Blumind Translations'!C100,"AAAAAFf9N/I=")</f>
        <v>#VALUE!</v>
      </c>
      <c r="IJ2" t="e">
        <f>AND('Blumind Translations'!D100,"AAAAAFf9N/M=")</f>
        <v>#VALUE!</v>
      </c>
      <c r="IK2">
        <f>IF('Blumind Translations'!101:101,"AAAAAFf9N/Q=",0)</f>
        <v>0</v>
      </c>
      <c r="IL2" t="e">
        <f>AND('Blumind Translations'!A101,"AAAAAFf9N/U=")</f>
        <v>#VALUE!</v>
      </c>
      <c r="IM2" t="e">
        <f>AND('Blumind Translations'!B101,"AAAAAFf9N/Y=")</f>
        <v>#VALUE!</v>
      </c>
      <c r="IN2" t="e">
        <f>AND('Blumind Translations'!C101,"AAAAAFf9N/c=")</f>
        <v>#VALUE!</v>
      </c>
      <c r="IO2" t="e">
        <f>AND('Blumind Translations'!D101,"AAAAAFf9N/g=")</f>
        <v>#VALUE!</v>
      </c>
      <c r="IP2">
        <f>IF('Blumind Translations'!102:102,"AAAAAFf9N/k=",0)</f>
        <v>0</v>
      </c>
      <c r="IQ2" t="e">
        <f>AND('Blumind Translations'!A102,"AAAAAFf9N/o=")</f>
        <v>#VALUE!</v>
      </c>
      <c r="IR2" t="e">
        <f>AND('Blumind Translations'!B102,"AAAAAFf9N/s=")</f>
        <v>#VALUE!</v>
      </c>
      <c r="IS2" t="e">
        <f>AND('Blumind Translations'!C102,"AAAAAFf9N/w=")</f>
        <v>#VALUE!</v>
      </c>
      <c r="IT2" t="e">
        <f>AND('Blumind Translations'!D102,"AAAAAFf9N/0=")</f>
        <v>#VALUE!</v>
      </c>
      <c r="IU2">
        <f>IF('Blumind Translations'!103:103,"AAAAAFf9N/4=",0)</f>
        <v>0</v>
      </c>
      <c r="IV2" t="e">
        <f>AND('Blumind Translations'!A103,"AAAAAFf9N/8=")</f>
        <v>#VALUE!</v>
      </c>
    </row>
    <row r="3" spans="1:256" x14ac:dyDescent="0.15">
      <c r="A3" t="e">
        <f>AND('Blumind Translations'!B103,"AAAAAFo9owA=")</f>
        <v>#VALUE!</v>
      </c>
      <c r="B3" t="e">
        <f>AND('Blumind Translations'!C103,"AAAAAFo9owE=")</f>
        <v>#VALUE!</v>
      </c>
      <c r="C3" t="e">
        <f>AND('Blumind Translations'!D103,"AAAAAFo9owI=")</f>
        <v>#VALUE!</v>
      </c>
      <c r="D3">
        <f>IF('Blumind Translations'!104:104,"AAAAAFo9owM=",0)</f>
        <v>0</v>
      </c>
      <c r="E3" t="e">
        <f>AND('Blumind Translations'!A104,"AAAAAFo9owQ=")</f>
        <v>#VALUE!</v>
      </c>
      <c r="F3" t="e">
        <f>AND('Blumind Translations'!B104,"AAAAAFo9owU=")</f>
        <v>#VALUE!</v>
      </c>
      <c r="G3" t="e">
        <f>AND('Blumind Translations'!C104,"AAAAAFo9owY=")</f>
        <v>#VALUE!</v>
      </c>
      <c r="H3" t="e">
        <f>AND('Blumind Translations'!D104,"AAAAAFo9owc=")</f>
        <v>#VALUE!</v>
      </c>
      <c r="I3">
        <f>IF('Blumind Translations'!105:105,"AAAAAFo9owg=",0)</f>
        <v>0</v>
      </c>
      <c r="J3" t="e">
        <f>AND('Blumind Translations'!A105,"AAAAAFo9owk=")</f>
        <v>#VALUE!</v>
      </c>
      <c r="K3" t="e">
        <f>AND('Blumind Translations'!B105,"AAAAAFo9owo=")</f>
        <v>#VALUE!</v>
      </c>
      <c r="L3" t="e">
        <f>AND('Blumind Translations'!C105,"AAAAAFo9ows=")</f>
        <v>#VALUE!</v>
      </c>
      <c r="M3" t="e">
        <f>AND('Blumind Translations'!D105,"AAAAAFo9oww=")</f>
        <v>#VALUE!</v>
      </c>
      <c r="N3">
        <f>IF('Blumind Translations'!106:106,"AAAAAFo9ow0=",0)</f>
        <v>0</v>
      </c>
      <c r="O3" t="e">
        <f>AND('Blumind Translations'!A106,"AAAAAFo9ow4=")</f>
        <v>#VALUE!</v>
      </c>
      <c r="P3" t="e">
        <f>AND('Blumind Translations'!B106,"AAAAAFo9ow8=")</f>
        <v>#VALUE!</v>
      </c>
      <c r="Q3" t="e">
        <f>AND('Blumind Translations'!C106,"AAAAAFo9oxA=")</f>
        <v>#VALUE!</v>
      </c>
      <c r="R3" t="e">
        <f>AND('Blumind Translations'!D106,"AAAAAFo9oxE=")</f>
        <v>#VALUE!</v>
      </c>
      <c r="S3">
        <f>IF('Blumind Translations'!107:107,"AAAAAFo9oxI=",0)</f>
        <v>0</v>
      </c>
      <c r="T3" t="e">
        <f>AND('Blumind Translations'!A107,"AAAAAFo9oxM=")</f>
        <v>#VALUE!</v>
      </c>
      <c r="U3" t="e">
        <f>AND('Blumind Translations'!B107,"AAAAAFo9oxQ=")</f>
        <v>#VALUE!</v>
      </c>
      <c r="V3" t="e">
        <f>AND('Blumind Translations'!C107,"AAAAAFo9oxU=")</f>
        <v>#VALUE!</v>
      </c>
      <c r="W3" t="e">
        <f>AND('Blumind Translations'!D107,"AAAAAFo9oxY=")</f>
        <v>#VALUE!</v>
      </c>
      <c r="X3">
        <f>IF('Blumind Translations'!108:108,"AAAAAFo9oxc=",0)</f>
        <v>0</v>
      </c>
      <c r="Y3" t="e">
        <f>AND('Blumind Translations'!A108,"AAAAAFo9oxg=")</f>
        <v>#VALUE!</v>
      </c>
      <c r="Z3" t="e">
        <f>AND('Blumind Translations'!B108,"AAAAAFo9oxk=")</f>
        <v>#VALUE!</v>
      </c>
      <c r="AA3" t="e">
        <f>AND('Blumind Translations'!C108,"AAAAAFo9oxo=")</f>
        <v>#VALUE!</v>
      </c>
      <c r="AB3" t="e">
        <f>AND('Blumind Translations'!D108,"AAAAAFo9oxs=")</f>
        <v>#VALUE!</v>
      </c>
      <c r="AC3">
        <f>IF('Blumind Translations'!109:109,"AAAAAFo9oxw=",0)</f>
        <v>0</v>
      </c>
      <c r="AD3" t="e">
        <f>AND('Blumind Translations'!A109,"AAAAAFo9ox0=")</f>
        <v>#VALUE!</v>
      </c>
      <c r="AE3" t="e">
        <f>AND('Blumind Translations'!B109,"AAAAAFo9ox4=")</f>
        <v>#VALUE!</v>
      </c>
      <c r="AF3" t="e">
        <f>AND('Blumind Translations'!C109,"AAAAAFo9ox8=")</f>
        <v>#VALUE!</v>
      </c>
      <c r="AG3" t="e">
        <f>AND('Blumind Translations'!D109,"AAAAAFo9oyA=")</f>
        <v>#VALUE!</v>
      </c>
      <c r="AH3">
        <f>IF('Blumind Translations'!110:110,"AAAAAFo9oyE=",0)</f>
        <v>0</v>
      </c>
      <c r="AI3" t="e">
        <f>AND('Blumind Translations'!A110,"AAAAAFo9oyI=")</f>
        <v>#VALUE!</v>
      </c>
      <c r="AJ3" t="e">
        <f>AND('Blumind Translations'!B110,"AAAAAFo9oyM=")</f>
        <v>#VALUE!</v>
      </c>
      <c r="AK3" t="e">
        <f>AND('Blumind Translations'!C110,"AAAAAFo9oyQ=")</f>
        <v>#VALUE!</v>
      </c>
      <c r="AL3" t="e">
        <f>AND('Blumind Translations'!D110,"AAAAAFo9oyU=")</f>
        <v>#VALUE!</v>
      </c>
      <c r="AM3">
        <f>IF('Blumind Translations'!111:111,"AAAAAFo9oyY=",0)</f>
        <v>0</v>
      </c>
      <c r="AN3" t="e">
        <f>AND('Blumind Translations'!A111,"AAAAAFo9oyc=")</f>
        <v>#VALUE!</v>
      </c>
      <c r="AO3" t="e">
        <f>AND('Blumind Translations'!B111,"AAAAAFo9oyg=")</f>
        <v>#VALUE!</v>
      </c>
      <c r="AP3" t="e">
        <f>AND('Blumind Translations'!C111,"AAAAAFo9oyk=")</f>
        <v>#VALUE!</v>
      </c>
      <c r="AQ3" t="e">
        <f>AND('Blumind Translations'!D111,"AAAAAFo9oyo=")</f>
        <v>#VALUE!</v>
      </c>
      <c r="AR3">
        <f>IF('Blumind Translations'!112:112,"AAAAAFo9oys=",0)</f>
        <v>0</v>
      </c>
      <c r="AS3" t="e">
        <f>AND('Blumind Translations'!A112,"AAAAAFo9oyw=")</f>
        <v>#VALUE!</v>
      </c>
      <c r="AT3" t="e">
        <f>AND('Blumind Translations'!B112,"AAAAAFo9oy0=")</f>
        <v>#VALUE!</v>
      </c>
      <c r="AU3" t="e">
        <f>AND('Blumind Translations'!C112,"AAAAAFo9oy4=")</f>
        <v>#VALUE!</v>
      </c>
      <c r="AV3" t="e">
        <f>AND('Blumind Translations'!D112,"AAAAAFo9oy8=")</f>
        <v>#VALUE!</v>
      </c>
      <c r="AW3">
        <f>IF('Blumind Translations'!113:113,"AAAAAFo9ozA=",0)</f>
        <v>0</v>
      </c>
      <c r="AX3" t="e">
        <f>AND('Blumind Translations'!A113,"AAAAAFo9ozE=")</f>
        <v>#VALUE!</v>
      </c>
      <c r="AY3" t="e">
        <f>AND('Blumind Translations'!B113,"AAAAAFo9ozI=")</f>
        <v>#VALUE!</v>
      </c>
      <c r="AZ3" t="e">
        <f>AND('Blumind Translations'!C113,"AAAAAFo9ozM=")</f>
        <v>#VALUE!</v>
      </c>
      <c r="BA3" t="e">
        <f>AND('Blumind Translations'!D113,"AAAAAFo9ozQ=")</f>
        <v>#VALUE!</v>
      </c>
      <c r="BB3">
        <f>IF('Blumind Translations'!114:114,"AAAAAFo9ozU=",0)</f>
        <v>0</v>
      </c>
      <c r="BC3" t="e">
        <f>AND('Blumind Translations'!A114,"AAAAAFo9ozY=")</f>
        <v>#VALUE!</v>
      </c>
      <c r="BD3" t="e">
        <f>AND('Blumind Translations'!B114,"AAAAAFo9ozc=")</f>
        <v>#VALUE!</v>
      </c>
      <c r="BE3" t="e">
        <f>AND('Blumind Translations'!C114,"AAAAAFo9ozg=")</f>
        <v>#VALUE!</v>
      </c>
      <c r="BF3" t="e">
        <f>AND('Blumind Translations'!D114,"AAAAAFo9ozk=")</f>
        <v>#VALUE!</v>
      </c>
      <c r="BG3">
        <f>IF('Blumind Translations'!115:115,"AAAAAFo9ozo=",0)</f>
        <v>0</v>
      </c>
      <c r="BH3" t="e">
        <f>AND('Blumind Translations'!A115,"AAAAAFo9ozs=")</f>
        <v>#VALUE!</v>
      </c>
      <c r="BI3" t="e">
        <f>AND('Blumind Translations'!B115,"AAAAAFo9ozw=")</f>
        <v>#VALUE!</v>
      </c>
      <c r="BJ3" t="e">
        <f>AND('Blumind Translations'!C115,"AAAAAFo9oz0=")</f>
        <v>#VALUE!</v>
      </c>
      <c r="BK3" t="e">
        <f>AND('Blumind Translations'!D115,"AAAAAFo9oz4=")</f>
        <v>#VALUE!</v>
      </c>
      <c r="BL3">
        <f>IF('Blumind Translations'!116:116,"AAAAAFo9oz8=",0)</f>
        <v>0</v>
      </c>
      <c r="BM3" t="e">
        <f>AND('Blumind Translations'!A116,"AAAAAFo9o0A=")</f>
        <v>#VALUE!</v>
      </c>
      <c r="BN3" t="e">
        <f>AND('Blumind Translations'!B116,"AAAAAFo9o0E=")</f>
        <v>#VALUE!</v>
      </c>
      <c r="BO3" t="e">
        <f>AND('Blumind Translations'!C116,"AAAAAFo9o0I=")</f>
        <v>#VALUE!</v>
      </c>
      <c r="BP3" t="e">
        <f>AND('Blumind Translations'!D116,"AAAAAFo9o0M=")</f>
        <v>#VALUE!</v>
      </c>
      <c r="BQ3">
        <f>IF('Blumind Translations'!117:117,"AAAAAFo9o0Q=",0)</f>
        <v>0</v>
      </c>
      <c r="BR3" t="e">
        <f>AND('Blumind Translations'!A117,"AAAAAFo9o0U=")</f>
        <v>#VALUE!</v>
      </c>
      <c r="BS3" t="e">
        <f>AND('Blumind Translations'!B117,"AAAAAFo9o0Y=")</f>
        <v>#VALUE!</v>
      </c>
      <c r="BT3" t="e">
        <f>AND('Blumind Translations'!C117,"AAAAAFo9o0c=")</f>
        <v>#VALUE!</v>
      </c>
      <c r="BU3" t="e">
        <f>AND('Blumind Translations'!D117,"AAAAAFo9o0g=")</f>
        <v>#VALUE!</v>
      </c>
      <c r="BV3">
        <f>IF('Blumind Translations'!118:118,"AAAAAFo9o0k=",0)</f>
        <v>0</v>
      </c>
      <c r="BW3" t="e">
        <f>AND('Blumind Translations'!A118,"AAAAAFo9o0o=")</f>
        <v>#VALUE!</v>
      </c>
      <c r="BX3" t="e">
        <f>AND('Blumind Translations'!B118,"AAAAAFo9o0s=")</f>
        <v>#VALUE!</v>
      </c>
      <c r="BY3" t="e">
        <f>AND('Blumind Translations'!C118,"AAAAAFo9o0w=")</f>
        <v>#VALUE!</v>
      </c>
      <c r="BZ3" t="e">
        <f>AND('Blumind Translations'!D118,"AAAAAFo9o00=")</f>
        <v>#VALUE!</v>
      </c>
      <c r="CA3">
        <f>IF('Blumind Translations'!119:119,"AAAAAFo9o04=",0)</f>
        <v>0</v>
      </c>
      <c r="CB3" t="e">
        <f>AND('Blumind Translations'!A119,"AAAAAFo9o08=")</f>
        <v>#VALUE!</v>
      </c>
      <c r="CC3" t="e">
        <f>AND('Blumind Translations'!B119,"AAAAAFo9o1A=")</f>
        <v>#VALUE!</v>
      </c>
      <c r="CD3" t="e">
        <f>AND('Blumind Translations'!C119,"AAAAAFo9o1E=")</f>
        <v>#VALUE!</v>
      </c>
      <c r="CE3" t="e">
        <f>AND('Blumind Translations'!D119,"AAAAAFo9o1I=")</f>
        <v>#VALUE!</v>
      </c>
      <c r="CF3">
        <f>IF('Blumind Translations'!120:120,"AAAAAFo9o1M=",0)</f>
        <v>0</v>
      </c>
      <c r="CG3" t="e">
        <f>AND('Blumind Translations'!A120,"AAAAAFo9o1Q=")</f>
        <v>#VALUE!</v>
      </c>
      <c r="CH3" t="e">
        <f>AND('Blumind Translations'!B120,"AAAAAFo9o1U=")</f>
        <v>#VALUE!</v>
      </c>
      <c r="CI3" t="e">
        <f>AND('Blumind Translations'!C120,"AAAAAFo9o1Y=")</f>
        <v>#VALUE!</v>
      </c>
      <c r="CJ3" t="e">
        <f>AND('Blumind Translations'!D120,"AAAAAFo9o1c=")</f>
        <v>#VALUE!</v>
      </c>
      <c r="CK3">
        <f>IF('Blumind Translations'!121:121,"AAAAAFo9o1g=",0)</f>
        <v>0</v>
      </c>
      <c r="CL3" t="e">
        <f>AND('Blumind Translations'!A121,"AAAAAFo9o1k=")</f>
        <v>#VALUE!</v>
      </c>
      <c r="CM3" t="e">
        <f>AND('Blumind Translations'!B121,"AAAAAFo9o1o=")</f>
        <v>#VALUE!</v>
      </c>
      <c r="CN3" t="e">
        <f>AND('Blumind Translations'!C121,"AAAAAFo9o1s=")</f>
        <v>#VALUE!</v>
      </c>
      <c r="CO3" t="e">
        <f>AND('Blumind Translations'!D121,"AAAAAFo9o1w=")</f>
        <v>#VALUE!</v>
      </c>
      <c r="CP3">
        <f>IF('Blumind Translations'!122:122,"AAAAAFo9o10=",0)</f>
        <v>0</v>
      </c>
      <c r="CQ3" t="e">
        <f>AND('Blumind Translations'!A122,"AAAAAFo9o14=")</f>
        <v>#VALUE!</v>
      </c>
      <c r="CR3" t="e">
        <f>AND('Blumind Translations'!B122,"AAAAAFo9o18=")</f>
        <v>#VALUE!</v>
      </c>
      <c r="CS3" t="e">
        <f>AND('Blumind Translations'!C122,"AAAAAFo9o2A=")</f>
        <v>#VALUE!</v>
      </c>
      <c r="CT3" t="e">
        <f>AND('Blumind Translations'!D122,"AAAAAFo9o2E=")</f>
        <v>#VALUE!</v>
      </c>
      <c r="CU3">
        <f>IF('Blumind Translations'!123:123,"AAAAAFo9o2I=",0)</f>
        <v>0</v>
      </c>
      <c r="CV3" t="e">
        <f>AND('Blumind Translations'!A123,"AAAAAFo9o2M=")</f>
        <v>#VALUE!</v>
      </c>
      <c r="CW3" t="e">
        <f>AND('Blumind Translations'!B123,"AAAAAFo9o2Q=")</f>
        <v>#VALUE!</v>
      </c>
      <c r="CX3" t="e">
        <f>AND('Blumind Translations'!C123,"AAAAAFo9o2U=")</f>
        <v>#VALUE!</v>
      </c>
      <c r="CY3" t="e">
        <f>AND('Blumind Translations'!D123,"AAAAAFo9o2Y=")</f>
        <v>#VALUE!</v>
      </c>
      <c r="CZ3">
        <f>IF('Blumind Translations'!124:124,"AAAAAFo9o2c=",0)</f>
        <v>0</v>
      </c>
      <c r="DA3" t="e">
        <f>AND('Blumind Translations'!A124,"AAAAAFo9o2g=")</f>
        <v>#VALUE!</v>
      </c>
      <c r="DB3" t="e">
        <f>AND('Blumind Translations'!B124,"AAAAAFo9o2k=")</f>
        <v>#VALUE!</v>
      </c>
      <c r="DC3" t="e">
        <f>AND('Blumind Translations'!C124,"AAAAAFo9o2o=")</f>
        <v>#VALUE!</v>
      </c>
      <c r="DD3" t="e">
        <f>AND('Blumind Translations'!D124,"AAAAAFo9o2s=")</f>
        <v>#VALUE!</v>
      </c>
      <c r="DE3">
        <f>IF('Blumind Translations'!125:125,"AAAAAFo9o2w=",0)</f>
        <v>0</v>
      </c>
      <c r="DF3" t="e">
        <f>AND('Blumind Translations'!A125,"AAAAAFo9o20=")</f>
        <v>#VALUE!</v>
      </c>
      <c r="DG3" t="e">
        <f>AND('Blumind Translations'!B125,"AAAAAFo9o24=")</f>
        <v>#VALUE!</v>
      </c>
      <c r="DH3" t="e">
        <f>AND('Blumind Translations'!C125,"AAAAAFo9o28=")</f>
        <v>#VALUE!</v>
      </c>
      <c r="DI3" t="e">
        <f>AND('Blumind Translations'!D125,"AAAAAFo9o3A=")</f>
        <v>#VALUE!</v>
      </c>
      <c r="DJ3">
        <f>IF('Blumind Translations'!126:126,"AAAAAFo9o3E=",0)</f>
        <v>0</v>
      </c>
      <c r="DK3" t="e">
        <f>AND('Blumind Translations'!A126,"AAAAAFo9o3I=")</f>
        <v>#VALUE!</v>
      </c>
      <c r="DL3" t="e">
        <f>AND('Blumind Translations'!B126,"AAAAAFo9o3M=")</f>
        <v>#VALUE!</v>
      </c>
      <c r="DM3" t="e">
        <f>AND('Blumind Translations'!C126,"AAAAAFo9o3Q=")</f>
        <v>#VALUE!</v>
      </c>
      <c r="DN3" t="e">
        <f>AND('Blumind Translations'!D126,"AAAAAFo9o3U=")</f>
        <v>#VALUE!</v>
      </c>
      <c r="DO3">
        <f>IF('Blumind Translations'!127:127,"AAAAAFo9o3Y=",0)</f>
        <v>0</v>
      </c>
      <c r="DP3" t="e">
        <f>AND('Blumind Translations'!A127,"AAAAAFo9o3c=")</f>
        <v>#VALUE!</v>
      </c>
      <c r="DQ3" t="e">
        <f>AND('Blumind Translations'!B127,"AAAAAFo9o3g=")</f>
        <v>#VALUE!</v>
      </c>
      <c r="DR3" t="e">
        <f>AND('Blumind Translations'!C127,"AAAAAFo9o3k=")</f>
        <v>#VALUE!</v>
      </c>
      <c r="DS3" t="e">
        <f>AND('Blumind Translations'!D127,"AAAAAFo9o3o=")</f>
        <v>#VALUE!</v>
      </c>
      <c r="DT3">
        <f>IF('Blumind Translations'!128:128,"AAAAAFo9o3s=",0)</f>
        <v>0</v>
      </c>
      <c r="DU3" t="e">
        <f>AND('Blumind Translations'!A128,"AAAAAFo9o3w=")</f>
        <v>#VALUE!</v>
      </c>
      <c r="DV3" t="e">
        <f>AND('Blumind Translations'!B128,"AAAAAFo9o30=")</f>
        <v>#VALUE!</v>
      </c>
      <c r="DW3" t="e">
        <f>AND('Blumind Translations'!C128,"AAAAAFo9o34=")</f>
        <v>#VALUE!</v>
      </c>
      <c r="DX3" t="e">
        <f>AND('Blumind Translations'!D128,"AAAAAFo9o38=")</f>
        <v>#VALUE!</v>
      </c>
      <c r="DY3">
        <f>IF('Blumind Translations'!129:129,"AAAAAFo9o4A=",0)</f>
        <v>0</v>
      </c>
      <c r="DZ3" t="e">
        <f>AND('Blumind Translations'!A129,"AAAAAFo9o4E=")</f>
        <v>#VALUE!</v>
      </c>
      <c r="EA3" t="e">
        <f>AND('Blumind Translations'!B129,"AAAAAFo9o4I=")</f>
        <v>#VALUE!</v>
      </c>
      <c r="EB3" t="e">
        <f>AND('Blumind Translations'!C129,"AAAAAFo9o4M=")</f>
        <v>#VALUE!</v>
      </c>
      <c r="EC3" t="e">
        <f>AND('Blumind Translations'!D129,"AAAAAFo9o4Q=")</f>
        <v>#VALUE!</v>
      </c>
      <c r="ED3">
        <f>IF('Blumind Translations'!130:130,"AAAAAFo9o4U=",0)</f>
        <v>0</v>
      </c>
      <c r="EE3" t="e">
        <f>AND('Blumind Translations'!A130,"AAAAAFo9o4Y=")</f>
        <v>#VALUE!</v>
      </c>
      <c r="EF3" t="e">
        <f>AND('Blumind Translations'!B130,"AAAAAFo9o4c=")</f>
        <v>#VALUE!</v>
      </c>
      <c r="EG3" t="e">
        <f>AND('Blumind Translations'!C130,"AAAAAFo9o4g=")</f>
        <v>#VALUE!</v>
      </c>
      <c r="EH3" t="e">
        <f>AND('Blumind Translations'!D130,"AAAAAFo9o4k=")</f>
        <v>#VALUE!</v>
      </c>
      <c r="EI3">
        <f>IF('Blumind Translations'!131:131,"AAAAAFo9o4o=",0)</f>
        <v>0</v>
      </c>
      <c r="EJ3" t="e">
        <f>AND('Blumind Translations'!A131,"AAAAAFo9o4s=")</f>
        <v>#VALUE!</v>
      </c>
      <c r="EK3" t="e">
        <f>AND('Blumind Translations'!B131,"AAAAAFo9o4w=")</f>
        <v>#VALUE!</v>
      </c>
      <c r="EL3" t="e">
        <f>AND('Blumind Translations'!C131,"AAAAAFo9o40=")</f>
        <v>#VALUE!</v>
      </c>
      <c r="EM3" t="e">
        <f>AND('Blumind Translations'!D131,"AAAAAFo9o44=")</f>
        <v>#VALUE!</v>
      </c>
      <c r="EN3">
        <f>IF('Blumind Translations'!132:132,"AAAAAFo9o48=",0)</f>
        <v>0</v>
      </c>
      <c r="EO3" t="e">
        <f>AND('Blumind Translations'!A132,"AAAAAFo9o5A=")</f>
        <v>#VALUE!</v>
      </c>
      <c r="EP3" t="e">
        <f>AND('Blumind Translations'!B132,"AAAAAFo9o5E=")</f>
        <v>#VALUE!</v>
      </c>
      <c r="EQ3" t="e">
        <f>AND('Blumind Translations'!C132,"AAAAAFo9o5I=")</f>
        <v>#VALUE!</v>
      </c>
      <c r="ER3" t="e">
        <f>AND('Blumind Translations'!D132,"AAAAAFo9o5M=")</f>
        <v>#VALUE!</v>
      </c>
      <c r="ES3">
        <f>IF('Blumind Translations'!133:133,"AAAAAFo9o5Q=",0)</f>
        <v>0</v>
      </c>
      <c r="ET3" t="e">
        <f>AND('Blumind Translations'!A133,"AAAAAFo9o5U=")</f>
        <v>#VALUE!</v>
      </c>
      <c r="EU3" t="e">
        <f>AND('Blumind Translations'!B133,"AAAAAFo9o5Y=")</f>
        <v>#VALUE!</v>
      </c>
      <c r="EV3" t="e">
        <f>AND('Blumind Translations'!C133,"AAAAAFo9o5c=")</f>
        <v>#VALUE!</v>
      </c>
      <c r="EW3" t="e">
        <f>AND('Blumind Translations'!D133,"AAAAAFo9o5g=")</f>
        <v>#VALUE!</v>
      </c>
      <c r="EX3">
        <f>IF('Blumind Translations'!134:134,"AAAAAFo9o5k=",0)</f>
        <v>0</v>
      </c>
      <c r="EY3" t="e">
        <f>AND('Blumind Translations'!A134,"AAAAAFo9o5o=")</f>
        <v>#VALUE!</v>
      </c>
      <c r="EZ3" t="e">
        <f>AND('Blumind Translations'!B134,"AAAAAFo9o5s=")</f>
        <v>#VALUE!</v>
      </c>
      <c r="FA3" t="e">
        <f>AND('Blumind Translations'!C134,"AAAAAFo9o5w=")</f>
        <v>#VALUE!</v>
      </c>
      <c r="FB3" t="e">
        <f>AND('Blumind Translations'!D134,"AAAAAFo9o50=")</f>
        <v>#VALUE!</v>
      </c>
      <c r="FC3">
        <f>IF('Blumind Translations'!135:135,"AAAAAFo9o54=",0)</f>
        <v>0</v>
      </c>
      <c r="FD3" t="e">
        <f>AND('Blumind Translations'!A135,"AAAAAFo9o58=")</f>
        <v>#VALUE!</v>
      </c>
      <c r="FE3" t="e">
        <f>AND('Blumind Translations'!B135,"AAAAAFo9o6A=")</f>
        <v>#VALUE!</v>
      </c>
      <c r="FF3" t="e">
        <f>AND('Blumind Translations'!C135,"AAAAAFo9o6E=")</f>
        <v>#VALUE!</v>
      </c>
      <c r="FG3" t="e">
        <f>AND('Blumind Translations'!D135,"AAAAAFo9o6I=")</f>
        <v>#VALUE!</v>
      </c>
      <c r="FH3">
        <f>IF('Blumind Translations'!136:136,"AAAAAFo9o6M=",0)</f>
        <v>0</v>
      </c>
      <c r="FI3" t="e">
        <f>AND('Blumind Translations'!A136,"AAAAAFo9o6Q=")</f>
        <v>#VALUE!</v>
      </c>
      <c r="FJ3" t="e">
        <f>AND('Blumind Translations'!B136,"AAAAAFo9o6U=")</f>
        <v>#VALUE!</v>
      </c>
      <c r="FK3" t="e">
        <f>AND('Blumind Translations'!C136,"AAAAAFo9o6Y=")</f>
        <v>#VALUE!</v>
      </c>
      <c r="FL3" t="e">
        <f>AND('Blumind Translations'!D136,"AAAAAFo9o6c=")</f>
        <v>#VALUE!</v>
      </c>
      <c r="FM3">
        <f>IF('Blumind Translations'!137:137,"AAAAAFo9o6g=",0)</f>
        <v>0</v>
      </c>
      <c r="FN3" t="e">
        <f>AND('Blumind Translations'!A137,"AAAAAFo9o6k=")</f>
        <v>#VALUE!</v>
      </c>
      <c r="FO3" t="e">
        <f>AND('Blumind Translations'!B137,"AAAAAFo9o6o=")</f>
        <v>#VALUE!</v>
      </c>
      <c r="FP3" t="e">
        <f>AND('Blumind Translations'!C137,"AAAAAFo9o6s=")</f>
        <v>#VALUE!</v>
      </c>
      <c r="FQ3" t="e">
        <f>AND('Blumind Translations'!D137,"AAAAAFo9o6w=")</f>
        <v>#VALUE!</v>
      </c>
      <c r="FR3">
        <f>IF('Blumind Translations'!138:138,"AAAAAFo9o60=",0)</f>
        <v>0</v>
      </c>
      <c r="FS3" t="e">
        <f>AND('Blumind Translations'!A138,"AAAAAFo9o64=")</f>
        <v>#VALUE!</v>
      </c>
      <c r="FT3" t="e">
        <f>AND('Blumind Translations'!B138,"AAAAAFo9o68=")</f>
        <v>#VALUE!</v>
      </c>
      <c r="FU3" t="e">
        <f>AND('Blumind Translations'!C138,"AAAAAFo9o7A=")</f>
        <v>#VALUE!</v>
      </c>
      <c r="FV3" t="e">
        <f>AND('Blumind Translations'!D138,"AAAAAFo9o7E=")</f>
        <v>#VALUE!</v>
      </c>
      <c r="FW3">
        <f>IF('Blumind Translations'!139:139,"AAAAAFo9o7I=",0)</f>
        <v>0</v>
      </c>
      <c r="FX3" t="e">
        <f>AND('Blumind Translations'!A139,"AAAAAFo9o7M=")</f>
        <v>#VALUE!</v>
      </c>
      <c r="FY3" t="e">
        <f>AND('Blumind Translations'!B139,"AAAAAFo9o7Q=")</f>
        <v>#VALUE!</v>
      </c>
      <c r="FZ3" t="e">
        <f>AND('Blumind Translations'!C139,"AAAAAFo9o7U=")</f>
        <v>#VALUE!</v>
      </c>
      <c r="GA3" t="e">
        <f>AND('Blumind Translations'!D139,"AAAAAFo9o7Y=")</f>
        <v>#VALUE!</v>
      </c>
      <c r="GB3">
        <f>IF('Blumind Translations'!140:140,"AAAAAFo9o7c=",0)</f>
        <v>0</v>
      </c>
      <c r="GC3" t="e">
        <f>AND('Blumind Translations'!A140,"AAAAAFo9o7g=")</f>
        <v>#VALUE!</v>
      </c>
      <c r="GD3" t="e">
        <f>AND('Blumind Translations'!B140,"AAAAAFo9o7k=")</f>
        <v>#VALUE!</v>
      </c>
      <c r="GE3" t="e">
        <f>AND('Blumind Translations'!C140,"AAAAAFo9o7o=")</f>
        <v>#VALUE!</v>
      </c>
      <c r="GF3" t="e">
        <f>AND('Blumind Translations'!D140,"AAAAAFo9o7s=")</f>
        <v>#VALUE!</v>
      </c>
      <c r="GG3">
        <f>IF('Blumind Translations'!141:141,"AAAAAFo9o7w=",0)</f>
        <v>0</v>
      </c>
      <c r="GH3" t="e">
        <f>AND('Blumind Translations'!A141,"AAAAAFo9o70=")</f>
        <v>#VALUE!</v>
      </c>
      <c r="GI3" t="e">
        <f>AND('Blumind Translations'!B141,"AAAAAFo9o74=")</f>
        <v>#VALUE!</v>
      </c>
      <c r="GJ3" t="e">
        <f>AND('Blumind Translations'!C141,"AAAAAFo9o78=")</f>
        <v>#VALUE!</v>
      </c>
      <c r="GK3" t="e">
        <f>AND('Blumind Translations'!D141,"AAAAAFo9o8A=")</f>
        <v>#VALUE!</v>
      </c>
      <c r="GL3">
        <f>IF('Blumind Translations'!142:142,"AAAAAFo9o8E=",0)</f>
        <v>0</v>
      </c>
      <c r="GM3" t="e">
        <f>AND('Blumind Translations'!A142,"AAAAAFo9o8I=")</f>
        <v>#VALUE!</v>
      </c>
      <c r="GN3" t="e">
        <f>AND('Blumind Translations'!B142,"AAAAAFo9o8M=")</f>
        <v>#VALUE!</v>
      </c>
      <c r="GO3" t="e">
        <f>AND('Blumind Translations'!C142,"AAAAAFo9o8Q=")</f>
        <v>#VALUE!</v>
      </c>
      <c r="GP3" t="e">
        <f>AND('Blumind Translations'!D142,"AAAAAFo9o8U=")</f>
        <v>#VALUE!</v>
      </c>
      <c r="GQ3">
        <f>IF('Blumind Translations'!143:143,"AAAAAFo9o8Y=",0)</f>
        <v>0</v>
      </c>
      <c r="GR3" t="e">
        <f>AND('Blumind Translations'!A143,"AAAAAFo9o8c=")</f>
        <v>#VALUE!</v>
      </c>
      <c r="GS3" t="e">
        <f>AND('Blumind Translations'!B143,"AAAAAFo9o8g=")</f>
        <v>#VALUE!</v>
      </c>
      <c r="GT3" t="e">
        <f>AND('Blumind Translations'!C143,"AAAAAFo9o8k=")</f>
        <v>#VALUE!</v>
      </c>
      <c r="GU3" t="e">
        <f>AND('Blumind Translations'!D143,"AAAAAFo9o8o=")</f>
        <v>#VALUE!</v>
      </c>
      <c r="GV3">
        <f>IF('Blumind Translations'!144:144,"AAAAAFo9o8s=",0)</f>
        <v>0</v>
      </c>
      <c r="GW3" t="e">
        <f>AND('Blumind Translations'!A144,"AAAAAFo9o8w=")</f>
        <v>#VALUE!</v>
      </c>
      <c r="GX3" t="e">
        <f>AND('Blumind Translations'!B144,"AAAAAFo9o80=")</f>
        <v>#VALUE!</v>
      </c>
      <c r="GY3" t="e">
        <f>AND('Blumind Translations'!C144,"AAAAAFo9o84=")</f>
        <v>#VALUE!</v>
      </c>
      <c r="GZ3" t="e">
        <f>AND('Blumind Translations'!D144,"AAAAAFo9o88=")</f>
        <v>#VALUE!</v>
      </c>
      <c r="HA3">
        <f>IF('Blumind Translations'!145:145,"AAAAAFo9o9A=",0)</f>
        <v>0</v>
      </c>
      <c r="HB3" t="e">
        <f>AND('Blumind Translations'!A145,"AAAAAFo9o9E=")</f>
        <v>#VALUE!</v>
      </c>
      <c r="HC3" t="e">
        <f>AND('Blumind Translations'!B145,"AAAAAFo9o9I=")</f>
        <v>#VALUE!</v>
      </c>
      <c r="HD3" t="e">
        <f>AND('Blumind Translations'!C145,"AAAAAFo9o9M=")</f>
        <v>#VALUE!</v>
      </c>
      <c r="HE3" t="e">
        <f>AND('Blumind Translations'!D145,"AAAAAFo9o9Q=")</f>
        <v>#VALUE!</v>
      </c>
      <c r="HF3">
        <f>IF('Blumind Translations'!146:146,"AAAAAFo9o9U=",0)</f>
        <v>0</v>
      </c>
      <c r="HG3" t="e">
        <f>AND('Blumind Translations'!A146,"AAAAAFo9o9Y=")</f>
        <v>#VALUE!</v>
      </c>
      <c r="HH3" t="e">
        <f>AND('Blumind Translations'!B146,"AAAAAFo9o9c=")</f>
        <v>#VALUE!</v>
      </c>
      <c r="HI3" t="e">
        <f>AND('Blumind Translations'!C146,"AAAAAFo9o9g=")</f>
        <v>#VALUE!</v>
      </c>
      <c r="HJ3" t="e">
        <f>AND('Blumind Translations'!D146,"AAAAAFo9o9k=")</f>
        <v>#VALUE!</v>
      </c>
      <c r="HK3">
        <f>IF('Blumind Translations'!147:147,"AAAAAFo9o9o=",0)</f>
        <v>0</v>
      </c>
      <c r="HL3" t="e">
        <f>AND('Blumind Translations'!A147,"AAAAAFo9o9s=")</f>
        <v>#VALUE!</v>
      </c>
      <c r="HM3" t="e">
        <f>AND('Blumind Translations'!B147,"AAAAAFo9o9w=")</f>
        <v>#VALUE!</v>
      </c>
      <c r="HN3" t="e">
        <f>AND('Blumind Translations'!C147,"AAAAAFo9o90=")</f>
        <v>#VALUE!</v>
      </c>
      <c r="HO3" t="e">
        <f>AND('Blumind Translations'!D147,"AAAAAFo9o94=")</f>
        <v>#VALUE!</v>
      </c>
      <c r="HP3">
        <f>IF('Blumind Translations'!148:148,"AAAAAFo9o98=",0)</f>
        <v>0</v>
      </c>
      <c r="HQ3" t="e">
        <f>AND('Blumind Translations'!A148,"AAAAAFo9o+A=")</f>
        <v>#VALUE!</v>
      </c>
      <c r="HR3" t="e">
        <f>AND('Blumind Translations'!B148,"AAAAAFo9o+E=")</f>
        <v>#VALUE!</v>
      </c>
      <c r="HS3" t="e">
        <f>AND('Blumind Translations'!C148,"AAAAAFo9o+I=")</f>
        <v>#VALUE!</v>
      </c>
      <c r="HT3" t="e">
        <f>AND('Blumind Translations'!D148,"AAAAAFo9o+M=")</f>
        <v>#VALUE!</v>
      </c>
      <c r="HU3">
        <f>IF('Blumind Translations'!149:149,"AAAAAFo9o+Q=",0)</f>
        <v>0</v>
      </c>
      <c r="HV3" t="e">
        <f>AND('Blumind Translations'!A149,"AAAAAFo9o+U=")</f>
        <v>#VALUE!</v>
      </c>
      <c r="HW3" t="e">
        <f>AND('Blumind Translations'!B149,"AAAAAFo9o+Y=")</f>
        <v>#VALUE!</v>
      </c>
      <c r="HX3" t="e">
        <f>AND('Blumind Translations'!C149,"AAAAAFo9o+c=")</f>
        <v>#VALUE!</v>
      </c>
      <c r="HY3" t="e">
        <f>AND('Blumind Translations'!D149,"AAAAAFo9o+g=")</f>
        <v>#VALUE!</v>
      </c>
      <c r="HZ3">
        <f>IF('Blumind Translations'!150:150,"AAAAAFo9o+k=",0)</f>
        <v>0</v>
      </c>
      <c r="IA3" t="e">
        <f>AND('Blumind Translations'!A150,"AAAAAFo9o+o=")</f>
        <v>#VALUE!</v>
      </c>
      <c r="IB3" t="e">
        <f>AND('Blumind Translations'!B150,"AAAAAFo9o+s=")</f>
        <v>#VALUE!</v>
      </c>
      <c r="IC3" t="e">
        <f>AND('Blumind Translations'!C150,"AAAAAFo9o+w=")</f>
        <v>#VALUE!</v>
      </c>
      <c r="ID3" t="e">
        <f>AND('Blumind Translations'!D150,"AAAAAFo9o+0=")</f>
        <v>#VALUE!</v>
      </c>
      <c r="IE3">
        <f>IF('Blumind Translations'!151:151,"AAAAAFo9o+4=",0)</f>
        <v>0</v>
      </c>
      <c r="IF3" t="e">
        <f>AND('Blumind Translations'!A151,"AAAAAFo9o+8=")</f>
        <v>#VALUE!</v>
      </c>
      <c r="IG3" t="e">
        <f>AND('Blumind Translations'!B151,"AAAAAFo9o/A=")</f>
        <v>#VALUE!</v>
      </c>
      <c r="IH3" t="e">
        <f>AND('Blumind Translations'!C151,"AAAAAFo9o/E=")</f>
        <v>#VALUE!</v>
      </c>
      <c r="II3" t="e">
        <f>AND('Blumind Translations'!D151,"AAAAAFo9o/I=")</f>
        <v>#VALUE!</v>
      </c>
      <c r="IJ3">
        <f>IF('Blumind Translations'!152:152,"AAAAAFo9o/M=",0)</f>
        <v>0</v>
      </c>
      <c r="IK3" t="e">
        <f>AND('Blumind Translations'!A152,"AAAAAFo9o/Q=")</f>
        <v>#VALUE!</v>
      </c>
      <c r="IL3" t="e">
        <f>AND('Blumind Translations'!B152,"AAAAAFo9o/U=")</f>
        <v>#VALUE!</v>
      </c>
      <c r="IM3" t="e">
        <f>AND('Blumind Translations'!C152,"AAAAAFo9o/Y=")</f>
        <v>#VALUE!</v>
      </c>
      <c r="IN3" t="e">
        <f>AND('Blumind Translations'!D152,"AAAAAFo9o/c=")</f>
        <v>#VALUE!</v>
      </c>
      <c r="IO3">
        <f>IF('Blumind Translations'!153:153,"AAAAAFo9o/g=",0)</f>
        <v>0</v>
      </c>
      <c r="IP3" t="e">
        <f>AND('Blumind Translations'!A153,"AAAAAFo9o/k=")</f>
        <v>#VALUE!</v>
      </c>
      <c r="IQ3" t="e">
        <f>AND('Blumind Translations'!B153,"AAAAAFo9o/o=")</f>
        <v>#VALUE!</v>
      </c>
      <c r="IR3" t="e">
        <f>AND('Blumind Translations'!C153,"AAAAAFo9o/s=")</f>
        <v>#VALUE!</v>
      </c>
      <c r="IS3" t="e">
        <f>AND('Blumind Translations'!D153,"AAAAAFo9o/w=")</f>
        <v>#VALUE!</v>
      </c>
      <c r="IT3">
        <f>IF('Blumind Translations'!154:154,"AAAAAFo9o/0=",0)</f>
        <v>0</v>
      </c>
      <c r="IU3" t="e">
        <f>AND('Blumind Translations'!A154,"AAAAAFo9o/4=")</f>
        <v>#VALUE!</v>
      </c>
      <c r="IV3" t="e">
        <f>AND('Blumind Translations'!B154,"AAAAAFo9o/8=")</f>
        <v>#VALUE!</v>
      </c>
    </row>
    <row r="4" spans="1:256" x14ac:dyDescent="0.15">
      <c r="A4" t="e">
        <f>AND('Blumind Translations'!C154,"AAAAAFmffwA=")</f>
        <v>#VALUE!</v>
      </c>
      <c r="B4" t="e">
        <f>AND('Blumind Translations'!D154,"AAAAAFmffwE=")</f>
        <v>#VALUE!</v>
      </c>
      <c r="C4">
        <f>IF('Blumind Translations'!155:155,"AAAAAFmffwI=",0)</f>
        <v>0</v>
      </c>
      <c r="D4" t="e">
        <f>AND('Blumind Translations'!A155,"AAAAAFmffwM=")</f>
        <v>#VALUE!</v>
      </c>
      <c r="E4" t="e">
        <f>AND('Blumind Translations'!B155,"AAAAAFmffwQ=")</f>
        <v>#VALUE!</v>
      </c>
      <c r="F4" t="e">
        <f>AND('Blumind Translations'!C155,"AAAAAFmffwU=")</f>
        <v>#VALUE!</v>
      </c>
      <c r="G4" t="e">
        <f>AND('Blumind Translations'!D155,"AAAAAFmffwY=")</f>
        <v>#VALUE!</v>
      </c>
      <c r="H4">
        <f>IF('Blumind Translations'!156:156,"AAAAAFmffwc=",0)</f>
        <v>0</v>
      </c>
      <c r="I4" t="e">
        <f>AND('Blumind Translations'!A156,"AAAAAFmffwg=")</f>
        <v>#VALUE!</v>
      </c>
      <c r="J4" t="e">
        <f>AND('Blumind Translations'!B156,"AAAAAFmffwk=")</f>
        <v>#VALUE!</v>
      </c>
      <c r="K4" t="e">
        <f>AND('Blumind Translations'!C156,"AAAAAFmffwo=")</f>
        <v>#VALUE!</v>
      </c>
      <c r="L4" t="e">
        <f>AND('Blumind Translations'!D156,"AAAAAFmffws=")</f>
        <v>#VALUE!</v>
      </c>
      <c r="M4">
        <f>IF('Blumind Translations'!157:157,"AAAAAFmffww=",0)</f>
        <v>0</v>
      </c>
      <c r="N4" t="e">
        <f>AND('Blumind Translations'!A157,"AAAAAFmffw0=")</f>
        <v>#VALUE!</v>
      </c>
      <c r="O4" t="e">
        <f>AND('Blumind Translations'!B157,"AAAAAFmffw4=")</f>
        <v>#VALUE!</v>
      </c>
      <c r="P4" t="e">
        <f>AND('Blumind Translations'!C157,"AAAAAFmffw8=")</f>
        <v>#VALUE!</v>
      </c>
      <c r="Q4" t="e">
        <f>AND('Blumind Translations'!D157,"AAAAAFmffxA=")</f>
        <v>#VALUE!</v>
      </c>
      <c r="R4">
        <f>IF('Blumind Translations'!158:158,"AAAAAFmffxE=",0)</f>
        <v>0</v>
      </c>
      <c r="S4" t="e">
        <f>AND('Blumind Translations'!A158,"AAAAAFmffxI=")</f>
        <v>#VALUE!</v>
      </c>
      <c r="T4" t="e">
        <f>AND('Blumind Translations'!B158,"AAAAAFmffxM=")</f>
        <v>#VALUE!</v>
      </c>
      <c r="U4" t="e">
        <f>AND('Blumind Translations'!C158,"AAAAAFmffxQ=")</f>
        <v>#VALUE!</v>
      </c>
      <c r="V4" t="e">
        <f>AND('Blumind Translations'!D158,"AAAAAFmffxU=")</f>
        <v>#VALUE!</v>
      </c>
      <c r="W4">
        <f>IF('Blumind Translations'!159:159,"AAAAAFmffxY=",0)</f>
        <v>0</v>
      </c>
      <c r="X4" t="e">
        <f>AND('Blumind Translations'!A159,"AAAAAFmffxc=")</f>
        <v>#VALUE!</v>
      </c>
      <c r="Y4" t="e">
        <f>AND('Blumind Translations'!B159,"AAAAAFmffxg=")</f>
        <v>#VALUE!</v>
      </c>
      <c r="Z4" t="e">
        <f>AND('Blumind Translations'!C159,"AAAAAFmffxk=")</f>
        <v>#VALUE!</v>
      </c>
      <c r="AA4" t="e">
        <f>AND('Blumind Translations'!D159,"AAAAAFmffxo=")</f>
        <v>#VALUE!</v>
      </c>
      <c r="AB4">
        <f>IF('Blumind Translations'!160:160,"AAAAAFmffxs=",0)</f>
        <v>0</v>
      </c>
      <c r="AC4" t="e">
        <f>AND('Blumind Translations'!A160,"AAAAAFmffxw=")</f>
        <v>#VALUE!</v>
      </c>
      <c r="AD4" t="e">
        <f>AND('Blumind Translations'!B160,"AAAAAFmffx0=")</f>
        <v>#VALUE!</v>
      </c>
      <c r="AE4" t="e">
        <f>AND('Blumind Translations'!C160,"AAAAAFmffx4=")</f>
        <v>#VALUE!</v>
      </c>
      <c r="AF4" t="e">
        <f>AND('Blumind Translations'!D160,"AAAAAFmffx8=")</f>
        <v>#VALUE!</v>
      </c>
      <c r="AG4">
        <f>IF('Blumind Translations'!161:161,"AAAAAFmffyA=",0)</f>
        <v>0</v>
      </c>
      <c r="AH4" t="e">
        <f>AND('Blumind Translations'!A161,"AAAAAFmffyE=")</f>
        <v>#VALUE!</v>
      </c>
      <c r="AI4" t="e">
        <f>AND('Blumind Translations'!B161,"AAAAAFmffyI=")</f>
        <v>#VALUE!</v>
      </c>
      <c r="AJ4" t="e">
        <f>AND('Blumind Translations'!C161,"AAAAAFmffyM=")</f>
        <v>#VALUE!</v>
      </c>
      <c r="AK4" t="e">
        <f>AND('Blumind Translations'!D161,"AAAAAFmffyQ=")</f>
        <v>#VALUE!</v>
      </c>
      <c r="AL4">
        <f>IF('Blumind Translations'!162:162,"AAAAAFmffyU=",0)</f>
        <v>0</v>
      </c>
      <c r="AM4" t="e">
        <f>AND('Blumind Translations'!A162,"AAAAAFmffyY=")</f>
        <v>#VALUE!</v>
      </c>
      <c r="AN4" t="e">
        <f>AND('Blumind Translations'!B162,"AAAAAFmffyc=")</f>
        <v>#VALUE!</v>
      </c>
      <c r="AO4" t="e">
        <f>AND('Blumind Translations'!C162,"AAAAAFmffyg=")</f>
        <v>#VALUE!</v>
      </c>
      <c r="AP4" t="e">
        <f>AND('Blumind Translations'!D162,"AAAAAFmffyk=")</f>
        <v>#VALUE!</v>
      </c>
      <c r="AQ4">
        <f>IF('Blumind Translations'!163:163,"AAAAAFmffyo=",0)</f>
        <v>0</v>
      </c>
      <c r="AR4" t="e">
        <f>AND('Blumind Translations'!A163,"AAAAAFmffys=")</f>
        <v>#VALUE!</v>
      </c>
      <c r="AS4" t="e">
        <f>AND('Blumind Translations'!B163,"AAAAAFmffyw=")</f>
        <v>#VALUE!</v>
      </c>
      <c r="AT4" t="e">
        <f>AND('Blumind Translations'!C163,"AAAAAFmffy0=")</f>
        <v>#VALUE!</v>
      </c>
      <c r="AU4" t="e">
        <f>AND('Blumind Translations'!D163,"AAAAAFmffy4=")</f>
        <v>#VALUE!</v>
      </c>
      <c r="AV4">
        <f>IF('Blumind Translations'!164:164,"AAAAAFmffy8=",0)</f>
        <v>0</v>
      </c>
      <c r="AW4" t="e">
        <f>AND('Blumind Translations'!A164,"AAAAAFmffzA=")</f>
        <v>#VALUE!</v>
      </c>
      <c r="AX4" t="e">
        <f>AND('Blumind Translations'!B164,"AAAAAFmffzE=")</f>
        <v>#VALUE!</v>
      </c>
      <c r="AY4" t="e">
        <f>AND('Blumind Translations'!C164,"AAAAAFmffzI=")</f>
        <v>#VALUE!</v>
      </c>
      <c r="AZ4" t="e">
        <f>AND('Blumind Translations'!D164,"AAAAAFmffzM=")</f>
        <v>#VALUE!</v>
      </c>
      <c r="BA4">
        <f>IF('Blumind Translations'!165:165,"AAAAAFmffzQ=",0)</f>
        <v>0</v>
      </c>
      <c r="BB4" t="e">
        <f>AND('Blumind Translations'!A165,"AAAAAFmffzU=")</f>
        <v>#VALUE!</v>
      </c>
      <c r="BC4" t="e">
        <f>AND('Blumind Translations'!B165,"AAAAAFmffzY=")</f>
        <v>#VALUE!</v>
      </c>
      <c r="BD4" t="e">
        <f>AND('Blumind Translations'!C165,"AAAAAFmffzc=")</f>
        <v>#VALUE!</v>
      </c>
      <c r="BE4" t="e">
        <f>AND('Blumind Translations'!D165,"AAAAAFmffzg=")</f>
        <v>#VALUE!</v>
      </c>
      <c r="BF4">
        <f>IF('Blumind Translations'!166:166,"AAAAAFmffzk=",0)</f>
        <v>0</v>
      </c>
      <c r="BG4" t="e">
        <f>AND('Blumind Translations'!A166,"AAAAAFmffzo=")</f>
        <v>#VALUE!</v>
      </c>
      <c r="BH4" t="e">
        <f>AND('Blumind Translations'!B166,"AAAAAFmffzs=")</f>
        <v>#VALUE!</v>
      </c>
      <c r="BI4" t="e">
        <f>AND('Blumind Translations'!C166,"AAAAAFmffzw=")</f>
        <v>#VALUE!</v>
      </c>
      <c r="BJ4" t="e">
        <f>AND('Blumind Translations'!D166,"AAAAAFmffz0=")</f>
        <v>#VALUE!</v>
      </c>
      <c r="BK4">
        <f>IF('Blumind Translations'!167:167,"AAAAAFmffz4=",0)</f>
        <v>0</v>
      </c>
      <c r="BL4" t="e">
        <f>AND('Blumind Translations'!A167,"AAAAAFmffz8=")</f>
        <v>#VALUE!</v>
      </c>
      <c r="BM4" t="e">
        <f>AND('Blumind Translations'!B167,"AAAAAFmff0A=")</f>
        <v>#VALUE!</v>
      </c>
      <c r="BN4" t="e">
        <f>AND('Blumind Translations'!C167,"AAAAAFmff0E=")</f>
        <v>#VALUE!</v>
      </c>
      <c r="BO4" t="e">
        <f>AND('Blumind Translations'!D167,"AAAAAFmff0I=")</f>
        <v>#VALUE!</v>
      </c>
      <c r="BP4">
        <f>IF('Blumind Translations'!168:168,"AAAAAFmff0M=",0)</f>
        <v>0</v>
      </c>
      <c r="BQ4" t="e">
        <f>AND('Blumind Translations'!A168,"AAAAAFmff0Q=")</f>
        <v>#VALUE!</v>
      </c>
      <c r="BR4" t="e">
        <f>AND('Blumind Translations'!B168,"AAAAAFmff0U=")</f>
        <v>#VALUE!</v>
      </c>
      <c r="BS4" t="e">
        <f>AND('Blumind Translations'!C168,"AAAAAFmff0Y=")</f>
        <v>#VALUE!</v>
      </c>
      <c r="BT4" t="e">
        <f>AND('Blumind Translations'!D168,"AAAAAFmff0c=")</f>
        <v>#VALUE!</v>
      </c>
      <c r="BU4">
        <f>IF('Blumind Translations'!169:169,"AAAAAFmff0g=",0)</f>
        <v>0</v>
      </c>
      <c r="BV4" t="e">
        <f>AND('Blumind Translations'!A169,"AAAAAFmff0k=")</f>
        <v>#VALUE!</v>
      </c>
      <c r="BW4" t="e">
        <f>AND('Blumind Translations'!B169,"AAAAAFmff0o=")</f>
        <v>#VALUE!</v>
      </c>
      <c r="BX4" t="e">
        <f>AND('Blumind Translations'!C169,"AAAAAFmff0s=")</f>
        <v>#VALUE!</v>
      </c>
      <c r="BY4" t="e">
        <f>AND('Blumind Translations'!D169,"AAAAAFmff0w=")</f>
        <v>#VALUE!</v>
      </c>
      <c r="BZ4">
        <f>IF('Blumind Translations'!170:170,"AAAAAFmff00=",0)</f>
        <v>0</v>
      </c>
      <c r="CA4" t="e">
        <f>AND('Blumind Translations'!A170,"AAAAAFmff04=")</f>
        <v>#VALUE!</v>
      </c>
      <c r="CB4" t="e">
        <f>AND('Blumind Translations'!B170,"AAAAAFmff08=")</f>
        <v>#VALUE!</v>
      </c>
      <c r="CC4" t="e">
        <f>AND('Blumind Translations'!C170,"AAAAAFmff1A=")</f>
        <v>#VALUE!</v>
      </c>
      <c r="CD4" t="e">
        <f>AND('Blumind Translations'!D170,"AAAAAFmff1E=")</f>
        <v>#VALUE!</v>
      </c>
      <c r="CE4">
        <f>IF('Blumind Translations'!171:171,"AAAAAFmff1I=",0)</f>
        <v>0</v>
      </c>
      <c r="CF4" t="e">
        <f>AND('Blumind Translations'!A171,"AAAAAFmff1M=")</f>
        <v>#VALUE!</v>
      </c>
      <c r="CG4" t="e">
        <f>AND('Blumind Translations'!B171,"AAAAAFmff1Q=")</f>
        <v>#VALUE!</v>
      </c>
      <c r="CH4" t="e">
        <f>AND('Blumind Translations'!C171,"AAAAAFmff1U=")</f>
        <v>#VALUE!</v>
      </c>
      <c r="CI4" t="e">
        <f>AND('Blumind Translations'!D171,"AAAAAFmff1Y=")</f>
        <v>#VALUE!</v>
      </c>
      <c r="CJ4">
        <f>IF('Blumind Translations'!172:172,"AAAAAFmff1c=",0)</f>
        <v>0</v>
      </c>
      <c r="CK4" t="e">
        <f>AND('Blumind Translations'!A172,"AAAAAFmff1g=")</f>
        <v>#VALUE!</v>
      </c>
      <c r="CL4" t="e">
        <f>AND('Blumind Translations'!B172,"AAAAAFmff1k=")</f>
        <v>#VALUE!</v>
      </c>
      <c r="CM4" t="e">
        <f>AND('Blumind Translations'!C172,"AAAAAFmff1o=")</f>
        <v>#VALUE!</v>
      </c>
      <c r="CN4" t="e">
        <f>AND('Blumind Translations'!D172,"AAAAAFmff1s=")</f>
        <v>#VALUE!</v>
      </c>
      <c r="CO4">
        <f>IF('Blumind Translations'!173:173,"AAAAAFmff1w=",0)</f>
        <v>0</v>
      </c>
      <c r="CP4" t="e">
        <f>AND('Blumind Translations'!A173,"AAAAAFmff10=")</f>
        <v>#VALUE!</v>
      </c>
      <c r="CQ4" t="e">
        <f>AND('Blumind Translations'!B173,"AAAAAFmff14=")</f>
        <v>#VALUE!</v>
      </c>
      <c r="CR4" t="e">
        <f>AND('Blumind Translations'!C173,"AAAAAFmff18=")</f>
        <v>#VALUE!</v>
      </c>
      <c r="CS4" t="e">
        <f>AND('Blumind Translations'!D173,"AAAAAFmff2A=")</f>
        <v>#VALUE!</v>
      </c>
      <c r="CT4">
        <f>IF('Blumind Translations'!174:174,"AAAAAFmff2E=",0)</f>
        <v>0</v>
      </c>
      <c r="CU4" t="e">
        <f>AND('Blumind Translations'!A174,"AAAAAFmff2I=")</f>
        <v>#VALUE!</v>
      </c>
      <c r="CV4" t="e">
        <f>AND('Blumind Translations'!B174,"AAAAAFmff2M=")</f>
        <v>#VALUE!</v>
      </c>
      <c r="CW4" t="e">
        <f>AND('Blumind Translations'!C174,"AAAAAFmff2Q=")</f>
        <v>#VALUE!</v>
      </c>
      <c r="CX4" t="e">
        <f>AND('Blumind Translations'!D174,"AAAAAFmff2U=")</f>
        <v>#VALUE!</v>
      </c>
      <c r="CY4">
        <f>IF('Blumind Translations'!175:175,"AAAAAFmff2Y=",0)</f>
        <v>0</v>
      </c>
      <c r="CZ4" t="e">
        <f>AND('Blumind Translations'!A175,"AAAAAFmff2c=")</f>
        <v>#VALUE!</v>
      </c>
      <c r="DA4" t="e">
        <f>AND('Blumind Translations'!B175,"AAAAAFmff2g=")</f>
        <v>#VALUE!</v>
      </c>
      <c r="DB4" t="e">
        <f>AND('Blumind Translations'!C175,"AAAAAFmff2k=")</f>
        <v>#VALUE!</v>
      </c>
      <c r="DC4" t="e">
        <f>AND('Blumind Translations'!D175,"AAAAAFmff2o=")</f>
        <v>#VALUE!</v>
      </c>
      <c r="DD4">
        <f>IF('Blumind Translations'!176:176,"AAAAAFmff2s=",0)</f>
        <v>0</v>
      </c>
      <c r="DE4" t="e">
        <f>AND('Blumind Translations'!A176,"AAAAAFmff2w=")</f>
        <v>#VALUE!</v>
      </c>
      <c r="DF4" t="e">
        <f>AND('Blumind Translations'!B176,"AAAAAFmff20=")</f>
        <v>#VALUE!</v>
      </c>
      <c r="DG4" t="e">
        <f>AND('Blumind Translations'!C176,"AAAAAFmff24=")</f>
        <v>#VALUE!</v>
      </c>
      <c r="DH4" t="e">
        <f>AND('Blumind Translations'!D176,"AAAAAFmff28=")</f>
        <v>#VALUE!</v>
      </c>
      <c r="DI4">
        <f>IF('Blumind Translations'!177:177,"AAAAAFmff3A=",0)</f>
        <v>0</v>
      </c>
      <c r="DJ4" t="e">
        <f>AND('Blumind Translations'!A177,"AAAAAFmff3E=")</f>
        <v>#VALUE!</v>
      </c>
      <c r="DK4" t="e">
        <f>AND('Blumind Translations'!B177,"AAAAAFmff3I=")</f>
        <v>#VALUE!</v>
      </c>
      <c r="DL4" t="e">
        <f>AND('Blumind Translations'!C177,"AAAAAFmff3M=")</f>
        <v>#VALUE!</v>
      </c>
      <c r="DM4" t="e">
        <f>AND('Blumind Translations'!D177,"AAAAAFmff3Q=")</f>
        <v>#VALUE!</v>
      </c>
      <c r="DN4">
        <f>IF('Blumind Translations'!178:178,"AAAAAFmff3U=",0)</f>
        <v>0</v>
      </c>
      <c r="DO4" t="e">
        <f>AND('Blumind Translations'!A178,"AAAAAFmff3Y=")</f>
        <v>#VALUE!</v>
      </c>
      <c r="DP4" t="e">
        <f>AND('Blumind Translations'!B178,"AAAAAFmff3c=")</f>
        <v>#VALUE!</v>
      </c>
      <c r="DQ4" t="e">
        <f>AND('Blumind Translations'!C178,"AAAAAFmff3g=")</f>
        <v>#VALUE!</v>
      </c>
      <c r="DR4" t="e">
        <f>AND('Blumind Translations'!D178,"AAAAAFmff3k=")</f>
        <v>#VALUE!</v>
      </c>
      <c r="DS4">
        <f>IF('Blumind Translations'!179:179,"AAAAAFmff3o=",0)</f>
        <v>0</v>
      </c>
      <c r="DT4" t="e">
        <f>AND('Blumind Translations'!A179,"AAAAAFmff3s=")</f>
        <v>#VALUE!</v>
      </c>
      <c r="DU4" t="e">
        <f>AND('Blumind Translations'!B179,"AAAAAFmff3w=")</f>
        <v>#VALUE!</v>
      </c>
      <c r="DV4" t="e">
        <f>AND('Blumind Translations'!C179,"AAAAAFmff30=")</f>
        <v>#VALUE!</v>
      </c>
      <c r="DW4" t="e">
        <f>AND('Blumind Translations'!D179,"AAAAAFmff34=")</f>
        <v>#VALUE!</v>
      </c>
      <c r="DX4">
        <f>IF('Blumind Translations'!180:180,"AAAAAFmff38=",0)</f>
        <v>0</v>
      </c>
      <c r="DY4" t="e">
        <f>AND('Blumind Translations'!A180,"AAAAAFmff4A=")</f>
        <v>#VALUE!</v>
      </c>
      <c r="DZ4" t="e">
        <f>AND('Blumind Translations'!B180,"AAAAAFmff4E=")</f>
        <v>#VALUE!</v>
      </c>
      <c r="EA4" t="e">
        <f>AND('Blumind Translations'!C180,"AAAAAFmff4I=")</f>
        <v>#VALUE!</v>
      </c>
      <c r="EB4" t="e">
        <f>AND('Blumind Translations'!D180,"AAAAAFmff4M=")</f>
        <v>#VALUE!</v>
      </c>
      <c r="EC4">
        <f>IF('Blumind Translations'!181:181,"AAAAAFmff4Q=",0)</f>
        <v>0</v>
      </c>
      <c r="ED4" t="e">
        <f>AND('Blumind Translations'!A181,"AAAAAFmff4U=")</f>
        <v>#VALUE!</v>
      </c>
      <c r="EE4" t="e">
        <f>AND('Blumind Translations'!B181,"AAAAAFmff4Y=")</f>
        <v>#VALUE!</v>
      </c>
      <c r="EF4" t="e">
        <f>AND('Blumind Translations'!C181,"AAAAAFmff4c=")</f>
        <v>#VALUE!</v>
      </c>
      <c r="EG4" t="e">
        <f>AND('Blumind Translations'!D181,"AAAAAFmff4g=")</f>
        <v>#VALUE!</v>
      </c>
      <c r="EH4">
        <f>IF('Blumind Translations'!182:182,"AAAAAFmff4k=",0)</f>
        <v>0</v>
      </c>
      <c r="EI4" t="e">
        <f>AND('Blumind Translations'!A182,"AAAAAFmff4o=")</f>
        <v>#VALUE!</v>
      </c>
      <c r="EJ4" t="e">
        <f>AND('Blumind Translations'!B182,"AAAAAFmff4s=")</f>
        <v>#VALUE!</v>
      </c>
      <c r="EK4" t="e">
        <f>AND('Blumind Translations'!C182,"AAAAAFmff4w=")</f>
        <v>#VALUE!</v>
      </c>
      <c r="EL4" t="e">
        <f>AND('Blumind Translations'!D182,"AAAAAFmff40=")</f>
        <v>#VALUE!</v>
      </c>
      <c r="EM4">
        <f>IF('Blumind Translations'!183:183,"AAAAAFmff44=",0)</f>
        <v>0</v>
      </c>
      <c r="EN4" t="e">
        <f>AND('Blumind Translations'!A183,"AAAAAFmff48=")</f>
        <v>#VALUE!</v>
      </c>
      <c r="EO4" t="e">
        <f>AND('Blumind Translations'!B183,"AAAAAFmff5A=")</f>
        <v>#VALUE!</v>
      </c>
      <c r="EP4" t="e">
        <f>AND('Blumind Translations'!C183,"AAAAAFmff5E=")</f>
        <v>#VALUE!</v>
      </c>
      <c r="EQ4" t="e">
        <f>AND('Blumind Translations'!D183,"AAAAAFmff5I=")</f>
        <v>#VALUE!</v>
      </c>
      <c r="ER4">
        <f>IF('Blumind Translations'!184:184,"AAAAAFmff5M=",0)</f>
        <v>0</v>
      </c>
      <c r="ES4" t="e">
        <f>AND('Blumind Translations'!A184,"AAAAAFmff5Q=")</f>
        <v>#VALUE!</v>
      </c>
      <c r="ET4" t="e">
        <f>AND('Blumind Translations'!B184,"AAAAAFmff5U=")</f>
        <v>#VALUE!</v>
      </c>
      <c r="EU4" t="e">
        <f>AND('Blumind Translations'!C184,"AAAAAFmff5Y=")</f>
        <v>#VALUE!</v>
      </c>
      <c r="EV4" t="e">
        <f>AND('Blumind Translations'!D184,"AAAAAFmff5c=")</f>
        <v>#VALUE!</v>
      </c>
      <c r="EW4">
        <f>IF('Blumind Translations'!185:185,"AAAAAFmff5g=",0)</f>
        <v>0</v>
      </c>
      <c r="EX4" t="e">
        <f>AND('Blumind Translations'!A185,"AAAAAFmff5k=")</f>
        <v>#VALUE!</v>
      </c>
      <c r="EY4" t="e">
        <f>AND('Blumind Translations'!B185,"AAAAAFmff5o=")</f>
        <v>#VALUE!</v>
      </c>
      <c r="EZ4" t="e">
        <f>AND('Blumind Translations'!C185,"AAAAAFmff5s=")</f>
        <v>#VALUE!</v>
      </c>
      <c r="FA4" t="e">
        <f>AND('Blumind Translations'!D185,"AAAAAFmff5w=")</f>
        <v>#VALUE!</v>
      </c>
      <c r="FB4">
        <f>IF('Blumind Translations'!186:186,"AAAAAFmff50=",0)</f>
        <v>0</v>
      </c>
      <c r="FC4" t="e">
        <f>AND('Blumind Translations'!A186,"AAAAAFmff54=")</f>
        <v>#VALUE!</v>
      </c>
      <c r="FD4" t="e">
        <f>AND('Blumind Translations'!B186,"AAAAAFmff58=")</f>
        <v>#VALUE!</v>
      </c>
      <c r="FE4" t="e">
        <f>AND('Blumind Translations'!C186,"AAAAAFmff6A=")</f>
        <v>#VALUE!</v>
      </c>
      <c r="FF4" t="e">
        <f>AND('Blumind Translations'!D186,"AAAAAFmff6E=")</f>
        <v>#VALUE!</v>
      </c>
      <c r="FG4">
        <f>IF('Blumind Translations'!187:187,"AAAAAFmff6I=",0)</f>
        <v>0</v>
      </c>
      <c r="FH4" t="e">
        <f>AND('Blumind Translations'!A187,"AAAAAFmff6M=")</f>
        <v>#VALUE!</v>
      </c>
      <c r="FI4" t="e">
        <f>AND('Blumind Translations'!B187,"AAAAAFmff6Q=")</f>
        <v>#VALUE!</v>
      </c>
      <c r="FJ4" t="e">
        <f>AND('Blumind Translations'!C187,"AAAAAFmff6U=")</f>
        <v>#VALUE!</v>
      </c>
      <c r="FK4" t="e">
        <f>AND('Blumind Translations'!D187,"AAAAAFmff6Y=")</f>
        <v>#VALUE!</v>
      </c>
      <c r="FL4">
        <f>IF('Blumind Translations'!188:188,"AAAAAFmff6c=",0)</f>
        <v>0</v>
      </c>
      <c r="FM4" t="e">
        <f>AND('Blumind Translations'!A188,"AAAAAFmff6g=")</f>
        <v>#VALUE!</v>
      </c>
      <c r="FN4" t="e">
        <f>AND('Blumind Translations'!B188,"AAAAAFmff6k=")</f>
        <v>#VALUE!</v>
      </c>
      <c r="FO4" t="e">
        <f>AND('Blumind Translations'!C188,"AAAAAFmff6o=")</f>
        <v>#VALUE!</v>
      </c>
      <c r="FP4" t="e">
        <f>AND('Blumind Translations'!D188,"AAAAAFmff6s=")</f>
        <v>#VALUE!</v>
      </c>
      <c r="FQ4">
        <f>IF('Blumind Translations'!189:189,"AAAAAFmff6w=",0)</f>
        <v>0</v>
      </c>
      <c r="FR4" t="e">
        <f>AND('Blumind Translations'!A189,"AAAAAFmff60=")</f>
        <v>#VALUE!</v>
      </c>
      <c r="FS4" t="e">
        <f>AND('Blumind Translations'!B189,"AAAAAFmff64=")</f>
        <v>#VALUE!</v>
      </c>
      <c r="FT4" t="e">
        <f>AND('Blumind Translations'!C189,"AAAAAFmff68=")</f>
        <v>#VALUE!</v>
      </c>
      <c r="FU4" t="e">
        <f>AND('Blumind Translations'!D189,"AAAAAFmff7A=")</f>
        <v>#VALUE!</v>
      </c>
      <c r="FV4">
        <f>IF('Blumind Translations'!190:190,"AAAAAFmff7E=",0)</f>
        <v>0</v>
      </c>
      <c r="FW4" t="e">
        <f>AND('Blumind Translations'!A190,"AAAAAFmff7I=")</f>
        <v>#VALUE!</v>
      </c>
      <c r="FX4" t="e">
        <f>AND('Blumind Translations'!B190,"AAAAAFmff7M=")</f>
        <v>#VALUE!</v>
      </c>
      <c r="FY4" t="e">
        <f>AND('Blumind Translations'!C190,"AAAAAFmff7Q=")</f>
        <v>#VALUE!</v>
      </c>
      <c r="FZ4" t="e">
        <f>AND('Blumind Translations'!D190,"AAAAAFmff7U=")</f>
        <v>#VALUE!</v>
      </c>
      <c r="GA4">
        <f>IF('Blumind Translations'!191:191,"AAAAAFmff7Y=",0)</f>
        <v>0</v>
      </c>
      <c r="GB4" t="e">
        <f>AND('Blumind Translations'!A191,"AAAAAFmff7c=")</f>
        <v>#VALUE!</v>
      </c>
      <c r="GC4" t="e">
        <f>AND('Blumind Translations'!B191,"AAAAAFmff7g=")</f>
        <v>#VALUE!</v>
      </c>
      <c r="GD4" t="e">
        <f>AND('Blumind Translations'!C191,"AAAAAFmff7k=")</f>
        <v>#VALUE!</v>
      </c>
      <c r="GE4" t="e">
        <f>AND('Blumind Translations'!D191,"AAAAAFmff7o=")</f>
        <v>#VALUE!</v>
      </c>
      <c r="GF4">
        <f>IF('Blumind Translations'!192:192,"AAAAAFmff7s=",0)</f>
        <v>0</v>
      </c>
      <c r="GG4" t="e">
        <f>AND('Blumind Translations'!A192,"AAAAAFmff7w=")</f>
        <v>#VALUE!</v>
      </c>
      <c r="GH4" t="e">
        <f>AND('Blumind Translations'!B192,"AAAAAFmff70=")</f>
        <v>#VALUE!</v>
      </c>
      <c r="GI4" t="e">
        <f>AND('Blumind Translations'!C192,"AAAAAFmff74=")</f>
        <v>#VALUE!</v>
      </c>
      <c r="GJ4" t="e">
        <f>AND('Blumind Translations'!D192,"AAAAAFmff78=")</f>
        <v>#VALUE!</v>
      </c>
      <c r="GK4">
        <f>IF('Blumind Translations'!193:193,"AAAAAFmff8A=",0)</f>
        <v>0</v>
      </c>
      <c r="GL4" t="e">
        <f>AND('Blumind Translations'!A193,"AAAAAFmff8E=")</f>
        <v>#VALUE!</v>
      </c>
      <c r="GM4" t="e">
        <f>AND('Blumind Translations'!B193,"AAAAAFmff8I=")</f>
        <v>#VALUE!</v>
      </c>
      <c r="GN4" t="e">
        <f>AND('Blumind Translations'!C193,"AAAAAFmff8M=")</f>
        <v>#VALUE!</v>
      </c>
      <c r="GO4" t="e">
        <f>AND('Blumind Translations'!D193,"AAAAAFmff8Q=")</f>
        <v>#VALUE!</v>
      </c>
      <c r="GP4">
        <f>IF('Blumind Translations'!194:194,"AAAAAFmff8U=",0)</f>
        <v>0</v>
      </c>
      <c r="GQ4" t="e">
        <f>AND('Blumind Translations'!A194,"AAAAAFmff8Y=")</f>
        <v>#VALUE!</v>
      </c>
      <c r="GR4" t="e">
        <f>AND('Blumind Translations'!B194,"AAAAAFmff8c=")</f>
        <v>#VALUE!</v>
      </c>
      <c r="GS4" t="e">
        <f>AND('Blumind Translations'!C194,"AAAAAFmff8g=")</f>
        <v>#VALUE!</v>
      </c>
      <c r="GT4" t="e">
        <f>AND('Blumind Translations'!D194,"AAAAAFmff8k=")</f>
        <v>#VALUE!</v>
      </c>
      <c r="GU4">
        <f>IF('Blumind Translations'!195:195,"AAAAAFmff8o=",0)</f>
        <v>0</v>
      </c>
      <c r="GV4" t="e">
        <f>AND('Blumind Translations'!A195,"AAAAAFmff8s=")</f>
        <v>#VALUE!</v>
      </c>
      <c r="GW4" t="e">
        <f>AND('Blumind Translations'!B195,"AAAAAFmff8w=")</f>
        <v>#VALUE!</v>
      </c>
      <c r="GX4" t="e">
        <f>AND('Blumind Translations'!C195,"AAAAAFmff80=")</f>
        <v>#VALUE!</v>
      </c>
      <c r="GY4" t="e">
        <f>AND('Blumind Translations'!D195,"AAAAAFmff84=")</f>
        <v>#VALUE!</v>
      </c>
      <c r="GZ4">
        <f>IF('Blumind Translations'!196:196,"AAAAAFmff88=",0)</f>
        <v>0</v>
      </c>
      <c r="HA4" t="e">
        <f>AND('Blumind Translations'!A196,"AAAAAFmff9A=")</f>
        <v>#VALUE!</v>
      </c>
      <c r="HB4" t="e">
        <f>AND('Blumind Translations'!B196,"AAAAAFmff9E=")</f>
        <v>#VALUE!</v>
      </c>
      <c r="HC4" t="e">
        <f>AND('Blumind Translations'!C196,"AAAAAFmff9I=")</f>
        <v>#VALUE!</v>
      </c>
      <c r="HD4" t="e">
        <f>AND('Blumind Translations'!D196,"AAAAAFmff9M=")</f>
        <v>#VALUE!</v>
      </c>
      <c r="HE4">
        <f>IF('Blumind Translations'!197:197,"AAAAAFmff9Q=",0)</f>
        <v>0</v>
      </c>
      <c r="HF4" t="e">
        <f>AND('Blumind Translations'!A197,"AAAAAFmff9U=")</f>
        <v>#VALUE!</v>
      </c>
      <c r="HG4" t="e">
        <f>AND('Blumind Translations'!B197,"AAAAAFmff9Y=")</f>
        <v>#VALUE!</v>
      </c>
      <c r="HH4" t="e">
        <f>AND('Blumind Translations'!C197,"AAAAAFmff9c=")</f>
        <v>#VALUE!</v>
      </c>
      <c r="HI4" t="e">
        <f>AND('Blumind Translations'!D197,"AAAAAFmff9g=")</f>
        <v>#VALUE!</v>
      </c>
      <c r="HJ4">
        <f>IF('Blumind Translations'!198:198,"AAAAAFmff9k=",0)</f>
        <v>0</v>
      </c>
      <c r="HK4" t="e">
        <f>AND('Blumind Translations'!A198,"AAAAAFmff9o=")</f>
        <v>#VALUE!</v>
      </c>
      <c r="HL4" t="e">
        <f>AND('Blumind Translations'!B198,"AAAAAFmff9s=")</f>
        <v>#VALUE!</v>
      </c>
      <c r="HM4" t="e">
        <f>AND('Blumind Translations'!C198,"AAAAAFmff9w=")</f>
        <v>#VALUE!</v>
      </c>
      <c r="HN4" t="e">
        <f>AND('Blumind Translations'!D198,"AAAAAFmff90=")</f>
        <v>#VALUE!</v>
      </c>
      <c r="HO4">
        <f>IF('Blumind Translations'!199:199,"AAAAAFmff94=",0)</f>
        <v>0</v>
      </c>
      <c r="HP4" t="e">
        <f>AND('Blumind Translations'!A199,"AAAAAFmff98=")</f>
        <v>#VALUE!</v>
      </c>
      <c r="HQ4" t="e">
        <f>AND('Blumind Translations'!B199,"AAAAAFmff+A=")</f>
        <v>#VALUE!</v>
      </c>
      <c r="HR4" t="e">
        <f>AND('Blumind Translations'!C199,"AAAAAFmff+E=")</f>
        <v>#VALUE!</v>
      </c>
      <c r="HS4" t="e">
        <f>AND('Blumind Translations'!D199,"AAAAAFmff+I=")</f>
        <v>#VALUE!</v>
      </c>
      <c r="HT4">
        <f>IF('Blumind Translations'!200:200,"AAAAAFmff+M=",0)</f>
        <v>0</v>
      </c>
      <c r="HU4" t="e">
        <f>AND('Blumind Translations'!A200,"AAAAAFmff+Q=")</f>
        <v>#VALUE!</v>
      </c>
      <c r="HV4" t="e">
        <f>AND('Blumind Translations'!B200,"AAAAAFmff+U=")</f>
        <v>#VALUE!</v>
      </c>
      <c r="HW4" t="e">
        <f>AND('Blumind Translations'!C200,"AAAAAFmff+Y=")</f>
        <v>#VALUE!</v>
      </c>
      <c r="HX4" t="e">
        <f>AND('Blumind Translations'!D200,"AAAAAFmff+c=")</f>
        <v>#VALUE!</v>
      </c>
      <c r="HY4">
        <f>IF('Blumind Translations'!201:201,"AAAAAFmff+g=",0)</f>
        <v>0</v>
      </c>
      <c r="HZ4" t="e">
        <f>AND('Blumind Translations'!A201,"AAAAAFmff+k=")</f>
        <v>#VALUE!</v>
      </c>
      <c r="IA4" t="e">
        <f>AND('Blumind Translations'!B201,"AAAAAFmff+o=")</f>
        <v>#VALUE!</v>
      </c>
      <c r="IB4" t="e">
        <f>AND('Blumind Translations'!C201,"AAAAAFmff+s=")</f>
        <v>#VALUE!</v>
      </c>
      <c r="IC4" t="e">
        <f>AND('Blumind Translations'!D201,"AAAAAFmff+w=")</f>
        <v>#VALUE!</v>
      </c>
      <c r="ID4">
        <f>IF('Blumind Translations'!202:202,"AAAAAFmff+0=",0)</f>
        <v>0</v>
      </c>
      <c r="IE4" t="e">
        <f>AND('Blumind Translations'!A202,"AAAAAFmff+4=")</f>
        <v>#VALUE!</v>
      </c>
      <c r="IF4" t="e">
        <f>AND('Blumind Translations'!B202,"AAAAAFmff+8=")</f>
        <v>#VALUE!</v>
      </c>
      <c r="IG4" t="e">
        <f>AND('Blumind Translations'!C202,"AAAAAFmff/A=")</f>
        <v>#VALUE!</v>
      </c>
      <c r="IH4" t="e">
        <f>AND('Blumind Translations'!D202,"AAAAAFmff/E=")</f>
        <v>#VALUE!</v>
      </c>
      <c r="II4">
        <f>IF('Blumind Translations'!203:203,"AAAAAFmff/I=",0)</f>
        <v>0</v>
      </c>
      <c r="IJ4" t="e">
        <f>AND('Blumind Translations'!A203,"AAAAAFmff/M=")</f>
        <v>#VALUE!</v>
      </c>
      <c r="IK4" t="e">
        <f>AND('Blumind Translations'!B203,"AAAAAFmff/Q=")</f>
        <v>#VALUE!</v>
      </c>
      <c r="IL4" t="e">
        <f>AND('Blumind Translations'!C203,"AAAAAFmff/U=")</f>
        <v>#VALUE!</v>
      </c>
      <c r="IM4" t="e">
        <f>AND('Blumind Translations'!D203,"AAAAAFmff/Y=")</f>
        <v>#VALUE!</v>
      </c>
      <c r="IN4">
        <f>IF('Blumind Translations'!204:204,"AAAAAFmff/c=",0)</f>
        <v>0</v>
      </c>
      <c r="IO4" t="e">
        <f>AND('Blumind Translations'!A204,"AAAAAFmff/g=")</f>
        <v>#VALUE!</v>
      </c>
      <c r="IP4" t="e">
        <f>AND('Blumind Translations'!B204,"AAAAAFmff/k=")</f>
        <v>#VALUE!</v>
      </c>
      <c r="IQ4" t="e">
        <f>AND('Blumind Translations'!C204,"AAAAAFmff/o=")</f>
        <v>#VALUE!</v>
      </c>
      <c r="IR4" t="e">
        <f>AND('Blumind Translations'!D204,"AAAAAFmff/s=")</f>
        <v>#VALUE!</v>
      </c>
      <c r="IS4">
        <f>IF('Blumind Translations'!205:205,"AAAAAFmff/w=",0)</f>
        <v>0</v>
      </c>
      <c r="IT4" t="e">
        <f>AND('Blumind Translations'!A205,"AAAAAFmff/0=")</f>
        <v>#VALUE!</v>
      </c>
      <c r="IU4" t="e">
        <f>AND('Blumind Translations'!B205,"AAAAAFmff/4=")</f>
        <v>#VALUE!</v>
      </c>
      <c r="IV4" t="e">
        <f>AND('Blumind Translations'!C205,"AAAAAFmff/8=")</f>
        <v>#VALUE!</v>
      </c>
    </row>
    <row r="5" spans="1:256" x14ac:dyDescent="0.15">
      <c r="A5" t="e">
        <f>AND('Blumind Translations'!D205,"AAAAAB23dwA=")</f>
        <v>#VALUE!</v>
      </c>
      <c r="B5" t="e">
        <f>IF('Blumind Translations'!206:206,"AAAAAB23dwE=",0)</f>
        <v>#VALUE!</v>
      </c>
      <c r="C5" t="e">
        <f>AND('Blumind Translations'!A206,"AAAAAB23dwI=")</f>
        <v>#VALUE!</v>
      </c>
      <c r="D5" t="e">
        <f>AND('Blumind Translations'!B206,"AAAAAB23dwM=")</f>
        <v>#VALUE!</v>
      </c>
      <c r="E5" t="e">
        <f>AND('Blumind Translations'!C206,"AAAAAB23dwQ=")</f>
        <v>#VALUE!</v>
      </c>
      <c r="F5" t="e">
        <f>AND('Blumind Translations'!D206,"AAAAAB23dwU=")</f>
        <v>#VALUE!</v>
      </c>
      <c r="G5">
        <f>IF('Blumind Translations'!207:207,"AAAAAB23dwY=",0)</f>
        <v>0</v>
      </c>
      <c r="H5" t="e">
        <f>AND('Blumind Translations'!A207,"AAAAAB23dwc=")</f>
        <v>#VALUE!</v>
      </c>
      <c r="I5" t="e">
        <f>AND('Blumind Translations'!B207,"AAAAAB23dwg=")</f>
        <v>#VALUE!</v>
      </c>
      <c r="J5" t="e">
        <f>AND('Blumind Translations'!C207,"AAAAAB23dwk=")</f>
        <v>#VALUE!</v>
      </c>
      <c r="K5" t="e">
        <f>AND('Blumind Translations'!D207,"AAAAAB23dwo=")</f>
        <v>#VALUE!</v>
      </c>
      <c r="L5">
        <f>IF('Blumind Translations'!208:208,"AAAAAB23dws=",0)</f>
        <v>0</v>
      </c>
      <c r="M5" t="e">
        <f>AND('Blumind Translations'!A208,"AAAAAB23dww=")</f>
        <v>#VALUE!</v>
      </c>
      <c r="N5" t="e">
        <f>AND('Blumind Translations'!B208,"AAAAAB23dw0=")</f>
        <v>#VALUE!</v>
      </c>
      <c r="O5" t="e">
        <f>AND('Blumind Translations'!C208,"AAAAAB23dw4=")</f>
        <v>#VALUE!</v>
      </c>
      <c r="P5" t="e">
        <f>AND('Blumind Translations'!D208,"AAAAAB23dw8=")</f>
        <v>#VALUE!</v>
      </c>
      <c r="Q5">
        <f>IF('Blumind Translations'!209:209,"AAAAAB23dxA=",0)</f>
        <v>0</v>
      </c>
      <c r="R5" t="e">
        <f>AND('Blumind Translations'!A209,"AAAAAB23dxE=")</f>
        <v>#VALUE!</v>
      </c>
      <c r="S5" t="e">
        <f>AND('Blumind Translations'!B209,"AAAAAB23dxI=")</f>
        <v>#VALUE!</v>
      </c>
      <c r="T5" t="e">
        <f>AND('Blumind Translations'!C209,"AAAAAB23dxM=")</f>
        <v>#VALUE!</v>
      </c>
      <c r="U5" t="e">
        <f>AND('Blumind Translations'!D209,"AAAAAB23dxQ=")</f>
        <v>#VALUE!</v>
      </c>
      <c r="V5">
        <f>IF('Blumind Translations'!210:210,"AAAAAB23dxU=",0)</f>
        <v>0</v>
      </c>
      <c r="W5" t="e">
        <f>AND('Blumind Translations'!A210,"AAAAAB23dxY=")</f>
        <v>#VALUE!</v>
      </c>
      <c r="X5" t="e">
        <f>AND('Blumind Translations'!B210,"AAAAAB23dxc=")</f>
        <v>#VALUE!</v>
      </c>
      <c r="Y5" t="e">
        <f>AND('Blumind Translations'!C210,"AAAAAB23dxg=")</f>
        <v>#VALUE!</v>
      </c>
      <c r="Z5" t="e">
        <f>AND('Blumind Translations'!D210,"AAAAAB23dxk=")</f>
        <v>#VALUE!</v>
      </c>
      <c r="AA5">
        <f>IF('Blumind Translations'!211:211,"AAAAAB23dxo=",0)</f>
        <v>0</v>
      </c>
      <c r="AB5" t="e">
        <f>AND('Blumind Translations'!A211,"AAAAAB23dxs=")</f>
        <v>#VALUE!</v>
      </c>
      <c r="AC5" t="e">
        <f>AND('Blumind Translations'!B211,"AAAAAB23dxw=")</f>
        <v>#VALUE!</v>
      </c>
      <c r="AD5" t="e">
        <f>AND('Blumind Translations'!C211,"AAAAAB23dx0=")</f>
        <v>#VALUE!</v>
      </c>
      <c r="AE5" t="e">
        <f>AND('Blumind Translations'!D211,"AAAAAB23dx4=")</f>
        <v>#VALUE!</v>
      </c>
      <c r="AF5">
        <f>IF('Blumind Translations'!212:212,"AAAAAB23dx8=",0)</f>
        <v>0</v>
      </c>
      <c r="AG5" t="e">
        <f>AND('Blumind Translations'!A212,"AAAAAB23dyA=")</f>
        <v>#VALUE!</v>
      </c>
      <c r="AH5" t="e">
        <f>AND('Blumind Translations'!B212,"AAAAAB23dyE=")</f>
        <v>#VALUE!</v>
      </c>
      <c r="AI5" t="e">
        <f>AND('Blumind Translations'!C212,"AAAAAB23dyI=")</f>
        <v>#VALUE!</v>
      </c>
      <c r="AJ5" t="e">
        <f>AND('Blumind Translations'!D212,"AAAAAB23dyM=")</f>
        <v>#VALUE!</v>
      </c>
      <c r="AK5">
        <f>IF('Blumind Translations'!213:213,"AAAAAB23dyQ=",0)</f>
        <v>0</v>
      </c>
      <c r="AL5" t="e">
        <f>AND('Blumind Translations'!A213,"AAAAAB23dyU=")</f>
        <v>#VALUE!</v>
      </c>
      <c r="AM5" t="e">
        <f>AND('Blumind Translations'!B213,"AAAAAB23dyY=")</f>
        <v>#VALUE!</v>
      </c>
      <c r="AN5" t="e">
        <f>AND('Blumind Translations'!C213,"AAAAAB23dyc=")</f>
        <v>#VALUE!</v>
      </c>
      <c r="AO5" t="e">
        <f>AND('Blumind Translations'!D213,"AAAAAB23dyg=")</f>
        <v>#VALUE!</v>
      </c>
      <c r="AP5">
        <f>IF('Blumind Translations'!214:214,"AAAAAB23dyk=",0)</f>
        <v>0</v>
      </c>
      <c r="AQ5" t="e">
        <f>AND('Blumind Translations'!A214,"AAAAAB23dyo=")</f>
        <v>#VALUE!</v>
      </c>
      <c r="AR5" t="e">
        <f>AND('Blumind Translations'!B214,"AAAAAB23dys=")</f>
        <v>#VALUE!</v>
      </c>
      <c r="AS5" t="e">
        <f>AND('Blumind Translations'!C214,"AAAAAB23dyw=")</f>
        <v>#VALUE!</v>
      </c>
      <c r="AT5" t="e">
        <f>AND('Blumind Translations'!D214,"AAAAAB23dy0=")</f>
        <v>#VALUE!</v>
      </c>
      <c r="AU5">
        <f>IF('Blumind Translations'!215:215,"AAAAAB23dy4=",0)</f>
        <v>0</v>
      </c>
      <c r="AV5" t="e">
        <f>AND('Blumind Translations'!A215,"AAAAAB23dy8=")</f>
        <v>#VALUE!</v>
      </c>
      <c r="AW5" t="e">
        <f>AND('Blumind Translations'!B215,"AAAAAB23dzA=")</f>
        <v>#VALUE!</v>
      </c>
      <c r="AX5" t="e">
        <f>AND('Blumind Translations'!C215,"AAAAAB23dzE=")</f>
        <v>#VALUE!</v>
      </c>
      <c r="AY5" t="e">
        <f>AND('Blumind Translations'!D215,"AAAAAB23dzI=")</f>
        <v>#VALUE!</v>
      </c>
      <c r="AZ5">
        <f>IF('Blumind Translations'!216:216,"AAAAAB23dzM=",0)</f>
        <v>0</v>
      </c>
      <c r="BA5" t="e">
        <f>AND('Blumind Translations'!A216,"AAAAAB23dzQ=")</f>
        <v>#VALUE!</v>
      </c>
      <c r="BB5" t="e">
        <f>AND('Blumind Translations'!B216,"AAAAAB23dzU=")</f>
        <v>#VALUE!</v>
      </c>
      <c r="BC5" t="e">
        <f>AND('Blumind Translations'!C216,"AAAAAB23dzY=")</f>
        <v>#VALUE!</v>
      </c>
      <c r="BD5" t="e">
        <f>AND('Blumind Translations'!D216,"AAAAAB23dzc=")</f>
        <v>#VALUE!</v>
      </c>
      <c r="BE5">
        <f>IF('Blumind Translations'!217:217,"AAAAAB23dzg=",0)</f>
        <v>0</v>
      </c>
      <c r="BF5" t="e">
        <f>AND('Blumind Translations'!A217,"AAAAAB23dzk=")</f>
        <v>#VALUE!</v>
      </c>
      <c r="BG5" t="e">
        <f>AND('Blumind Translations'!B217,"AAAAAB23dzo=")</f>
        <v>#VALUE!</v>
      </c>
      <c r="BH5" t="e">
        <f>AND('Blumind Translations'!C217,"AAAAAB23dzs=")</f>
        <v>#VALUE!</v>
      </c>
      <c r="BI5" t="e">
        <f>AND('Blumind Translations'!D217,"AAAAAB23dzw=")</f>
        <v>#VALUE!</v>
      </c>
      <c r="BJ5">
        <f>IF('Blumind Translations'!218:218,"AAAAAB23dz0=",0)</f>
        <v>0</v>
      </c>
      <c r="BK5" t="e">
        <f>AND('Blumind Translations'!A218,"AAAAAB23dz4=")</f>
        <v>#VALUE!</v>
      </c>
      <c r="BL5" t="e">
        <f>AND('Blumind Translations'!B218,"AAAAAB23dz8=")</f>
        <v>#VALUE!</v>
      </c>
      <c r="BM5" t="e">
        <f>AND('Blumind Translations'!C218,"AAAAAB23d0A=")</f>
        <v>#VALUE!</v>
      </c>
      <c r="BN5" t="e">
        <f>AND('Blumind Translations'!D218,"AAAAAB23d0E=")</f>
        <v>#VALUE!</v>
      </c>
      <c r="BO5">
        <f>IF('Blumind Translations'!219:219,"AAAAAB23d0I=",0)</f>
        <v>0</v>
      </c>
      <c r="BP5" t="e">
        <f>AND('Blumind Translations'!A219,"AAAAAB23d0M=")</f>
        <v>#VALUE!</v>
      </c>
      <c r="BQ5" t="e">
        <f>AND('Blumind Translations'!B219,"AAAAAB23d0Q=")</f>
        <v>#VALUE!</v>
      </c>
      <c r="BR5" t="e">
        <f>AND('Blumind Translations'!C219,"AAAAAB23d0U=")</f>
        <v>#VALUE!</v>
      </c>
      <c r="BS5" t="e">
        <f>AND('Blumind Translations'!D219,"AAAAAB23d0Y=")</f>
        <v>#VALUE!</v>
      </c>
      <c r="BT5">
        <f>IF('Blumind Translations'!220:220,"AAAAAB23d0c=",0)</f>
        <v>0</v>
      </c>
      <c r="BU5" t="e">
        <f>AND('Blumind Translations'!A220,"AAAAAB23d0g=")</f>
        <v>#VALUE!</v>
      </c>
      <c r="BV5" t="e">
        <f>AND('Blumind Translations'!B220,"AAAAAB23d0k=")</f>
        <v>#VALUE!</v>
      </c>
      <c r="BW5" t="e">
        <f>AND('Blumind Translations'!C220,"AAAAAB23d0o=")</f>
        <v>#VALUE!</v>
      </c>
      <c r="BX5" t="e">
        <f>AND('Blumind Translations'!D220,"AAAAAB23d0s=")</f>
        <v>#VALUE!</v>
      </c>
      <c r="BY5">
        <f>IF('Blumind Translations'!221:221,"AAAAAB23d0w=",0)</f>
        <v>0</v>
      </c>
      <c r="BZ5" t="e">
        <f>AND('Blumind Translations'!A221,"AAAAAB23d00=")</f>
        <v>#VALUE!</v>
      </c>
      <c r="CA5" t="e">
        <f>AND('Blumind Translations'!B221,"AAAAAB23d04=")</f>
        <v>#VALUE!</v>
      </c>
      <c r="CB5" t="e">
        <f>AND('Blumind Translations'!C221,"AAAAAB23d08=")</f>
        <v>#VALUE!</v>
      </c>
      <c r="CC5" t="e">
        <f>AND('Blumind Translations'!D221,"AAAAAB23d1A=")</f>
        <v>#VALUE!</v>
      </c>
      <c r="CD5">
        <f>IF('Blumind Translations'!222:222,"AAAAAB23d1E=",0)</f>
        <v>0</v>
      </c>
      <c r="CE5" t="e">
        <f>AND('Blumind Translations'!A222,"AAAAAB23d1I=")</f>
        <v>#VALUE!</v>
      </c>
      <c r="CF5" t="e">
        <f>AND('Blumind Translations'!B222,"AAAAAB23d1M=")</f>
        <v>#VALUE!</v>
      </c>
      <c r="CG5" t="e">
        <f>AND('Blumind Translations'!C222,"AAAAAB23d1Q=")</f>
        <v>#VALUE!</v>
      </c>
      <c r="CH5" t="e">
        <f>AND('Blumind Translations'!D222,"AAAAAB23d1U=")</f>
        <v>#VALUE!</v>
      </c>
      <c r="CI5">
        <f>IF('Blumind Translations'!223:223,"AAAAAB23d1Y=",0)</f>
        <v>0</v>
      </c>
      <c r="CJ5" t="e">
        <f>AND('Blumind Translations'!A223,"AAAAAB23d1c=")</f>
        <v>#VALUE!</v>
      </c>
      <c r="CK5" t="e">
        <f>AND('Blumind Translations'!B223,"AAAAAB23d1g=")</f>
        <v>#VALUE!</v>
      </c>
      <c r="CL5" t="e">
        <f>AND('Blumind Translations'!C223,"AAAAAB23d1k=")</f>
        <v>#VALUE!</v>
      </c>
      <c r="CM5" t="e">
        <f>AND('Blumind Translations'!D223,"AAAAAB23d1o=")</f>
        <v>#VALUE!</v>
      </c>
      <c r="CN5">
        <f>IF('Blumind Translations'!224:224,"AAAAAB23d1s=",0)</f>
        <v>0</v>
      </c>
      <c r="CO5" t="e">
        <f>AND('Blumind Translations'!A224,"AAAAAB23d1w=")</f>
        <v>#VALUE!</v>
      </c>
      <c r="CP5" t="e">
        <f>AND('Blumind Translations'!B224,"AAAAAB23d10=")</f>
        <v>#VALUE!</v>
      </c>
      <c r="CQ5" t="e">
        <f>AND('Blumind Translations'!C224,"AAAAAB23d14=")</f>
        <v>#VALUE!</v>
      </c>
      <c r="CR5" t="e">
        <f>AND('Blumind Translations'!D224,"AAAAAB23d18=")</f>
        <v>#VALUE!</v>
      </c>
      <c r="CS5">
        <f>IF('Blumind Translations'!225:225,"AAAAAB23d2A=",0)</f>
        <v>0</v>
      </c>
      <c r="CT5" t="e">
        <f>AND('Blumind Translations'!A225,"AAAAAB23d2E=")</f>
        <v>#VALUE!</v>
      </c>
      <c r="CU5" t="e">
        <f>AND('Blumind Translations'!B225,"AAAAAB23d2I=")</f>
        <v>#VALUE!</v>
      </c>
      <c r="CV5" t="e">
        <f>AND('Blumind Translations'!C225,"AAAAAB23d2M=")</f>
        <v>#VALUE!</v>
      </c>
      <c r="CW5" t="e">
        <f>AND('Blumind Translations'!D225,"AAAAAB23d2Q=")</f>
        <v>#VALUE!</v>
      </c>
      <c r="CX5">
        <f>IF('Blumind Translations'!226:226,"AAAAAB23d2U=",0)</f>
        <v>0</v>
      </c>
      <c r="CY5" t="e">
        <f>AND('Blumind Translations'!A226,"AAAAAB23d2Y=")</f>
        <v>#VALUE!</v>
      </c>
      <c r="CZ5" t="e">
        <f>AND('Blumind Translations'!B226,"AAAAAB23d2c=")</f>
        <v>#VALUE!</v>
      </c>
      <c r="DA5" t="e">
        <f>AND('Blumind Translations'!C226,"AAAAAB23d2g=")</f>
        <v>#VALUE!</v>
      </c>
      <c r="DB5" t="e">
        <f>AND('Blumind Translations'!D226,"AAAAAB23d2k=")</f>
        <v>#VALUE!</v>
      </c>
      <c r="DC5">
        <f>IF('Blumind Translations'!227:227,"AAAAAB23d2o=",0)</f>
        <v>0</v>
      </c>
      <c r="DD5" t="e">
        <f>AND('Blumind Translations'!A227,"AAAAAB23d2s=")</f>
        <v>#VALUE!</v>
      </c>
      <c r="DE5" t="e">
        <f>AND('Blumind Translations'!B227,"AAAAAB23d2w=")</f>
        <v>#VALUE!</v>
      </c>
      <c r="DF5" t="e">
        <f>AND('Blumind Translations'!C227,"AAAAAB23d20=")</f>
        <v>#VALUE!</v>
      </c>
      <c r="DG5" t="e">
        <f>AND('Blumind Translations'!D227,"AAAAAB23d24=")</f>
        <v>#VALUE!</v>
      </c>
      <c r="DH5">
        <f>IF('Blumind Translations'!228:228,"AAAAAB23d28=",0)</f>
        <v>0</v>
      </c>
      <c r="DI5" t="e">
        <f>AND('Blumind Translations'!A228,"AAAAAB23d3A=")</f>
        <v>#VALUE!</v>
      </c>
      <c r="DJ5" t="e">
        <f>AND('Blumind Translations'!B228,"AAAAAB23d3E=")</f>
        <v>#VALUE!</v>
      </c>
      <c r="DK5" t="e">
        <f>AND('Blumind Translations'!C228,"AAAAAB23d3I=")</f>
        <v>#VALUE!</v>
      </c>
      <c r="DL5" t="e">
        <f>AND('Blumind Translations'!D228,"AAAAAB23d3M=")</f>
        <v>#VALUE!</v>
      </c>
      <c r="DM5">
        <f>IF('Blumind Translations'!229:229,"AAAAAB23d3Q=",0)</f>
        <v>0</v>
      </c>
      <c r="DN5" t="e">
        <f>AND('Blumind Translations'!A229,"AAAAAB23d3U=")</f>
        <v>#VALUE!</v>
      </c>
      <c r="DO5" t="e">
        <f>AND('Blumind Translations'!B229,"AAAAAB23d3Y=")</f>
        <v>#VALUE!</v>
      </c>
      <c r="DP5" t="e">
        <f>AND('Blumind Translations'!C229,"AAAAAB23d3c=")</f>
        <v>#VALUE!</v>
      </c>
      <c r="DQ5" t="e">
        <f>AND('Blumind Translations'!D229,"AAAAAB23d3g=")</f>
        <v>#VALUE!</v>
      </c>
      <c r="DR5">
        <f>IF('Blumind Translations'!230:230,"AAAAAB23d3k=",0)</f>
        <v>0</v>
      </c>
      <c r="DS5" t="e">
        <f>AND('Blumind Translations'!A230,"AAAAAB23d3o=")</f>
        <v>#VALUE!</v>
      </c>
      <c r="DT5" t="e">
        <f>AND('Blumind Translations'!B230,"AAAAAB23d3s=")</f>
        <v>#VALUE!</v>
      </c>
      <c r="DU5" t="e">
        <f>AND('Blumind Translations'!C230,"AAAAAB23d3w=")</f>
        <v>#VALUE!</v>
      </c>
      <c r="DV5" t="e">
        <f>AND('Blumind Translations'!D230,"AAAAAB23d30=")</f>
        <v>#VALUE!</v>
      </c>
      <c r="DW5">
        <f>IF('Blumind Translations'!231:231,"AAAAAB23d34=",0)</f>
        <v>0</v>
      </c>
      <c r="DX5" t="e">
        <f>AND('Blumind Translations'!A231,"AAAAAB23d38=")</f>
        <v>#VALUE!</v>
      </c>
      <c r="DY5" t="e">
        <f>AND('Blumind Translations'!B231,"AAAAAB23d4A=")</f>
        <v>#VALUE!</v>
      </c>
      <c r="DZ5" t="e">
        <f>AND('Blumind Translations'!C231,"AAAAAB23d4E=")</f>
        <v>#VALUE!</v>
      </c>
      <c r="EA5" t="e">
        <f>AND('Blumind Translations'!D231,"AAAAAB23d4I=")</f>
        <v>#VALUE!</v>
      </c>
      <c r="EB5">
        <f>IF('Blumind Translations'!232:232,"AAAAAB23d4M=",0)</f>
        <v>0</v>
      </c>
      <c r="EC5" t="e">
        <f>AND('Blumind Translations'!A232,"AAAAAB23d4Q=")</f>
        <v>#VALUE!</v>
      </c>
      <c r="ED5" t="e">
        <f>AND('Blumind Translations'!B232,"AAAAAB23d4U=")</f>
        <v>#VALUE!</v>
      </c>
      <c r="EE5" t="e">
        <f>AND('Blumind Translations'!C232,"AAAAAB23d4Y=")</f>
        <v>#VALUE!</v>
      </c>
      <c r="EF5" t="e">
        <f>AND('Blumind Translations'!D232,"AAAAAB23d4c=")</f>
        <v>#VALUE!</v>
      </c>
      <c r="EG5">
        <f>IF('Blumind Translations'!233:233,"AAAAAB23d4g=",0)</f>
        <v>0</v>
      </c>
      <c r="EH5" t="e">
        <f>AND('Blumind Translations'!A233,"AAAAAB23d4k=")</f>
        <v>#VALUE!</v>
      </c>
      <c r="EI5" t="e">
        <f>AND('Blumind Translations'!B233,"AAAAAB23d4o=")</f>
        <v>#VALUE!</v>
      </c>
      <c r="EJ5" t="e">
        <f>AND('Blumind Translations'!C233,"AAAAAB23d4s=")</f>
        <v>#VALUE!</v>
      </c>
      <c r="EK5" t="e">
        <f>AND('Blumind Translations'!D233,"AAAAAB23d4w=")</f>
        <v>#VALUE!</v>
      </c>
      <c r="EL5">
        <f>IF('Blumind Translations'!234:234,"AAAAAB23d40=",0)</f>
        <v>0</v>
      </c>
      <c r="EM5" t="e">
        <f>AND('Blumind Translations'!A234,"AAAAAB23d44=")</f>
        <v>#VALUE!</v>
      </c>
      <c r="EN5" t="e">
        <f>AND('Blumind Translations'!B234,"AAAAAB23d48=")</f>
        <v>#VALUE!</v>
      </c>
      <c r="EO5" t="e">
        <f>AND('Blumind Translations'!C234,"AAAAAB23d5A=")</f>
        <v>#VALUE!</v>
      </c>
      <c r="EP5" t="e">
        <f>AND('Blumind Translations'!D234,"AAAAAB23d5E=")</f>
        <v>#VALUE!</v>
      </c>
      <c r="EQ5">
        <f>IF('Blumind Translations'!235:235,"AAAAAB23d5I=",0)</f>
        <v>0</v>
      </c>
      <c r="ER5" t="e">
        <f>AND('Blumind Translations'!A235,"AAAAAB23d5M=")</f>
        <v>#VALUE!</v>
      </c>
      <c r="ES5" t="e">
        <f>AND('Blumind Translations'!B235,"AAAAAB23d5Q=")</f>
        <v>#VALUE!</v>
      </c>
      <c r="ET5" t="e">
        <f>AND('Blumind Translations'!C235,"AAAAAB23d5U=")</f>
        <v>#VALUE!</v>
      </c>
      <c r="EU5" t="e">
        <f>AND('Blumind Translations'!D235,"AAAAAB23d5Y=")</f>
        <v>#VALUE!</v>
      </c>
      <c r="EV5">
        <f>IF('Blumind Translations'!236:236,"AAAAAB23d5c=",0)</f>
        <v>0</v>
      </c>
      <c r="EW5" t="e">
        <f>AND('Blumind Translations'!A236,"AAAAAB23d5g=")</f>
        <v>#VALUE!</v>
      </c>
      <c r="EX5" t="e">
        <f>AND('Blumind Translations'!B236,"AAAAAB23d5k=")</f>
        <v>#VALUE!</v>
      </c>
      <c r="EY5" t="e">
        <f>AND('Blumind Translations'!C236,"AAAAAB23d5o=")</f>
        <v>#VALUE!</v>
      </c>
      <c r="EZ5" t="e">
        <f>AND('Blumind Translations'!D236,"AAAAAB23d5s=")</f>
        <v>#VALUE!</v>
      </c>
      <c r="FA5">
        <f>IF('Blumind Translations'!237:237,"AAAAAB23d5w=",0)</f>
        <v>0</v>
      </c>
      <c r="FB5" t="e">
        <f>AND('Blumind Translations'!A237,"AAAAAB23d50=")</f>
        <v>#VALUE!</v>
      </c>
      <c r="FC5" t="e">
        <f>AND('Blumind Translations'!B237,"AAAAAB23d54=")</f>
        <v>#VALUE!</v>
      </c>
      <c r="FD5" t="e">
        <f>AND('Blumind Translations'!C237,"AAAAAB23d58=")</f>
        <v>#VALUE!</v>
      </c>
      <c r="FE5" t="e">
        <f>AND('Blumind Translations'!D237,"AAAAAB23d6A=")</f>
        <v>#VALUE!</v>
      </c>
      <c r="FF5">
        <f>IF('Blumind Translations'!238:238,"AAAAAB23d6E=",0)</f>
        <v>0</v>
      </c>
      <c r="FG5" t="e">
        <f>AND('Blumind Translations'!A238,"AAAAAB23d6I=")</f>
        <v>#VALUE!</v>
      </c>
      <c r="FH5" t="e">
        <f>AND('Blumind Translations'!B238,"AAAAAB23d6M=")</f>
        <v>#VALUE!</v>
      </c>
      <c r="FI5" t="e">
        <f>AND('Blumind Translations'!C238,"AAAAAB23d6Q=")</f>
        <v>#VALUE!</v>
      </c>
      <c r="FJ5" t="e">
        <f>AND('Blumind Translations'!D238,"AAAAAB23d6U=")</f>
        <v>#VALUE!</v>
      </c>
      <c r="FK5">
        <f>IF('Blumind Translations'!239:239,"AAAAAB23d6Y=",0)</f>
        <v>0</v>
      </c>
      <c r="FL5" t="e">
        <f>AND('Blumind Translations'!A239,"AAAAAB23d6c=")</f>
        <v>#VALUE!</v>
      </c>
      <c r="FM5" t="e">
        <f>AND('Blumind Translations'!B239,"AAAAAB23d6g=")</f>
        <v>#VALUE!</v>
      </c>
      <c r="FN5" t="e">
        <f>AND('Blumind Translations'!C239,"AAAAAB23d6k=")</f>
        <v>#VALUE!</v>
      </c>
      <c r="FO5" t="e">
        <f>AND('Blumind Translations'!D239,"AAAAAB23d6o=")</f>
        <v>#VALUE!</v>
      </c>
      <c r="FP5">
        <f>IF('Blumind Translations'!240:240,"AAAAAB23d6s=",0)</f>
        <v>0</v>
      </c>
      <c r="FQ5" t="e">
        <f>AND('Blumind Translations'!A240,"AAAAAB23d6w=")</f>
        <v>#VALUE!</v>
      </c>
      <c r="FR5" t="e">
        <f>AND('Blumind Translations'!B240,"AAAAAB23d60=")</f>
        <v>#VALUE!</v>
      </c>
      <c r="FS5" t="e">
        <f>AND('Blumind Translations'!C240,"AAAAAB23d64=")</f>
        <v>#VALUE!</v>
      </c>
      <c r="FT5" t="e">
        <f>AND('Blumind Translations'!D240,"AAAAAB23d68=")</f>
        <v>#VALUE!</v>
      </c>
      <c r="FU5">
        <f>IF('Blumind Translations'!241:241,"AAAAAB23d7A=",0)</f>
        <v>0</v>
      </c>
      <c r="FV5" t="e">
        <f>AND('Blumind Translations'!A241,"AAAAAB23d7E=")</f>
        <v>#VALUE!</v>
      </c>
      <c r="FW5" t="e">
        <f>AND('Blumind Translations'!B241,"AAAAAB23d7I=")</f>
        <v>#VALUE!</v>
      </c>
      <c r="FX5" t="e">
        <f>AND('Blumind Translations'!C241,"AAAAAB23d7M=")</f>
        <v>#VALUE!</v>
      </c>
      <c r="FY5" t="e">
        <f>AND('Blumind Translations'!D241,"AAAAAB23d7Q=")</f>
        <v>#VALUE!</v>
      </c>
      <c r="FZ5">
        <f>IF('Blumind Translations'!242:242,"AAAAAB23d7U=",0)</f>
        <v>0</v>
      </c>
      <c r="GA5" t="e">
        <f>AND('Blumind Translations'!A242,"AAAAAB23d7Y=")</f>
        <v>#VALUE!</v>
      </c>
      <c r="GB5" t="e">
        <f>AND('Blumind Translations'!B242,"AAAAAB23d7c=")</f>
        <v>#VALUE!</v>
      </c>
      <c r="GC5" t="e">
        <f>AND('Blumind Translations'!C242,"AAAAAB23d7g=")</f>
        <v>#VALUE!</v>
      </c>
      <c r="GD5" t="e">
        <f>AND('Blumind Translations'!D242,"AAAAAB23d7k=")</f>
        <v>#VALUE!</v>
      </c>
      <c r="GE5">
        <f>IF('Blumind Translations'!243:243,"AAAAAB23d7o=",0)</f>
        <v>0</v>
      </c>
      <c r="GF5" t="e">
        <f>AND('Blumind Translations'!A243,"AAAAAB23d7s=")</f>
        <v>#VALUE!</v>
      </c>
      <c r="GG5" t="e">
        <f>AND('Blumind Translations'!B243,"AAAAAB23d7w=")</f>
        <v>#VALUE!</v>
      </c>
      <c r="GH5" t="e">
        <f>AND('Blumind Translations'!C243,"AAAAAB23d70=")</f>
        <v>#VALUE!</v>
      </c>
      <c r="GI5" t="e">
        <f>AND('Blumind Translations'!D243,"AAAAAB23d74=")</f>
        <v>#VALUE!</v>
      </c>
      <c r="GJ5">
        <f>IF('Blumind Translations'!244:244,"AAAAAB23d78=",0)</f>
        <v>0</v>
      </c>
      <c r="GK5" t="e">
        <f>AND('Blumind Translations'!A244,"AAAAAB23d8A=")</f>
        <v>#VALUE!</v>
      </c>
      <c r="GL5" t="e">
        <f>AND('Blumind Translations'!B244,"AAAAAB23d8E=")</f>
        <v>#VALUE!</v>
      </c>
      <c r="GM5" t="e">
        <f>AND('Blumind Translations'!C244,"AAAAAB23d8I=")</f>
        <v>#VALUE!</v>
      </c>
      <c r="GN5" t="e">
        <f>AND('Blumind Translations'!D244,"AAAAAB23d8M=")</f>
        <v>#VALUE!</v>
      </c>
      <c r="GO5">
        <f>IF('Blumind Translations'!245:245,"AAAAAB23d8Q=",0)</f>
        <v>0</v>
      </c>
      <c r="GP5" t="e">
        <f>AND('Blumind Translations'!A245,"AAAAAB23d8U=")</f>
        <v>#VALUE!</v>
      </c>
      <c r="GQ5" t="e">
        <f>AND('Blumind Translations'!B245,"AAAAAB23d8Y=")</f>
        <v>#VALUE!</v>
      </c>
      <c r="GR5" t="e">
        <f>AND('Blumind Translations'!C245,"AAAAAB23d8c=")</f>
        <v>#VALUE!</v>
      </c>
      <c r="GS5" t="e">
        <f>AND('Blumind Translations'!D245,"AAAAAB23d8g=")</f>
        <v>#VALUE!</v>
      </c>
      <c r="GT5">
        <f>IF('Blumind Translations'!246:246,"AAAAAB23d8k=",0)</f>
        <v>0</v>
      </c>
      <c r="GU5" t="e">
        <f>AND('Blumind Translations'!A246,"AAAAAB23d8o=")</f>
        <v>#VALUE!</v>
      </c>
      <c r="GV5" t="e">
        <f>AND('Blumind Translations'!B246,"AAAAAB23d8s=")</f>
        <v>#VALUE!</v>
      </c>
      <c r="GW5" t="e">
        <f>AND('Blumind Translations'!C246,"AAAAAB23d8w=")</f>
        <v>#VALUE!</v>
      </c>
      <c r="GX5" t="e">
        <f>AND('Blumind Translations'!D246,"AAAAAB23d80=")</f>
        <v>#VALUE!</v>
      </c>
      <c r="GY5">
        <f>IF('Blumind Translations'!247:247,"AAAAAB23d84=",0)</f>
        <v>0</v>
      </c>
      <c r="GZ5" t="e">
        <f>AND('Blumind Translations'!A247,"AAAAAB23d88=")</f>
        <v>#VALUE!</v>
      </c>
      <c r="HA5" t="e">
        <f>AND('Blumind Translations'!B247,"AAAAAB23d9A=")</f>
        <v>#VALUE!</v>
      </c>
      <c r="HB5" t="e">
        <f>AND('Blumind Translations'!C247,"AAAAAB23d9E=")</f>
        <v>#VALUE!</v>
      </c>
      <c r="HC5" t="e">
        <f>AND('Blumind Translations'!D247,"AAAAAB23d9I=")</f>
        <v>#VALUE!</v>
      </c>
      <c r="HD5">
        <f>IF('Blumind Translations'!248:248,"AAAAAB23d9M=",0)</f>
        <v>0</v>
      </c>
      <c r="HE5" t="e">
        <f>AND('Blumind Translations'!A248,"AAAAAB23d9Q=")</f>
        <v>#VALUE!</v>
      </c>
      <c r="HF5" t="e">
        <f>AND('Blumind Translations'!B248,"AAAAAB23d9U=")</f>
        <v>#VALUE!</v>
      </c>
      <c r="HG5" t="e">
        <f>AND('Blumind Translations'!C248,"AAAAAB23d9Y=")</f>
        <v>#VALUE!</v>
      </c>
      <c r="HH5" t="e">
        <f>AND('Blumind Translations'!D248,"AAAAAB23d9c=")</f>
        <v>#VALUE!</v>
      </c>
      <c r="HI5">
        <f>IF('Blumind Translations'!249:249,"AAAAAB23d9g=",0)</f>
        <v>0</v>
      </c>
      <c r="HJ5" t="e">
        <f>AND('Blumind Translations'!A249,"AAAAAB23d9k=")</f>
        <v>#VALUE!</v>
      </c>
      <c r="HK5" t="e">
        <f>AND('Blumind Translations'!B249,"AAAAAB23d9o=")</f>
        <v>#VALUE!</v>
      </c>
      <c r="HL5" t="e">
        <f>AND('Blumind Translations'!C249,"AAAAAB23d9s=")</f>
        <v>#VALUE!</v>
      </c>
      <c r="HM5" t="e">
        <f>AND('Blumind Translations'!D249,"AAAAAB23d9w=")</f>
        <v>#VALUE!</v>
      </c>
      <c r="HN5">
        <f>IF('Blumind Translations'!250:250,"AAAAAB23d90=",0)</f>
        <v>0</v>
      </c>
      <c r="HO5" t="e">
        <f>AND('Blumind Translations'!A250,"AAAAAB23d94=")</f>
        <v>#VALUE!</v>
      </c>
      <c r="HP5" t="e">
        <f>AND('Blumind Translations'!B250,"AAAAAB23d98=")</f>
        <v>#VALUE!</v>
      </c>
      <c r="HQ5" t="e">
        <f>AND('Blumind Translations'!C250,"AAAAAB23d+A=")</f>
        <v>#VALUE!</v>
      </c>
      <c r="HR5" t="e">
        <f>AND('Blumind Translations'!D250,"AAAAAB23d+E=")</f>
        <v>#VALUE!</v>
      </c>
      <c r="HS5">
        <f>IF('Blumind Translations'!251:251,"AAAAAB23d+I=",0)</f>
        <v>0</v>
      </c>
      <c r="HT5" t="e">
        <f>AND('Blumind Translations'!A251,"AAAAAB23d+M=")</f>
        <v>#VALUE!</v>
      </c>
      <c r="HU5" t="e">
        <f>AND('Blumind Translations'!B251,"AAAAAB23d+Q=")</f>
        <v>#VALUE!</v>
      </c>
      <c r="HV5" t="e">
        <f>AND('Blumind Translations'!C251,"AAAAAB23d+U=")</f>
        <v>#VALUE!</v>
      </c>
      <c r="HW5" t="e">
        <f>AND('Blumind Translations'!D251,"AAAAAB23d+Y=")</f>
        <v>#VALUE!</v>
      </c>
      <c r="HX5">
        <f>IF('Blumind Translations'!252:252,"AAAAAB23d+c=",0)</f>
        <v>0</v>
      </c>
      <c r="HY5" t="e">
        <f>AND('Blumind Translations'!A252,"AAAAAB23d+g=")</f>
        <v>#VALUE!</v>
      </c>
      <c r="HZ5" t="e">
        <f>AND('Blumind Translations'!B252,"AAAAAB23d+k=")</f>
        <v>#VALUE!</v>
      </c>
      <c r="IA5" t="e">
        <f>AND('Blumind Translations'!C252,"AAAAAB23d+o=")</f>
        <v>#VALUE!</v>
      </c>
      <c r="IB5" t="e">
        <f>AND('Blumind Translations'!D252,"AAAAAB23d+s=")</f>
        <v>#VALUE!</v>
      </c>
      <c r="IC5">
        <f>IF('Blumind Translations'!253:253,"AAAAAB23d+w=",0)</f>
        <v>0</v>
      </c>
      <c r="ID5" t="e">
        <f>AND('Blumind Translations'!A253,"AAAAAB23d+0=")</f>
        <v>#VALUE!</v>
      </c>
      <c r="IE5" t="e">
        <f>AND('Blumind Translations'!B253,"AAAAAB23d+4=")</f>
        <v>#VALUE!</v>
      </c>
      <c r="IF5" t="e">
        <f>AND('Blumind Translations'!C253,"AAAAAB23d+8=")</f>
        <v>#VALUE!</v>
      </c>
      <c r="IG5" t="e">
        <f>AND('Blumind Translations'!D253,"AAAAAB23d/A=")</f>
        <v>#VALUE!</v>
      </c>
      <c r="IH5">
        <f>IF('Blumind Translations'!254:254,"AAAAAB23d/E=",0)</f>
        <v>0</v>
      </c>
      <c r="II5" t="e">
        <f>AND('Blumind Translations'!A254,"AAAAAB23d/I=")</f>
        <v>#VALUE!</v>
      </c>
      <c r="IJ5" t="e">
        <f>AND('Blumind Translations'!B254,"AAAAAB23d/M=")</f>
        <v>#VALUE!</v>
      </c>
      <c r="IK5" t="e">
        <f>AND('Blumind Translations'!C254,"AAAAAB23d/Q=")</f>
        <v>#VALUE!</v>
      </c>
      <c r="IL5" t="e">
        <f>AND('Blumind Translations'!D254,"AAAAAB23d/U=")</f>
        <v>#VALUE!</v>
      </c>
      <c r="IM5">
        <f>IF('Blumind Translations'!255:255,"AAAAAB23d/Y=",0)</f>
        <v>0</v>
      </c>
      <c r="IN5" t="e">
        <f>AND('Blumind Translations'!A255,"AAAAAB23d/c=")</f>
        <v>#VALUE!</v>
      </c>
      <c r="IO5" t="e">
        <f>AND('Blumind Translations'!B255,"AAAAAB23d/g=")</f>
        <v>#VALUE!</v>
      </c>
      <c r="IP5" t="e">
        <f>AND('Blumind Translations'!C255,"AAAAAB23d/k=")</f>
        <v>#VALUE!</v>
      </c>
      <c r="IQ5" t="e">
        <f>AND('Blumind Translations'!D255,"AAAAAB23d/o=")</f>
        <v>#VALUE!</v>
      </c>
      <c r="IR5">
        <f>IF('Blumind Translations'!256:256,"AAAAAB23d/s=",0)</f>
        <v>0</v>
      </c>
      <c r="IS5" t="e">
        <f>AND('Blumind Translations'!A256,"AAAAAB23d/w=")</f>
        <v>#VALUE!</v>
      </c>
      <c r="IT5" t="e">
        <f>AND('Blumind Translations'!B256,"AAAAAB23d/0=")</f>
        <v>#VALUE!</v>
      </c>
      <c r="IU5" t="e">
        <f>AND('Blumind Translations'!C256,"AAAAAB23d/4=")</f>
        <v>#VALUE!</v>
      </c>
      <c r="IV5" t="e">
        <f>AND('Blumind Translations'!D256,"AAAAAB23d/8=")</f>
        <v>#VALUE!</v>
      </c>
    </row>
    <row r="6" spans="1:256" x14ac:dyDescent="0.15">
      <c r="A6" t="e">
        <f>IF('Blumind Translations'!257:257,"AAAAAF3/fwA=",0)</f>
        <v>#VALUE!</v>
      </c>
      <c r="B6" t="e">
        <f>AND('Blumind Translations'!A257,"AAAAAF3/fwE=")</f>
        <v>#VALUE!</v>
      </c>
      <c r="C6" t="e">
        <f>AND('Blumind Translations'!B257,"AAAAAF3/fwI=")</f>
        <v>#VALUE!</v>
      </c>
      <c r="D6" t="e">
        <f>AND('Blumind Translations'!C257,"AAAAAF3/fwM=")</f>
        <v>#VALUE!</v>
      </c>
      <c r="E6" t="e">
        <f>AND('Blumind Translations'!D257,"AAAAAF3/fwQ=")</f>
        <v>#VALUE!</v>
      </c>
      <c r="F6">
        <f>IF('Blumind Translations'!258:258,"AAAAAF3/fwU=",0)</f>
        <v>0</v>
      </c>
      <c r="G6" t="e">
        <f>AND('Blumind Translations'!A258,"AAAAAF3/fwY=")</f>
        <v>#VALUE!</v>
      </c>
      <c r="H6" t="e">
        <f>AND('Blumind Translations'!B258,"AAAAAF3/fwc=")</f>
        <v>#VALUE!</v>
      </c>
      <c r="I6" t="e">
        <f>AND('Blumind Translations'!C258,"AAAAAF3/fwg=")</f>
        <v>#VALUE!</v>
      </c>
      <c r="J6" t="e">
        <f>AND('Blumind Translations'!D258,"AAAAAF3/fwk=")</f>
        <v>#VALUE!</v>
      </c>
      <c r="K6">
        <f>IF('Blumind Translations'!259:259,"AAAAAF3/fwo=",0)</f>
        <v>0</v>
      </c>
      <c r="L6" t="e">
        <f>AND('Blumind Translations'!A259,"AAAAAF3/fws=")</f>
        <v>#VALUE!</v>
      </c>
      <c r="M6" t="e">
        <f>AND('Blumind Translations'!B259,"AAAAAF3/fww=")</f>
        <v>#VALUE!</v>
      </c>
      <c r="N6" t="e">
        <f>AND('Blumind Translations'!C259,"AAAAAF3/fw0=")</f>
        <v>#VALUE!</v>
      </c>
      <c r="O6" t="e">
        <f>AND('Blumind Translations'!D259,"AAAAAF3/fw4=")</f>
        <v>#VALUE!</v>
      </c>
      <c r="P6">
        <f>IF('Blumind Translations'!260:260,"AAAAAF3/fw8=",0)</f>
        <v>0</v>
      </c>
      <c r="Q6" t="e">
        <f>AND('Blumind Translations'!A260,"AAAAAF3/fxA=")</f>
        <v>#VALUE!</v>
      </c>
      <c r="R6" t="e">
        <f>AND('Blumind Translations'!B260,"AAAAAF3/fxE=")</f>
        <v>#VALUE!</v>
      </c>
      <c r="S6" t="e">
        <f>AND('Blumind Translations'!C260,"AAAAAF3/fxI=")</f>
        <v>#VALUE!</v>
      </c>
      <c r="T6" t="e">
        <f>AND('Blumind Translations'!D260,"AAAAAF3/fxM=")</f>
        <v>#VALUE!</v>
      </c>
      <c r="U6">
        <f>IF('Blumind Translations'!261:261,"AAAAAF3/fxQ=",0)</f>
        <v>0</v>
      </c>
      <c r="V6" t="e">
        <f>AND('Blumind Translations'!A261,"AAAAAF3/fxU=")</f>
        <v>#VALUE!</v>
      </c>
      <c r="W6" t="e">
        <f>AND('Blumind Translations'!B261,"AAAAAF3/fxY=")</f>
        <v>#VALUE!</v>
      </c>
      <c r="X6" t="e">
        <f>AND('Blumind Translations'!C261,"AAAAAF3/fxc=")</f>
        <v>#VALUE!</v>
      </c>
      <c r="Y6" t="e">
        <f>AND('Blumind Translations'!D261,"AAAAAF3/fxg=")</f>
        <v>#VALUE!</v>
      </c>
      <c r="Z6">
        <f>IF('Blumind Translations'!262:262,"AAAAAF3/fxk=",0)</f>
        <v>0</v>
      </c>
      <c r="AA6" t="e">
        <f>AND('Blumind Translations'!A262,"AAAAAF3/fxo=")</f>
        <v>#VALUE!</v>
      </c>
      <c r="AB6" t="e">
        <f>AND('Blumind Translations'!B262,"AAAAAF3/fxs=")</f>
        <v>#VALUE!</v>
      </c>
      <c r="AC6" t="e">
        <f>AND('Blumind Translations'!C262,"AAAAAF3/fxw=")</f>
        <v>#VALUE!</v>
      </c>
      <c r="AD6" t="e">
        <f>AND('Blumind Translations'!D262,"AAAAAF3/fx0=")</f>
        <v>#VALUE!</v>
      </c>
      <c r="AE6">
        <f>IF('Blumind Translations'!263:263,"AAAAAF3/fx4=",0)</f>
        <v>0</v>
      </c>
      <c r="AF6" t="e">
        <f>AND('Blumind Translations'!A263,"AAAAAF3/fx8=")</f>
        <v>#VALUE!</v>
      </c>
      <c r="AG6" t="e">
        <f>AND('Blumind Translations'!B263,"AAAAAF3/fyA=")</f>
        <v>#VALUE!</v>
      </c>
      <c r="AH6" t="e">
        <f>AND('Blumind Translations'!C263,"AAAAAF3/fyE=")</f>
        <v>#VALUE!</v>
      </c>
      <c r="AI6" t="e">
        <f>AND('Blumind Translations'!D263,"AAAAAF3/fyI=")</f>
        <v>#VALUE!</v>
      </c>
      <c r="AJ6">
        <f>IF('Blumind Translations'!264:264,"AAAAAF3/fyM=",0)</f>
        <v>0</v>
      </c>
      <c r="AK6" t="e">
        <f>AND('Blumind Translations'!A264,"AAAAAF3/fyQ=")</f>
        <v>#VALUE!</v>
      </c>
      <c r="AL6" t="e">
        <f>AND('Blumind Translations'!B264,"AAAAAF3/fyU=")</f>
        <v>#VALUE!</v>
      </c>
      <c r="AM6" t="e">
        <f>AND('Blumind Translations'!C264,"AAAAAF3/fyY=")</f>
        <v>#VALUE!</v>
      </c>
      <c r="AN6" t="e">
        <f>AND('Blumind Translations'!D264,"AAAAAF3/fyc=")</f>
        <v>#VALUE!</v>
      </c>
      <c r="AO6">
        <f>IF('Blumind Translations'!265:265,"AAAAAF3/fyg=",0)</f>
        <v>0</v>
      </c>
      <c r="AP6" t="e">
        <f>AND('Blumind Translations'!A265,"AAAAAF3/fyk=")</f>
        <v>#VALUE!</v>
      </c>
      <c r="AQ6" t="e">
        <f>AND('Blumind Translations'!B265,"AAAAAF3/fyo=")</f>
        <v>#VALUE!</v>
      </c>
      <c r="AR6" t="e">
        <f>AND('Blumind Translations'!C265,"AAAAAF3/fys=")</f>
        <v>#VALUE!</v>
      </c>
      <c r="AS6" t="e">
        <f>AND('Blumind Translations'!D265,"AAAAAF3/fyw=")</f>
        <v>#VALUE!</v>
      </c>
      <c r="AT6">
        <f>IF('Blumind Translations'!266:266,"AAAAAF3/fy0=",0)</f>
        <v>0</v>
      </c>
      <c r="AU6" t="e">
        <f>AND('Blumind Translations'!A266,"AAAAAF3/fy4=")</f>
        <v>#VALUE!</v>
      </c>
      <c r="AV6" t="e">
        <f>AND('Blumind Translations'!B266,"AAAAAF3/fy8=")</f>
        <v>#VALUE!</v>
      </c>
      <c r="AW6" t="e">
        <f>AND('Blumind Translations'!C266,"AAAAAF3/fzA=")</f>
        <v>#VALUE!</v>
      </c>
      <c r="AX6" t="e">
        <f>AND('Blumind Translations'!D266,"AAAAAF3/fzE=")</f>
        <v>#VALUE!</v>
      </c>
      <c r="AY6">
        <f>IF('Blumind Translations'!267:267,"AAAAAF3/fzI=",0)</f>
        <v>0</v>
      </c>
      <c r="AZ6" t="e">
        <f>AND('Blumind Translations'!A267,"AAAAAF3/fzM=")</f>
        <v>#VALUE!</v>
      </c>
      <c r="BA6" t="e">
        <f>AND('Blumind Translations'!B267,"AAAAAF3/fzQ=")</f>
        <v>#VALUE!</v>
      </c>
      <c r="BB6" t="e">
        <f>AND('Blumind Translations'!C267,"AAAAAF3/fzU=")</f>
        <v>#VALUE!</v>
      </c>
      <c r="BC6" t="e">
        <f>AND('Blumind Translations'!D267,"AAAAAF3/fzY=")</f>
        <v>#VALUE!</v>
      </c>
      <c r="BD6">
        <f>IF('Blumind Translations'!268:268,"AAAAAF3/fzc=",0)</f>
        <v>0</v>
      </c>
      <c r="BE6" t="e">
        <f>AND('Blumind Translations'!A268,"AAAAAF3/fzg=")</f>
        <v>#VALUE!</v>
      </c>
      <c r="BF6" t="e">
        <f>AND('Blumind Translations'!B268,"AAAAAF3/fzk=")</f>
        <v>#VALUE!</v>
      </c>
      <c r="BG6" t="e">
        <f>AND('Blumind Translations'!C268,"AAAAAF3/fzo=")</f>
        <v>#VALUE!</v>
      </c>
      <c r="BH6" t="e">
        <f>AND('Blumind Translations'!D268,"AAAAAF3/fzs=")</f>
        <v>#VALUE!</v>
      </c>
      <c r="BI6">
        <f>IF('Blumind Translations'!269:269,"AAAAAF3/fzw=",0)</f>
        <v>0</v>
      </c>
      <c r="BJ6" t="e">
        <f>AND('Blumind Translations'!A269,"AAAAAF3/fz0=")</f>
        <v>#VALUE!</v>
      </c>
      <c r="BK6" t="e">
        <f>AND('Blumind Translations'!B269,"AAAAAF3/fz4=")</f>
        <v>#VALUE!</v>
      </c>
      <c r="BL6" t="e">
        <f>AND('Blumind Translations'!C269,"AAAAAF3/fz8=")</f>
        <v>#VALUE!</v>
      </c>
      <c r="BM6" t="e">
        <f>AND('Blumind Translations'!D269,"AAAAAF3/f0A=")</f>
        <v>#VALUE!</v>
      </c>
      <c r="BN6">
        <f>IF('Blumind Translations'!270:270,"AAAAAF3/f0E=",0)</f>
        <v>0</v>
      </c>
      <c r="BO6" t="e">
        <f>AND('Blumind Translations'!A270,"AAAAAF3/f0I=")</f>
        <v>#VALUE!</v>
      </c>
      <c r="BP6" t="e">
        <f>AND('Blumind Translations'!B270,"AAAAAF3/f0M=")</f>
        <v>#VALUE!</v>
      </c>
      <c r="BQ6" t="e">
        <f>AND('Blumind Translations'!C270,"AAAAAF3/f0Q=")</f>
        <v>#VALUE!</v>
      </c>
      <c r="BR6" t="e">
        <f>AND('Blumind Translations'!D270,"AAAAAF3/f0U=")</f>
        <v>#VALUE!</v>
      </c>
      <c r="BS6">
        <f>IF('Blumind Translations'!271:271,"AAAAAF3/f0Y=",0)</f>
        <v>0</v>
      </c>
      <c r="BT6" t="e">
        <f>AND('Blumind Translations'!A271,"AAAAAF3/f0c=")</f>
        <v>#VALUE!</v>
      </c>
      <c r="BU6" t="e">
        <f>AND('Blumind Translations'!B271,"AAAAAF3/f0g=")</f>
        <v>#VALUE!</v>
      </c>
      <c r="BV6" t="e">
        <f>AND('Blumind Translations'!C271,"AAAAAF3/f0k=")</f>
        <v>#VALUE!</v>
      </c>
      <c r="BW6" t="e">
        <f>AND('Blumind Translations'!D271,"AAAAAF3/f0o=")</f>
        <v>#VALUE!</v>
      </c>
      <c r="BX6">
        <f>IF('Blumind Translations'!272:272,"AAAAAF3/f0s=",0)</f>
        <v>0</v>
      </c>
      <c r="BY6" t="e">
        <f>AND('Blumind Translations'!A272,"AAAAAF3/f0w=")</f>
        <v>#VALUE!</v>
      </c>
      <c r="BZ6" t="e">
        <f>AND('Blumind Translations'!B272,"AAAAAF3/f00=")</f>
        <v>#VALUE!</v>
      </c>
      <c r="CA6" t="e">
        <f>AND('Blumind Translations'!C272,"AAAAAF3/f04=")</f>
        <v>#VALUE!</v>
      </c>
      <c r="CB6" t="e">
        <f>AND('Blumind Translations'!D272,"AAAAAF3/f08=")</f>
        <v>#VALUE!</v>
      </c>
      <c r="CC6">
        <f>IF('Blumind Translations'!273:273,"AAAAAF3/f1A=",0)</f>
        <v>0</v>
      </c>
      <c r="CD6" t="e">
        <f>AND('Blumind Translations'!A273,"AAAAAF3/f1E=")</f>
        <v>#VALUE!</v>
      </c>
      <c r="CE6" t="e">
        <f>AND('Blumind Translations'!B273,"AAAAAF3/f1I=")</f>
        <v>#VALUE!</v>
      </c>
      <c r="CF6" t="e">
        <f>AND('Blumind Translations'!C273,"AAAAAF3/f1M=")</f>
        <v>#VALUE!</v>
      </c>
      <c r="CG6" t="e">
        <f>AND('Blumind Translations'!D273,"AAAAAF3/f1Q=")</f>
        <v>#VALUE!</v>
      </c>
      <c r="CH6">
        <f>IF('Blumind Translations'!274:274,"AAAAAF3/f1U=",0)</f>
        <v>0</v>
      </c>
      <c r="CI6" t="e">
        <f>AND('Blumind Translations'!A274,"AAAAAF3/f1Y=")</f>
        <v>#VALUE!</v>
      </c>
      <c r="CJ6" t="e">
        <f>AND('Blumind Translations'!B274,"AAAAAF3/f1c=")</f>
        <v>#VALUE!</v>
      </c>
      <c r="CK6" t="e">
        <f>AND('Blumind Translations'!C274,"AAAAAF3/f1g=")</f>
        <v>#VALUE!</v>
      </c>
      <c r="CL6" t="e">
        <f>AND('Blumind Translations'!D274,"AAAAAF3/f1k=")</f>
        <v>#VALUE!</v>
      </c>
      <c r="CM6">
        <f>IF('Blumind Translations'!275:275,"AAAAAF3/f1o=",0)</f>
        <v>0</v>
      </c>
      <c r="CN6" t="e">
        <f>AND('Blumind Translations'!A275,"AAAAAF3/f1s=")</f>
        <v>#VALUE!</v>
      </c>
      <c r="CO6" t="e">
        <f>AND('Blumind Translations'!B275,"AAAAAF3/f1w=")</f>
        <v>#VALUE!</v>
      </c>
      <c r="CP6" t="e">
        <f>AND('Blumind Translations'!C275,"AAAAAF3/f10=")</f>
        <v>#VALUE!</v>
      </c>
      <c r="CQ6" t="e">
        <f>AND('Blumind Translations'!D275,"AAAAAF3/f14=")</f>
        <v>#VALUE!</v>
      </c>
      <c r="CR6">
        <f>IF('Blumind Translations'!276:276,"AAAAAF3/f18=",0)</f>
        <v>0</v>
      </c>
      <c r="CS6" t="e">
        <f>AND('Blumind Translations'!A276,"AAAAAF3/f2A=")</f>
        <v>#VALUE!</v>
      </c>
      <c r="CT6" t="e">
        <f>AND('Blumind Translations'!B276,"AAAAAF3/f2E=")</f>
        <v>#VALUE!</v>
      </c>
      <c r="CU6" t="e">
        <f>AND('Blumind Translations'!C276,"AAAAAF3/f2I=")</f>
        <v>#VALUE!</v>
      </c>
      <c r="CV6" t="e">
        <f>AND('Blumind Translations'!D276,"AAAAAF3/f2M=")</f>
        <v>#VALUE!</v>
      </c>
      <c r="CW6">
        <f>IF('Blumind Translations'!277:277,"AAAAAF3/f2Q=",0)</f>
        <v>0</v>
      </c>
      <c r="CX6" t="e">
        <f>AND('Blumind Translations'!A277,"AAAAAF3/f2U=")</f>
        <v>#VALUE!</v>
      </c>
      <c r="CY6" t="e">
        <f>AND('Blumind Translations'!B277,"AAAAAF3/f2Y=")</f>
        <v>#VALUE!</v>
      </c>
      <c r="CZ6" t="e">
        <f>AND('Blumind Translations'!C277,"AAAAAF3/f2c=")</f>
        <v>#VALUE!</v>
      </c>
      <c r="DA6" t="e">
        <f>AND('Blumind Translations'!D277,"AAAAAF3/f2g=")</f>
        <v>#VALUE!</v>
      </c>
      <c r="DB6">
        <f>IF('Blumind Translations'!278:278,"AAAAAF3/f2k=",0)</f>
        <v>0</v>
      </c>
      <c r="DC6" t="e">
        <f>AND('Blumind Translations'!A278,"AAAAAF3/f2o=")</f>
        <v>#VALUE!</v>
      </c>
      <c r="DD6" t="e">
        <f>AND('Blumind Translations'!B278,"AAAAAF3/f2s=")</f>
        <v>#VALUE!</v>
      </c>
      <c r="DE6" t="e">
        <f>AND('Blumind Translations'!C278,"AAAAAF3/f2w=")</f>
        <v>#VALUE!</v>
      </c>
      <c r="DF6" t="e">
        <f>AND('Blumind Translations'!D278,"AAAAAF3/f20=")</f>
        <v>#VALUE!</v>
      </c>
      <c r="DG6">
        <f>IF('Blumind Translations'!279:279,"AAAAAF3/f24=",0)</f>
        <v>0</v>
      </c>
      <c r="DH6" t="e">
        <f>AND('Blumind Translations'!A279,"AAAAAF3/f28=")</f>
        <v>#VALUE!</v>
      </c>
      <c r="DI6" t="e">
        <f>AND('Blumind Translations'!B279,"AAAAAF3/f3A=")</f>
        <v>#VALUE!</v>
      </c>
      <c r="DJ6" t="e">
        <f>AND('Blumind Translations'!C279,"AAAAAF3/f3E=")</f>
        <v>#VALUE!</v>
      </c>
      <c r="DK6" t="e">
        <f>AND('Blumind Translations'!D279,"AAAAAF3/f3I=")</f>
        <v>#VALUE!</v>
      </c>
      <c r="DL6">
        <f>IF('Blumind Translations'!280:280,"AAAAAF3/f3M=",0)</f>
        <v>0</v>
      </c>
      <c r="DM6" t="e">
        <f>AND('Blumind Translations'!A280,"AAAAAF3/f3Q=")</f>
        <v>#VALUE!</v>
      </c>
      <c r="DN6" t="e">
        <f>AND('Blumind Translations'!B280,"AAAAAF3/f3U=")</f>
        <v>#VALUE!</v>
      </c>
      <c r="DO6" t="e">
        <f>AND('Blumind Translations'!C280,"AAAAAF3/f3Y=")</f>
        <v>#VALUE!</v>
      </c>
      <c r="DP6" t="e">
        <f>AND('Blumind Translations'!D280,"AAAAAF3/f3c=")</f>
        <v>#VALUE!</v>
      </c>
      <c r="DQ6">
        <f>IF('Blumind Translations'!281:281,"AAAAAF3/f3g=",0)</f>
        <v>0</v>
      </c>
      <c r="DR6" t="e">
        <f>AND('Blumind Translations'!A281,"AAAAAF3/f3k=")</f>
        <v>#VALUE!</v>
      </c>
      <c r="DS6" t="e">
        <f>AND('Blumind Translations'!B281,"AAAAAF3/f3o=")</f>
        <v>#VALUE!</v>
      </c>
      <c r="DT6" t="e">
        <f>AND('Blumind Translations'!C281,"AAAAAF3/f3s=")</f>
        <v>#VALUE!</v>
      </c>
      <c r="DU6" t="e">
        <f>AND('Blumind Translations'!D281,"AAAAAF3/f3w=")</f>
        <v>#VALUE!</v>
      </c>
      <c r="DV6">
        <f>IF('Blumind Translations'!282:282,"AAAAAF3/f30=",0)</f>
        <v>0</v>
      </c>
      <c r="DW6" t="e">
        <f>AND('Blumind Translations'!A282,"AAAAAF3/f34=")</f>
        <v>#VALUE!</v>
      </c>
      <c r="DX6" t="e">
        <f>AND('Blumind Translations'!B282,"AAAAAF3/f38=")</f>
        <v>#VALUE!</v>
      </c>
      <c r="DY6" t="e">
        <f>AND('Blumind Translations'!C282,"AAAAAF3/f4A=")</f>
        <v>#VALUE!</v>
      </c>
      <c r="DZ6" t="e">
        <f>AND('Blumind Translations'!D282,"AAAAAF3/f4E=")</f>
        <v>#VALUE!</v>
      </c>
      <c r="EA6">
        <f>IF('Blumind Translations'!283:283,"AAAAAF3/f4I=",0)</f>
        <v>0</v>
      </c>
      <c r="EB6" t="e">
        <f>AND('Blumind Translations'!A283,"AAAAAF3/f4M=")</f>
        <v>#VALUE!</v>
      </c>
      <c r="EC6" t="e">
        <f>AND('Blumind Translations'!B283,"AAAAAF3/f4Q=")</f>
        <v>#VALUE!</v>
      </c>
      <c r="ED6" t="e">
        <f>AND('Blumind Translations'!C283,"AAAAAF3/f4U=")</f>
        <v>#VALUE!</v>
      </c>
      <c r="EE6" t="e">
        <f>AND('Blumind Translations'!D283,"AAAAAF3/f4Y=")</f>
        <v>#VALUE!</v>
      </c>
      <c r="EF6">
        <f>IF('Blumind Translations'!284:284,"AAAAAF3/f4c=",0)</f>
        <v>0</v>
      </c>
      <c r="EG6" t="e">
        <f>AND('Blumind Translations'!A284,"AAAAAF3/f4g=")</f>
        <v>#VALUE!</v>
      </c>
      <c r="EH6" t="e">
        <f>AND('Blumind Translations'!B284,"AAAAAF3/f4k=")</f>
        <v>#VALUE!</v>
      </c>
      <c r="EI6" t="e">
        <f>AND('Blumind Translations'!C284,"AAAAAF3/f4o=")</f>
        <v>#VALUE!</v>
      </c>
      <c r="EJ6" t="e">
        <f>AND('Blumind Translations'!D284,"AAAAAF3/f4s=")</f>
        <v>#VALUE!</v>
      </c>
      <c r="EK6">
        <f>IF('Blumind Translations'!285:285,"AAAAAF3/f4w=",0)</f>
        <v>0</v>
      </c>
      <c r="EL6" t="e">
        <f>AND('Blumind Translations'!A285,"AAAAAF3/f40=")</f>
        <v>#VALUE!</v>
      </c>
      <c r="EM6" t="e">
        <f>AND('Blumind Translations'!B285,"AAAAAF3/f44=")</f>
        <v>#VALUE!</v>
      </c>
      <c r="EN6" t="e">
        <f>AND('Blumind Translations'!C285,"AAAAAF3/f48=")</f>
        <v>#VALUE!</v>
      </c>
      <c r="EO6" t="e">
        <f>AND('Blumind Translations'!D285,"AAAAAF3/f5A=")</f>
        <v>#VALUE!</v>
      </c>
      <c r="EP6">
        <f>IF('Blumind Translations'!286:286,"AAAAAF3/f5E=",0)</f>
        <v>0</v>
      </c>
      <c r="EQ6" t="e">
        <f>AND('Blumind Translations'!A286,"AAAAAF3/f5I=")</f>
        <v>#VALUE!</v>
      </c>
      <c r="ER6" t="e">
        <f>AND('Blumind Translations'!B286,"AAAAAF3/f5M=")</f>
        <v>#VALUE!</v>
      </c>
      <c r="ES6" t="e">
        <f>AND('Blumind Translations'!C286,"AAAAAF3/f5Q=")</f>
        <v>#VALUE!</v>
      </c>
      <c r="ET6" t="e">
        <f>AND('Blumind Translations'!D286,"AAAAAF3/f5U=")</f>
        <v>#VALUE!</v>
      </c>
      <c r="EU6">
        <f>IF('Blumind Translations'!287:287,"AAAAAF3/f5Y=",0)</f>
        <v>0</v>
      </c>
      <c r="EV6" t="e">
        <f>AND('Blumind Translations'!A287,"AAAAAF3/f5c=")</f>
        <v>#VALUE!</v>
      </c>
      <c r="EW6" t="e">
        <f>AND('Blumind Translations'!B287,"AAAAAF3/f5g=")</f>
        <v>#VALUE!</v>
      </c>
      <c r="EX6" t="e">
        <f>AND('Blumind Translations'!C287,"AAAAAF3/f5k=")</f>
        <v>#VALUE!</v>
      </c>
      <c r="EY6" t="e">
        <f>AND('Blumind Translations'!D287,"AAAAAF3/f5o=")</f>
        <v>#VALUE!</v>
      </c>
      <c r="EZ6">
        <f>IF('Blumind Translations'!288:288,"AAAAAF3/f5s=",0)</f>
        <v>0</v>
      </c>
      <c r="FA6" t="e">
        <f>AND('Blumind Translations'!A288,"AAAAAF3/f5w=")</f>
        <v>#VALUE!</v>
      </c>
      <c r="FB6" t="e">
        <f>AND('Blumind Translations'!B288,"AAAAAF3/f50=")</f>
        <v>#VALUE!</v>
      </c>
      <c r="FC6" t="e">
        <f>AND('Blumind Translations'!C288,"AAAAAF3/f54=")</f>
        <v>#VALUE!</v>
      </c>
      <c r="FD6" t="e">
        <f>AND('Blumind Translations'!D288,"AAAAAF3/f58=")</f>
        <v>#VALUE!</v>
      </c>
      <c r="FE6">
        <f>IF('Blumind Translations'!289:289,"AAAAAF3/f6A=",0)</f>
        <v>0</v>
      </c>
      <c r="FF6" t="e">
        <f>AND('Blumind Translations'!A289,"AAAAAF3/f6E=")</f>
        <v>#VALUE!</v>
      </c>
      <c r="FG6" t="e">
        <f>AND('Blumind Translations'!B289,"AAAAAF3/f6I=")</f>
        <v>#VALUE!</v>
      </c>
      <c r="FH6" t="e">
        <f>AND('Blumind Translations'!C289,"AAAAAF3/f6M=")</f>
        <v>#VALUE!</v>
      </c>
      <c r="FI6" t="e">
        <f>AND('Blumind Translations'!D289,"AAAAAF3/f6Q=")</f>
        <v>#VALUE!</v>
      </c>
      <c r="FJ6">
        <f>IF('Blumind Translations'!290:290,"AAAAAF3/f6U=",0)</f>
        <v>0</v>
      </c>
      <c r="FK6" t="e">
        <f>AND('Blumind Translations'!A290,"AAAAAF3/f6Y=")</f>
        <v>#VALUE!</v>
      </c>
      <c r="FL6" t="e">
        <f>AND('Blumind Translations'!B290,"AAAAAF3/f6c=")</f>
        <v>#VALUE!</v>
      </c>
      <c r="FM6" t="e">
        <f>AND('Blumind Translations'!C290,"AAAAAF3/f6g=")</f>
        <v>#VALUE!</v>
      </c>
      <c r="FN6" t="e">
        <f>AND('Blumind Translations'!D290,"AAAAAF3/f6k=")</f>
        <v>#VALUE!</v>
      </c>
      <c r="FO6">
        <f>IF('Blumind Translations'!291:291,"AAAAAF3/f6o=",0)</f>
        <v>0</v>
      </c>
      <c r="FP6" t="e">
        <f>AND('Blumind Translations'!A291,"AAAAAF3/f6s=")</f>
        <v>#VALUE!</v>
      </c>
      <c r="FQ6" t="e">
        <f>AND('Blumind Translations'!B291,"AAAAAF3/f6w=")</f>
        <v>#VALUE!</v>
      </c>
      <c r="FR6" t="e">
        <f>AND('Blumind Translations'!C291,"AAAAAF3/f60=")</f>
        <v>#VALUE!</v>
      </c>
      <c r="FS6" t="e">
        <f>AND('Blumind Translations'!D291,"AAAAAF3/f64=")</f>
        <v>#VALUE!</v>
      </c>
      <c r="FT6">
        <f>IF('Blumind Translations'!292:292,"AAAAAF3/f68=",0)</f>
        <v>0</v>
      </c>
      <c r="FU6" t="e">
        <f>AND('Blumind Translations'!A292,"AAAAAF3/f7A=")</f>
        <v>#VALUE!</v>
      </c>
      <c r="FV6" t="e">
        <f>AND('Blumind Translations'!B292,"AAAAAF3/f7E=")</f>
        <v>#VALUE!</v>
      </c>
      <c r="FW6" t="e">
        <f>AND('Blumind Translations'!C292,"AAAAAF3/f7I=")</f>
        <v>#VALUE!</v>
      </c>
      <c r="FX6" t="e">
        <f>AND('Blumind Translations'!D292,"AAAAAF3/f7M=")</f>
        <v>#VALUE!</v>
      </c>
      <c r="FY6">
        <f>IF('Blumind Translations'!293:293,"AAAAAF3/f7Q=",0)</f>
        <v>0</v>
      </c>
      <c r="FZ6" t="e">
        <f>AND('Blumind Translations'!A293,"AAAAAF3/f7U=")</f>
        <v>#VALUE!</v>
      </c>
      <c r="GA6" t="e">
        <f>AND('Blumind Translations'!B293,"AAAAAF3/f7Y=")</f>
        <v>#VALUE!</v>
      </c>
      <c r="GB6" t="e">
        <f>AND('Blumind Translations'!C293,"AAAAAF3/f7c=")</f>
        <v>#VALUE!</v>
      </c>
      <c r="GC6" t="e">
        <f>AND('Blumind Translations'!D293,"AAAAAF3/f7g=")</f>
        <v>#VALUE!</v>
      </c>
      <c r="GD6">
        <f>IF('Blumind Translations'!294:294,"AAAAAF3/f7k=",0)</f>
        <v>0</v>
      </c>
      <c r="GE6" t="e">
        <f>AND('Blumind Translations'!A294,"AAAAAF3/f7o=")</f>
        <v>#VALUE!</v>
      </c>
      <c r="GF6" t="e">
        <f>AND('Blumind Translations'!B294,"AAAAAF3/f7s=")</f>
        <v>#VALUE!</v>
      </c>
      <c r="GG6" t="e">
        <f>AND('Blumind Translations'!C294,"AAAAAF3/f7w=")</f>
        <v>#VALUE!</v>
      </c>
      <c r="GH6" t="e">
        <f>AND('Blumind Translations'!D294,"AAAAAF3/f70=")</f>
        <v>#VALUE!</v>
      </c>
      <c r="GI6">
        <f>IF('Blumind Translations'!295:295,"AAAAAF3/f74=",0)</f>
        <v>0</v>
      </c>
      <c r="GJ6" t="e">
        <f>AND('Blumind Translations'!A295,"AAAAAF3/f78=")</f>
        <v>#VALUE!</v>
      </c>
      <c r="GK6" t="e">
        <f>AND('Blumind Translations'!B295,"AAAAAF3/f8A=")</f>
        <v>#VALUE!</v>
      </c>
      <c r="GL6" t="e">
        <f>AND('Blumind Translations'!C295,"AAAAAF3/f8E=")</f>
        <v>#VALUE!</v>
      </c>
      <c r="GM6" t="e">
        <f>AND('Blumind Translations'!D295,"AAAAAF3/f8I=")</f>
        <v>#VALUE!</v>
      </c>
      <c r="GN6">
        <f>IF('Blumind Translations'!296:296,"AAAAAF3/f8M=",0)</f>
        <v>0</v>
      </c>
      <c r="GO6" t="e">
        <f>AND('Blumind Translations'!A296,"AAAAAF3/f8Q=")</f>
        <v>#VALUE!</v>
      </c>
      <c r="GP6" t="e">
        <f>AND('Blumind Translations'!B296,"AAAAAF3/f8U=")</f>
        <v>#VALUE!</v>
      </c>
      <c r="GQ6" t="e">
        <f>AND('Blumind Translations'!C296,"AAAAAF3/f8Y=")</f>
        <v>#VALUE!</v>
      </c>
      <c r="GR6" t="e">
        <f>AND('Blumind Translations'!D296,"AAAAAF3/f8c=")</f>
        <v>#VALUE!</v>
      </c>
      <c r="GS6">
        <f>IF('Blumind Translations'!297:297,"AAAAAF3/f8g=",0)</f>
        <v>0</v>
      </c>
      <c r="GT6" t="e">
        <f>AND('Blumind Translations'!A297,"AAAAAF3/f8k=")</f>
        <v>#VALUE!</v>
      </c>
      <c r="GU6" t="e">
        <f>AND('Blumind Translations'!B297,"AAAAAF3/f8o=")</f>
        <v>#VALUE!</v>
      </c>
      <c r="GV6" t="e">
        <f>AND('Blumind Translations'!C297,"AAAAAF3/f8s=")</f>
        <v>#VALUE!</v>
      </c>
      <c r="GW6" t="e">
        <f>AND('Blumind Translations'!D297,"AAAAAF3/f8w=")</f>
        <v>#VALUE!</v>
      </c>
      <c r="GX6">
        <f>IF('Blumind Translations'!298:298,"AAAAAF3/f80=",0)</f>
        <v>0</v>
      </c>
      <c r="GY6" t="e">
        <f>AND('Blumind Translations'!A298,"AAAAAF3/f84=")</f>
        <v>#VALUE!</v>
      </c>
      <c r="GZ6" t="e">
        <f>AND('Blumind Translations'!B298,"AAAAAF3/f88=")</f>
        <v>#VALUE!</v>
      </c>
      <c r="HA6" t="e">
        <f>AND('Blumind Translations'!C298,"AAAAAF3/f9A=")</f>
        <v>#VALUE!</v>
      </c>
      <c r="HB6" t="e">
        <f>AND('Blumind Translations'!D298,"AAAAAF3/f9E=")</f>
        <v>#VALUE!</v>
      </c>
      <c r="HC6">
        <f>IF('Blumind Translations'!299:299,"AAAAAF3/f9I=",0)</f>
        <v>0</v>
      </c>
      <c r="HD6" t="e">
        <f>AND('Blumind Translations'!A299,"AAAAAF3/f9M=")</f>
        <v>#VALUE!</v>
      </c>
      <c r="HE6" t="e">
        <f>AND('Blumind Translations'!B299,"AAAAAF3/f9Q=")</f>
        <v>#VALUE!</v>
      </c>
      <c r="HF6" t="e">
        <f>AND('Blumind Translations'!C299,"AAAAAF3/f9U=")</f>
        <v>#VALUE!</v>
      </c>
      <c r="HG6" t="e">
        <f>AND('Blumind Translations'!D299,"AAAAAF3/f9Y=")</f>
        <v>#VALUE!</v>
      </c>
      <c r="HH6">
        <f>IF('Blumind Translations'!300:300,"AAAAAF3/f9c=",0)</f>
        <v>0</v>
      </c>
      <c r="HI6" t="e">
        <f>AND('Blumind Translations'!A300,"AAAAAF3/f9g=")</f>
        <v>#VALUE!</v>
      </c>
      <c r="HJ6" t="e">
        <f>AND('Blumind Translations'!B300,"AAAAAF3/f9k=")</f>
        <v>#VALUE!</v>
      </c>
      <c r="HK6" t="e">
        <f>AND('Blumind Translations'!C300,"AAAAAF3/f9o=")</f>
        <v>#VALUE!</v>
      </c>
      <c r="HL6" t="e">
        <f>AND('Blumind Translations'!D300,"AAAAAF3/f9s=")</f>
        <v>#VALUE!</v>
      </c>
      <c r="HM6">
        <f>IF('Blumind Translations'!301:301,"AAAAAF3/f9w=",0)</f>
        <v>0</v>
      </c>
      <c r="HN6" t="e">
        <f>AND('Blumind Translations'!A301,"AAAAAF3/f90=")</f>
        <v>#VALUE!</v>
      </c>
      <c r="HO6" t="e">
        <f>AND('Blumind Translations'!B301,"AAAAAF3/f94=")</f>
        <v>#VALUE!</v>
      </c>
      <c r="HP6" t="e">
        <f>AND('Blumind Translations'!C301,"AAAAAF3/f98=")</f>
        <v>#VALUE!</v>
      </c>
      <c r="HQ6" t="e">
        <f>AND('Blumind Translations'!D301,"AAAAAF3/f+A=")</f>
        <v>#VALUE!</v>
      </c>
      <c r="HR6">
        <f>IF('Blumind Translations'!302:302,"AAAAAF3/f+E=",0)</f>
        <v>0</v>
      </c>
      <c r="HS6" t="e">
        <f>AND('Blumind Translations'!A302,"AAAAAF3/f+I=")</f>
        <v>#VALUE!</v>
      </c>
      <c r="HT6" t="e">
        <f>AND('Blumind Translations'!B302,"AAAAAF3/f+M=")</f>
        <v>#VALUE!</v>
      </c>
      <c r="HU6" t="e">
        <f>AND('Blumind Translations'!C302,"AAAAAF3/f+Q=")</f>
        <v>#VALUE!</v>
      </c>
      <c r="HV6" t="e">
        <f>AND('Blumind Translations'!D302,"AAAAAF3/f+U=")</f>
        <v>#VALUE!</v>
      </c>
      <c r="HW6">
        <f>IF('Blumind Translations'!303:303,"AAAAAF3/f+Y=",0)</f>
        <v>0</v>
      </c>
      <c r="HX6" t="e">
        <f>AND('Blumind Translations'!A303,"AAAAAF3/f+c=")</f>
        <v>#VALUE!</v>
      </c>
      <c r="HY6" t="e">
        <f>AND('Blumind Translations'!B303,"AAAAAF3/f+g=")</f>
        <v>#VALUE!</v>
      </c>
      <c r="HZ6" t="e">
        <f>AND('Blumind Translations'!C303,"AAAAAF3/f+k=")</f>
        <v>#VALUE!</v>
      </c>
      <c r="IA6" t="e">
        <f>AND('Blumind Translations'!D303,"AAAAAF3/f+o=")</f>
        <v>#VALUE!</v>
      </c>
      <c r="IB6">
        <f>IF('Blumind Translations'!304:304,"AAAAAF3/f+s=",0)</f>
        <v>0</v>
      </c>
      <c r="IC6" t="e">
        <f>AND('Blumind Translations'!A304,"AAAAAF3/f+w=")</f>
        <v>#VALUE!</v>
      </c>
      <c r="ID6" t="e">
        <f>AND('Blumind Translations'!B304,"AAAAAF3/f+0=")</f>
        <v>#VALUE!</v>
      </c>
      <c r="IE6" t="e">
        <f>AND('Blumind Translations'!C304,"AAAAAF3/f+4=")</f>
        <v>#VALUE!</v>
      </c>
      <c r="IF6" t="e">
        <f>AND('Blumind Translations'!D304,"AAAAAF3/f+8=")</f>
        <v>#VALUE!</v>
      </c>
      <c r="IG6">
        <f>IF('Blumind Translations'!305:305,"AAAAAF3/f/A=",0)</f>
        <v>0</v>
      </c>
      <c r="IH6" t="e">
        <f>AND('Blumind Translations'!A305,"AAAAAF3/f/E=")</f>
        <v>#VALUE!</v>
      </c>
      <c r="II6" t="e">
        <f>AND('Blumind Translations'!B305,"AAAAAF3/f/I=")</f>
        <v>#VALUE!</v>
      </c>
      <c r="IJ6" t="e">
        <f>AND('Blumind Translations'!C305,"AAAAAF3/f/M=")</f>
        <v>#VALUE!</v>
      </c>
      <c r="IK6" t="e">
        <f>AND('Blumind Translations'!D305,"AAAAAF3/f/Q=")</f>
        <v>#VALUE!</v>
      </c>
      <c r="IL6">
        <f>IF('Blumind Translations'!306:306,"AAAAAF3/f/U=",0)</f>
        <v>0</v>
      </c>
      <c r="IM6" t="e">
        <f>AND('Blumind Translations'!A306,"AAAAAF3/f/Y=")</f>
        <v>#VALUE!</v>
      </c>
      <c r="IN6" t="e">
        <f>AND('Blumind Translations'!B306,"AAAAAF3/f/c=")</f>
        <v>#VALUE!</v>
      </c>
      <c r="IO6" t="e">
        <f>AND('Blumind Translations'!C306,"AAAAAF3/f/g=")</f>
        <v>#VALUE!</v>
      </c>
      <c r="IP6" t="e">
        <f>AND('Blumind Translations'!D306,"AAAAAF3/f/k=")</f>
        <v>#VALUE!</v>
      </c>
      <c r="IQ6">
        <f>IF('Blumind Translations'!307:307,"AAAAAF3/f/o=",0)</f>
        <v>0</v>
      </c>
      <c r="IR6" t="e">
        <f>AND('Blumind Translations'!A307,"AAAAAF3/f/s=")</f>
        <v>#VALUE!</v>
      </c>
      <c r="IS6" t="e">
        <f>AND('Blumind Translations'!B307,"AAAAAF3/f/w=")</f>
        <v>#VALUE!</v>
      </c>
      <c r="IT6" t="e">
        <f>AND('Blumind Translations'!C307,"AAAAAF3/f/0=")</f>
        <v>#VALUE!</v>
      </c>
      <c r="IU6" t="e">
        <f>AND('Blumind Translations'!D307,"AAAAAF3/f/4=")</f>
        <v>#VALUE!</v>
      </c>
      <c r="IV6">
        <f>IF('Blumind Translations'!308:308,"AAAAAF3/f/8=",0)</f>
        <v>0</v>
      </c>
    </row>
    <row r="7" spans="1:256" x14ac:dyDescent="0.15">
      <c r="A7" t="e">
        <f>AND('Blumind Translations'!A308,"AAAAAH3+5wA=")</f>
        <v>#VALUE!</v>
      </c>
      <c r="B7" t="e">
        <f>AND('Blumind Translations'!B308,"AAAAAH3+5wE=")</f>
        <v>#VALUE!</v>
      </c>
      <c r="C7" t="e">
        <f>AND('Blumind Translations'!C308,"AAAAAH3+5wI=")</f>
        <v>#VALUE!</v>
      </c>
      <c r="D7" t="e">
        <f>AND('Blumind Translations'!D308,"AAAAAH3+5wM=")</f>
        <v>#VALUE!</v>
      </c>
      <c r="E7">
        <f>IF('Blumind Translations'!309:309,"AAAAAH3+5wQ=",0)</f>
        <v>0</v>
      </c>
      <c r="F7" t="e">
        <f>AND('Blumind Translations'!A309,"AAAAAH3+5wU=")</f>
        <v>#VALUE!</v>
      </c>
      <c r="G7" t="e">
        <f>AND('Blumind Translations'!B309,"AAAAAH3+5wY=")</f>
        <v>#VALUE!</v>
      </c>
      <c r="H7" t="e">
        <f>AND('Blumind Translations'!C309,"AAAAAH3+5wc=")</f>
        <v>#VALUE!</v>
      </c>
      <c r="I7" t="e">
        <f>AND('Blumind Translations'!D309,"AAAAAH3+5wg=")</f>
        <v>#VALUE!</v>
      </c>
      <c r="J7">
        <f>IF('Blumind Translations'!310:310,"AAAAAH3+5wk=",0)</f>
        <v>0</v>
      </c>
      <c r="K7" t="e">
        <f>AND('Blumind Translations'!A310,"AAAAAH3+5wo=")</f>
        <v>#VALUE!</v>
      </c>
      <c r="L7" t="e">
        <f>AND('Blumind Translations'!B310,"AAAAAH3+5ws=")</f>
        <v>#VALUE!</v>
      </c>
      <c r="M7" t="e">
        <f>AND('Blumind Translations'!C310,"AAAAAH3+5ww=")</f>
        <v>#VALUE!</v>
      </c>
      <c r="N7" t="e">
        <f>AND('Blumind Translations'!D310,"AAAAAH3+5w0=")</f>
        <v>#VALUE!</v>
      </c>
      <c r="O7">
        <f>IF('Blumind Translations'!311:311,"AAAAAH3+5w4=",0)</f>
        <v>0</v>
      </c>
      <c r="P7" t="e">
        <f>AND('Blumind Translations'!A311,"AAAAAH3+5w8=")</f>
        <v>#VALUE!</v>
      </c>
      <c r="Q7" t="e">
        <f>AND('Blumind Translations'!B311,"AAAAAH3+5xA=")</f>
        <v>#VALUE!</v>
      </c>
      <c r="R7" t="e">
        <f>AND('Blumind Translations'!C311,"AAAAAH3+5xE=")</f>
        <v>#VALUE!</v>
      </c>
      <c r="S7" t="e">
        <f>AND('Blumind Translations'!D311,"AAAAAH3+5xI=")</f>
        <v>#VALUE!</v>
      </c>
      <c r="T7">
        <f>IF('Blumind Translations'!312:312,"AAAAAH3+5xM=",0)</f>
        <v>0</v>
      </c>
      <c r="U7" t="e">
        <f>AND('Blumind Translations'!A312,"AAAAAH3+5xQ=")</f>
        <v>#VALUE!</v>
      </c>
      <c r="V7" t="e">
        <f>AND('Blumind Translations'!B312,"AAAAAH3+5xU=")</f>
        <v>#VALUE!</v>
      </c>
      <c r="W7" t="e">
        <f>AND('Blumind Translations'!C312,"AAAAAH3+5xY=")</f>
        <v>#VALUE!</v>
      </c>
      <c r="X7" t="e">
        <f>AND('Blumind Translations'!D312,"AAAAAH3+5xc=")</f>
        <v>#VALUE!</v>
      </c>
      <c r="Y7">
        <f>IF('Blumind Translations'!313:313,"AAAAAH3+5xg=",0)</f>
        <v>0</v>
      </c>
      <c r="Z7" t="e">
        <f>AND('Blumind Translations'!A313,"AAAAAH3+5xk=")</f>
        <v>#VALUE!</v>
      </c>
      <c r="AA7" t="e">
        <f>AND('Blumind Translations'!B313,"AAAAAH3+5xo=")</f>
        <v>#VALUE!</v>
      </c>
      <c r="AB7" t="e">
        <f>AND('Blumind Translations'!C313,"AAAAAH3+5xs=")</f>
        <v>#VALUE!</v>
      </c>
      <c r="AC7" t="e">
        <f>AND('Blumind Translations'!D313,"AAAAAH3+5xw=")</f>
        <v>#VALUE!</v>
      </c>
      <c r="AD7">
        <f>IF('Blumind Translations'!314:314,"AAAAAH3+5x0=",0)</f>
        <v>0</v>
      </c>
      <c r="AE7" t="e">
        <f>AND('Blumind Translations'!A314,"AAAAAH3+5x4=")</f>
        <v>#VALUE!</v>
      </c>
      <c r="AF7" t="e">
        <f>AND('Blumind Translations'!B314,"AAAAAH3+5x8=")</f>
        <v>#VALUE!</v>
      </c>
      <c r="AG7" t="e">
        <f>AND('Blumind Translations'!C314,"AAAAAH3+5yA=")</f>
        <v>#VALUE!</v>
      </c>
      <c r="AH7" t="e">
        <f>AND('Blumind Translations'!D314,"AAAAAH3+5yE=")</f>
        <v>#VALUE!</v>
      </c>
      <c r="AI7">
        <f>IF('Blumind Translations'!315:315,"AAAAAH3+5yI=",0)</f>
        <v>0</v>
      </c>
      <c r="AJ7" t="e">
        <f>AND('Blumind Translations'!A315,"AAAAAH3+5yM=")</f>
        <v>#VALUE!</v>
      </c>
      <c r="AK7" t="e">
        <f>AND('Blumind Translations'!B315,"AAAAAH3+5yQ=")</f>
        <v>#VALUE!</v>
      </c>
      <c r="AL7" t="e">
        <f>AND('Blumind Translations'!C315,"AAAAAH3+5yU=")</f>
        <v>#VALUE!</v>
      </c>
      <c r="AM7" t="e">
        <f>AND('Blumind Translations'!D315,"AAAAAH3+5yY=")</f>
        <v>#VALUE!</v>
      </c>
      <c r="AN7">
        <f>IF('Blumind Translations'!316:316,"AAAAAH3+5yc=",0)</f>
        <v>0</v>
      </c>
      <c r="AO7" t="e">
        <f>AND('Blumind Translations'!A316,"AAAAAH3+5yg=")</f>
        <v>#VALUE!</v>
      </c>
      <c r="AP7" t="e">
        <f>AND('Blumind Translations'!B316,"AAAAAH3+5yk=")</f>
        <v>#VALUE!</v>
      </c>
      <c r="AQ7" t="e">
        <f>AND('Blumind Translations'!C316,"AAAAAH3+5yo=")</f>
        <v>#VALUE!</v>
      </c>
      <c r="AR7" t="e">
        <f>AND('Blumind Translations'!D316,"AAAAAH3+5ys=")</f>
        <v>#VALUE!</v>
      </c>
      <c r="AS7">
        <f>IF('Blumind Translations'!317:317,"AAAAAH3+5yw=",0)</f>
        <v>0</v>
      </c>
      <c r="AT7" t="e">
        <f>AND('Blumind Translations'!A317,"AAAAAH3+5y0=")</f>
        <v>#VALUE!</v>
      </c>
      <c r="AU7" t="e">
        <f>AND('Blumind Translations'!B317,"AAAAAH3+5y4=")</f>
        <v>#VALUE!</v>
      </c>
      <c r="AV7" t="e">
        <f>AND('Blumind Translations'!C317,"AAAAAH3+5y8=")</f>
        <v>#VALUE!</v>
      </c>
      <c r="AW7" t="e">
        <f>AND('Blumind Translations'!D317,"AAAAAH3+5zA=")</f>
        <v>#VALUE!</v>
      </c>
      <c r="AX7">
        <f>IF('Blumind Translations'!318:318,"AAAAAH3+5zE=",0)</f>
        <v>0</v>
      </c>
      <c r="AY7" t="e">
        <f>AND('Blumind Translations'!A318,"AAAAAH3+5zI=")</f>
        <v>#VALUE!</v>
      </c>
      <c r="AZ7" t="e">
        <f>AND('Blumind Translations'!B318,"AAAAAH3+5zM=")</f>
        <v>#VALUE!</v>
      </c>
      <c r="BA7" t="e">
        <f>AND('Blumind Translations'!C318,"AAAAAH3+5zQ=")</f>
        <v>#VALUE!</v>
      </c>
      <c r="BB7" t="e">
        <f>AND('Blumind Translations'!D318,"AAAAAH3+5zU=")</f>
        <v>#VALUE!</v>
      </c>
      <c r="BC7">
        <f>IF('Blumind Translations'!319:319,"AAAAAH3+5zY=",0)</f>
        <v>0</v>
      </c>
      <c r="BD7" t="e">
        <f>AND('Blumind Translations'!A319,"AAAAAH3+5zc=")</f>
        <v>#VALUE!</v>
      </c>
      <c r="BE7" t="e">
        <f>AND('Blumind Translations'!B319,"AAAAAH3+5zg=")</f>
        <v>#VALUE!</v>
      </c>
      <c r="BF7" t="e">
        <f>AND('Blumind Translations'!C319,"AAAAAH3+5zk=")</f>
        <v>#VALUE!</v>
      </c>
      <c r="BG7" t="e">
        <f>AND('Blumind Translations'!D319,"AAAAAH3+5zo=")</f>
        <v>#VALUE!</v>
      </c>
      <c r="BH7">
        <f>IF('Blumind Translations'!320:320,"AAAAAH3+5zs=",0)</f>
        <v>0</v>
      </c>
      <c r="BI7" t="e">
        <f>AND('Blumind Translations'!A320,"AAAAAH3+5zw=")</f>
        <v>#VALUE!</v>
      </c>
      <c r="BJ7" t="e">
        <f>AND('Blumind Translations'!B320,"AAAAAH3+5z0=")</f>
        <v>#VALUE!</v>
      </c>
      <c r="BK7" t="e">
        <f>AND('Blumind Translations'!C320,"AAAAAH3+5z4=")</f>
        <v>#VALUE!</v>
      </c>
      <c r="BL7" t="e">
        <f>AND('Blumind Translations'!D320,"AAAAAH3+5z8=")</f>
        <v>#VALUE!</v>
      </c>
      <c r="BM7">
        <f>IF('Blumind Translations'!321:321,"AAAAAH3+50A=",0)</f>
        <v>0</v>
      </c>
      <c r="BN7" t="e">
        <f>AND('Blumind Translations'!A321,"AAAAAH3+50E=")</f>
        <v>#VALUE!</v>
      </c>
      <c r="BO7" t="e">
        <f>AND('Blumind Translations'!B321,"AAAAAH3+50I=")</f>
        <v>#VALUE!</v>
      </c>
      <c r="BP7" t="e">
        <f>AND('Blumind Translations'!C321,"AAAAAH3+50M=")</f>
        <v>#VALUE!</v>
      </c>
      <c r="BQ7" t="e">
        <f>AND('Blumind Translations'!D321,"AAAAAH3+50Q=")</f>
        <v>#VALUE!</v>
      </c>
      <c r="BR7">
        <f>IF('Blumind Translations'!322:322,"AAAAAH3+50U=",0)</f>
        <v>0</v>
      </c>
      <c r="BS7" t="e">
        <f>AND('Blumind Translations'!A322,"AAAAAH3+50Y=")</f>
        <v>#VALUE!</v>
      </c>
      <c r="BT7" t="e">
        <f>AND('Blumind Translations'!B322,"AAAAAH3+50c=")</f>
        <v>#VALUE!</v>
      </c>
      <c r="BU7" t="e">
        <f>AND('Blumind Translations'!C322,"AAAAAH3+50g=")</f>
        <v>#VALUE!</v>
      </c>
      <c r="BV7" t="e">
        <f>AND('Blumind Translations'!D322,"AAAAAH3+50k=")</f>
        <v>#VALUE!</v>
      </c>
      <c r="BW7">
        <f>IF('Blumind Translations'!323:323,"AAAAAH3+50o=",0)</f>
        <v>0</v>
      </c>
      <c r="BX7" t="e">
        <f>AND('Blumind Translations'!A323,"AAAAAH3+50s=")</f>
        <v>#VALUE!</v>
      </c>
      <c r="BY7" t="e">
        <f>AND('Blumind Translations'!B323,"AAAAAH3+50w=")</f>
        <v>#VALUE!</v>
      </c>
      <c r="BZ7" t="e">
        <f>AND('Blumind Translations'!C323,"AAAAAH3+500=")</f>
        <v>#VALUE!</v>
      </c>
      <c r="CA7" t="e">
        <f>AND('Blumind Translations'!D323,"AAAAAH3+504=")</f>
        <v>#VALUE!</v>
      </c>
      <c r="CB7">
        <f>IF('Blumind Translations'!324:324,"AAAAAH3+508=",0)</f>
        <v>0</v>
      </c>
      <c r="CC7" t="e">
        <f>AND('Blumind Translations'!A324,"AAAAAH3+51A=")</f>
        <v>#VALUE!</v>
      </c>
      <c r="CD7" t="e">
        <f>AND('Blumind Translations'!B324,"AAAAAH3+51E=")</f>
        <v>#VALUE!</v>
      </c>
      <c r="CE7" t="e">
        <f>AND('Blumind Translations'!C324,"AAAAAH3+51I=")</f>
        <v>#VALUE!</v>
      </c>
      <c r="CF7" t="e">
        <f>AND('Blumind Translations'!D324,"AAAAAH3+51M=")</f>
        <v>#VALUE!</v>
      </c>
      <c r="CG7">
        <f>IF('Blumind Translations'!325:325,"AAAAAH3+51Q=",0)</f>
        <v>0</v>
      </c>
      <c r="CH7" t="e">
        <f>AND('Blumind Translations'!A325,"AAAAAH3+51U=")</f>
        <v>#VALUE!</v>
      </c>
      <c r="CI7" t="e">
        <f>AND('Blumind Translations'!B325,"AAAAAH3+51Y=")</f>
        <v>#VALUE!</v>
      </c>
      <c r="CJ7" t="e">
        <f>AND('Blumind Translations'!C325,"AAAAAH3+51c=")</f>
        <v>#VALUE!</v>
      </c>
      <c r="CK7" t="e">
        <f>AND('Blumind Translations'!D325,"AAAAAH3+51g=")</f>
        <v>#VALUE!</v>
      </c>
      <c r="CL7">
        <f>IF('Blumind Translations'!326:326,"AAAAAH3+51k=",0)</f>
        <v>0</v>
      </c>
      <c r="CM7" t="e">
        <f>AND('Blumind Translations'!A326,"AAAAAH3+51o=")</f>
        <v>#VALUE!</v>
      </c>
      <c r="CN7" t="e">
        <f>AND('Blumind Translations'!B326,"AAAAAH3+51s=")</f>
        <v>#VALUE!</v>
      </c>
      <c r="CO7" t="e">
        <f>AND('Blumind Translations'!C326,"AAAAAH3+51w=")</f>
        <v>#VALUE!</v>
      </c>
      <c r="CP7" t="e">
        <f>AND('Blumind Translations'!D326,"AAAAAH3+510=")</f>
        <v>#VALUE!</v>
      </c>
      <c r="CQ7">
        <f>IF('Blumind Translations'!327:327,"AAAAAH3+514=",0)</f>
        <v>0</v>
      </c>
      <c r="CR7" t="e">
        <f>AND('Blumind Translations'!A327,"AAAAAH3+518=")</f>
        <v>#VALUE!</v>
      </c>
      <c r="CS7" t="e">
        <f>AND('Blumind Translations'!B327,"AAAAAH3+52A=")</f>
        <v>#VALUE!</v>
      </c>
      <c r="CT7" t="e">
        <f>AND('Blumind Translations'!C327,"AAAAAH3+52E=")</f>
        <v>#VALUE!</v>
      </c>
      <c r="CU7" t="e">
        <f>AND('Blumind Translations'!D327,"AAAAAH3+52I=")</f>
        <v>#VALUE!</v>
      </c>
      <c r="CV7">
        <f>IF('Blumind Translations'!328:328,"AAAAAH3+52M=",0)</f>
        <v>0</v>
      </c>
      <c r="CW7" t="e">
        <f>AND('Blumind Translations'!A328,"AAAAAH3+52Q=")</f>
        <v>#VALUE!</v>
      </c>
      <c r="CX7" t="e">
        <f>AND('Blumind Translations'!B328,"AAAAAH3+52U=")</f>
        <v>#VALUE!</v>
      </c>
      <c r="CY7" t="e">
        <f>AND('Blumind Translations'!C328,"AAAAAH3+52Y=")</f>
        <v>#VALUE!</v>
      </c>
      <c r="CZ7" t="e">
        <f>AND('Blumind Translations'!D328,"AAAAAH3+52c=")</f>
        <v>#VALUE!</v>
      </c>
      <c r="DA7">
        <f>IF('Blumind Translations'!329:329,"AAAAAH3+52g=",0)</f>
        <v>0</v>
      </c>
      <c r="DB7" t="e">
        <f>AND('Blumind Translations'!A329,"AAAAAH3+52k=")</f>
        <v>#VALUE!</v>
      </c>
      <c r="DC7" t="e">
        <f>AND('Blumind Translations'!B329,"AAAAAH3+52o=")</f>
        <v>#VALUE!</v>
      </c>
      <c r="DD7" t="e">
        <f>AND('Blumind Translations'!C329,"AAAAAH3+52s=")</f>
        <v>#VALUE!</v>
      </c>
      <c r="DE7" t="e">
        <f>AND('Blumind Translations'!D329,"AAAAAH3+52w=")</f>
        <v>#VALUE!</v>
      </c>
      <c r="DF7">
        <f>IF('Blumind Translations'!330:330,"AAAAAH3+520=",0)</f>
        <v>0</v>
      </c>
      <c r="DG7" t="e">
        <f>IF('Blumind Translations'!A:A,"AAAAAH3+524=",0)</f>
        <v>#VALUE!</v>
      </c>
      <c r="DH7" t="e">
        <f>IF('Blumind Translations'!B:B,"AAAAAH3+528=",0)</f>
        <v>#VALUE!</v>
      </c>
      <c r="DI7">
        <f>IF('Blumind Translations'!C:C,"AAAAAH3+53A=",0)</f>
        <v>0</v>
      </c>
      <c r="DJ7">
        <f>IF('Blumind Translations'!D:D,"AAAAAH3+53E=",0)</f>
        <v>0</v>
      </c>
    </row>
  </sheetData>
  <phoneticPr fontId="6" type="noConversion"/>
  <pageMargins left="0.7" right="0.7" top="0.75" bottom="0.75" header="0.3" footer="0.3"/>
  <pageSetup paperSize="9" orientation="portrait" r:id="rId1"/>
  <customProperties>
    <customPr name="DVSECTION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Blumind Translations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Blumind Translations</dc:title>
  <dc:subject>Blumind Translations</dc:subject>
  <dc:creator>inca@hyfree.net</dc:creator>
  <cp:keywords>Blumind, Translations</cp:keywords>
  <cp:lastModifiedBy>Funway</cp:lastModifiedBy>
  <dcterms:created xsi:type="dcterms:W3CDTF">2011-05-16T11:12:57Z</dcterms:created>
  <dcterms:modified xsi:type="dcterms:W3CDTF">2012-05-08T01:04:25Z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12xLEoPbTei9Ixb2p4ssJCX_0IhzzNMoSn1_THny4a-g</vt:lpwstr>
  </property>
  <property fmtid="{D5CDD505-2E9C-101B-9397-08002B2CF9AE}" pid="4" name="Google.Documents.RevisionId">
    <vt:lpwstr>15341842753967751232</vt:lpwstr>
  </property>
  <property fmtid="{D5CDD505-2E9C-101B-9397-08002B2CF9AE}" pid="5" name="Google.Documents.PreviousRevisionId">
    <vt:lpwstr>17894749764606496329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