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omments1.xml" ContentType="application/vnd.openxmlformats-officedocument.spreadsheetml.comments+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ThisWorkbook" defaultThemeVersion="124226"/>
  <mc:AlternateContent xmlns:mc="http://schemas.openxmlformats.org/markup-compatibility/2006">
    <mc:Choice Requires="x15">
      <x15ac:absPath xmlns:x15ac="http://schemas.microsoft.com/office/spreadsheetml/2010/11/ac" url="D:\Development\Jonathan Raley\"/>
    </mc:Choice>
  </mc:AlternateContent>
  <xr:revisionPtr revIDLastSave="0" documentId="13_ncr:1_{53AEEE7D-959C-46EE-AD01-1116A5B2B8D3}" xr6:coauthVersionLast="46" xr6:coauthVersionMax="46" xr10:uidLastSave="{00000000-0000-0000-0000-000000000000}"/>
  <bookViews>
    <workbookView xWindow="-108" yWindow="-108" windowWidth="23256" windowHeight="12528" tabRatio="677" activeTab="7" xr2:uid="{00000000-000D-0000-FFFF-FFFF00000000}"/>
  </bookViews>
  <sheets>
    <sheet name="E Rates" sheetId="18" r:id="rId1"/>
    <sheet name="Gas Rates" sheetId="47" r:id="rId2"/>
    <sheet name="Sheet1" sheetId="42" state="hidden" r:id="rId3"/>
    <sheet name="Other REP Options" sheetId="41" r:id="rId4"/>
    <sheet name="Frontier Script" sheetId="35" state="hidden" r:id="rId5"/>
    <sheet name="Cox" sheetId="29" state="hidden" r:id="rId6"/>
    <sheet name="Exede" sheetId="37" state="hidden" r:id="rId7"/>
    <sheet name="Pricing Sheet" sheetId="1" r:id="rId8"/>
    <sheet name="ATTTV" sheetId="45" r:id="rId9"/>
    <sheet name="CenturyLink" sheetId="39" state="hidden" r:id="rId10"/>
    <sheet name="Frontier" sheetId="9" state="hidden" r:id="rId11"/>
    <sheet name="Directv" sheetId="5" state="hidden" r:id="rId12"/>
    <sheet name="ATT" sheetId="14" state="hidden" r:id="rId13"/>
    <sheet name="Comcast" sheetId="21" state="hidden" r:id="rId14"/>
    <sheet name="SuddenLink" sheetId="16" state="hidden" r:id="rId15"/>
    <sheet name="Charter" sheetId="10" state="hidden" r:id="rId16"/>
    <sheet name="Rise Broadband" sheetId="32" state="hidden" r:id="rId17"/>
    <sheet name="Dish" sheetId="6" state="hidden" r:id="rId18"/>
    <sheet name="Mobility" sheetId="40" state="hidden" r:id="rId19"/>
    <sheet name="Security" sheetId="27" r:id="rId20"/>
    <sheet name="Sheet2" sheetId="43" state="hidden" r:id="rId21"/>
    <sheet name="Sheet3" sheetId="44" state="hidden" r:id="rId22"/>
    <sheet name="Protect America" sheetId="36" r:id="rId23"/>
    <sheet name="Nest+Eero" sheetId="30" r:id="rId24"/>
    <sheet name="Referral Services" sheetId="24" r:id="rId25"/>
    <sheet name="Links" sheetId="25" r:id="rId26"/>
    <sheet name="HughesNet" sheetId="26" state="hidden" r:id="rId27"/>
    <sheet name="TWC" sheetId="11" state="hidden" r:id="rId28"/>
    <sheet name="Grande" sheetId="20" state="hidden" r:id="rId29"/>
  </sheet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5" l="1"/>
  <c r="X35" i="5"/>
  <c r="P16" i="45"/>
  <c r="F44" i="9"/>
  <c r="R7" i="5"/>
  <c r="S7" i="5"/>
  <c r="M36" i="14"/>
  <c r="K36" i="14"/>
  <c r="E56" i="21"/>
  <c r="N6" i="16"/>
  <c r="Q13" i="16"/>
  <c r="B56" i="5"/>
  <c r="Q17" i="21"/>
  <c r="R17" i="21"/>
  <c r="G42" i="5"/>
  <c r="G43" i="5"/>
  <c r="G44" i="5"/>
  <c r="G45" i="5"/>
  <c r="C4" i="21"/>
  <c r="B4" i="21"/>
  <c r="O11" i="21"/>
  <c r="F56" i="21"/>
  <c r="U18" i="21"/>
  <c r="E62" i="21"/>
  <c r="D3" i="39"/>
  <c r="I2" i="39"/>
  <c r="O10" i="21"/>
  <c r="E140" i="1"/>
  <c r="G140" i="1"/>
  <c r="Y7" i="5"/>
  <c r="X7" i="5"/>
  <c r="V7" i="5"/>
  <c r="W7" i="5"/>
  <c r="U35" i="5"/>
  <c r="U32" i="5"/>
  <c r="B6" i="14"/>
  <c r="D20" i="14"/>
  <c r="U7" i="5"/>
  <c r="T7" i="5"/>
  <c r="N27" i="5"/>
  <c r="D47" i="45"/>
  <c r="P49" i="45"/>
  <c r="P48" i="45"/>
  <c r="X69" i="5"/>
  <c r="X68" i="5"/>
  <c r="Y68" i="5"/>
  <c r="O7" i="10"/>
  <c r="N35" i="45"/>
  <c r="U3" i="5"/>
  <c r="K16" i="1"/>
  <c r="X66" i="5"/>
  <c r="O30" i="45"/>
  <c r="N24" i="45"/>
  <c r="O24" i="45"/>
  <c r="Q44" i="45"/>
  <c r="Q41" i="45"/>
  <c r="P30" i="45"/>
  <c r="Q39" i="45"/>
  <c r="O19" i="45"/>
  <c r="O16" i="45"/>
  <c r="N9" i="45"/>
  <c r="P2" i="45"/>
  <c r="F22" i="1"/>
  <c r="M2" i="45"/>
  <c r="E22" i="1"/>
  <c r="O9" i="45"/>
  <c r="U50" i="5"/>
  <c r="U49" i="5"/>
  <c r="U48" i="5"/>
  <c r="U46" i="5"/>
  <c r="U47" i="5"/>
  <c r="U51" i="5"/>
  <c r="U34" i="5"/>
  <c r="U33" i="5"/>
  <c r="G31" i="9"/>
  <c r="F31" i="9"/>
  <c r="C30" i="9"/>
  <c r="B30" i="9"/>
  <c r="D52" i="18"/>
  <c r="C52" i="18"/>
  <c r="D35" i="5"/>
  <c r="K26" i="5"/>
  <c r="C53" i="18"/>
  <c r="N11" i="5"/>
  <c r="M10" i="14"/>
  <c r="L2" i="32"/>
  <c r="M2" i="32"/>
  <c r="H2" i="32"/>
  <c r="S5" i="16"/>
  <c r="D55" i="18"/>
  <c r="C55" i="18"/>
  <c r="D54" i="18"/>
  <c r="C54" i="18"/>
  <c r="D53" i="18"/>
  <c r="E52" i="18"/>
  <c r="F52" i="18"/>
  <c r="G52" i="18"/>
  <c r="E53" i="18"/>
  <c r="F53" i="18"/>
  <c r="G53" i="18"/>
  <c r="E54" i="18"/>
  <c r="F54" i="18"/>
  <c r="G54" i="18"/>
  <c r="E55" i="18"/>
  <c r="F55" i="18"/>
  <c r="G55" i="18"/>
  <c r="O10" i="10"/>
  <c r="G2" i="37"/>
  <c r="E133" i="1"/>
  <c r="H2" i="37"/>
  <c r="F133" i="1"/>
  <c r="F124" i="1"/>
  <c r="G124" i="1"/>
  <c r="E124" i="1"/>
  <c r="C17" i="5"/>
  <c r="J10" i="5"/>
  <c r="H15" i="5"/>
  <c r="F7" i="14"/>
  <c r="D21" i="14"/>
  <c r="M7" i="14"/>
  <c r="F28" i="10"/>
  <c r="D28" i="10"/>
  <c r="J4" i="10"/>
  <c r="M5" i="26"/>
  <c r="H48" i="5"/>
  <c r="O5" i="26"/>
  <c r="D39" i="20"/>
  <c r="H22" i="14"/>
  <c r="B17" i="6"/>
  <c r="F8" i="6"/>
  <c r="J13" i="10"/>
  <c r="F55" i="29"/>
  <c r="F45" i="29"/>
  <c r="Q7" i="29"/>
  <c r="G110" i="1"/>
  <c r="K23" i="29"/>
  <c r="D52" i="29"/>
  <c r="C54" i="29"/>
  <c r="N50" i="29"/>
  <c r="M50" i="29"/>
  <c r="N49" i="29"/>
  <c r="M49" i="29"/>
  <c r="N48" i="29"/>
  <c r="M48" i="29"/>
  <c r="N47" i="29"/>
  <c r="M47" i="29"/>
  <c r="N46" i="29"/>
  <c r="M46" i="29"/>
  <c r="N45" i="29"/>
  <c r="M45" i="29"/>
  <c r="N44" i="29"/>
  <c r="M44" i="29"/>
  <c r="D40" i="29"/>
  <c r="M6" i="29"/>
  <c r="L6" i="29"/>
  <c r="D47" i="29"/>
  <c r="D48" i="29"/>
  <c r="D46" i="29"/>
  <c r="D49" i="29"/>
  <c r="D50" i="29"/>
  <c r="D51" i="29"/>
  <c r="M51" i="29"/>
  <c r="N51" i="29"/>
  <c r="E1" i="1"/>
  <c r="F1" i="1"/>
  <c r="X65" i="5"/>
  <c r="Y64" i="5"/>
  <c r="I20" i="10"/>
  <c r="Y61" i="5"/>
  <c r="U63" i="5"/>
  <c r="G35" i="10"/>
  <c r="H35" i="10"/>
  <c r="I35" i="10"/>
  <c r="F35" i="10"/>
  <c r="H41" i="6"/>
  <c r="L4" i="6"/>
  <c r="N43" i="6"/>
  <c r="O43" i="6"/>
  <c r="M43" i="6"/>
  <c r="N38" i="6"/>
  <c r="O38" i="6"/>
  <c r="P38" i="6"/>
  <c r="M38" i="6"/>
  <c r="N33" i="6"/>
  <c r="O33" i="6"/>
  <c r="P33" i="6"/>
  <c r="M33" i="6"/>
  <c r="M37" i="27"/>
  <c r="K30" i="27"/>
  <c r="L34" i="27"/>
  <c r="K8" i="27"/>
  <c r="K9" i="27"/>
  <c r="K10" i="27"/>
  <c r="K11" i="27"/>
  <c r="K12" i="27"/>
  <c r="K13" i="27"/>
  <c r="K14" i="27"/>
  <c r="K15" i="27"/>
  <c r="K16" i="27"/>
  <c r="K17" i="27"/>
  <c r="K18" i="27"/>
  <c r="K19" i="27"/>
  <c r="K20" i="27"/>
  <c r="K21" i="27"/>
  <c r="K22" i="27"/>
  <c r="K23" i="27"/>
  <c r="K24" i="27"/>
  <c r="K25" i="27"/>
  <c r="K26" i="27"/>
  <c r="K27" i="27"/>
  <c r="K28" i="27"/>
  <c r="K29" i="27"/>
  <c r="H21" i="14"/>
  <c r="H23" i="14"/>
  <c r="Q62" i="14"/>
  <c r="J41" i="5"/>
  <c r="W38" i="5"/>
  <c r="V53" i="5"/>
  <c r="G26" i="5"/>
  <c r="K6" i="27"/>
  <c r="K7" i="27"/>
  <c r="K5" i="27"/>
  <c r="F25" i="26"/>
  <c r="C21" i="26"/>
  <c r="C25" i="26"/>
  <c r="K8" i="26"/>
  <c r="E103" i="1"/>
  <c r="G104" i="1"/>
  <c r="G102" i="1"/>
  <c r="G100" i="1"/>
  <c r="M11" i="5"/>
  <c r="O11" i="5"/>
  <c r="G8" i="5"/>
  <c r="O26" i="5"/>
  <c r="L27" i="5"/>
  <c r="M27" i="5"/>
  <c r="W48" i="5"/>
  <c r="X48" i="5"/>
  <c r="W35" i="5"/>
  <c r="P26" i="5"/>
  <c r="N25" i="11"/>
  <c r="X6" i="11"/>
  <c r="M5" i="11"/>
  <c r="S9" i="11"/>
  <c r="S7" i="11"/>
  <c r="O25" i="11"/>
  <c r="K16" i="11"/>
  <c r="K15" i="11"/>
  <c r="O16" i="11"/>
  <c r="O15" i="11"/>
  <c r="O14" i="11"/>
  <c r="M52" i="20"/>
  <c r="N52" i="20"/>
  <c r="M53" i="20"/>
  <c r="N53" i="20"/>
  <c r="M54" i="20"/>
  <c r="N54" i="20"/>
  <c r="M51" i="20"/>
  <c r="N51" i="20"/>
  <c r="H21" i="6"/>
  <c r="J21" i="6"/>
  <c r="L55" i="11"/>
  <c r="L54" i="11"/>
  <c r="E60" i="11"/>
  <c r="E61" i="11"/>
  <c r="D46" i="11"/>
  <c r="M16" i="11"/>
  <c r="G59" i="1"/>
  <c r="P10" i="21"/>
  <c r="L30" i="11"/>
  <c r="L29" i="11"/>
  <c r="L28" i="11"/>
  <c r="N49" i="20"/>
  <c r="M49" i="20"/>
  <c r="M14" i="11"/>
  <c r="G74" i="1"/>
  <c r="C53" i="20"/>
  <c r="E44" i="20"/>
  <c r="N48" i="20"/>
  <c r="M48" i="20"/>
  <c r="N47" i="20"/>
  <c r="M47" i="20"/>
  <c r="N46" i="20"/>
  <c r="M46" i="20"/>
  <c r="N45" i="20"/>
  <c r="M45" i="20"/>
  <c r="N44" i="20"/>
  <c r="M44" i="20"/>
  <c r="N43" i="20"/>
  <c r="M43" i="20"/>
  <c r="L5" i="20"/>
  <c r="K5" i="20"/>
  <c r="F45" i="16"/>
  <c r="E51" i="16"/>
  <c r="E53" i="16"/>
  <c r="P48" i="16"/>
  <c r="P49" i="16"/>
  <c r="P50" i="16"/>
  <c r="P51" i="16"/>
  <c r="P52" i="16"/>
  <c r="P53" i="16"/>
  <c r="P54" i="16"/>
  <c r="P55" i="16"/>
  <c r="P56" i="16"/>
  <c r="P57" i="16"/>
  <c r="G34" i="16"/>
  <c r="O9" i="16"/>
  <c r="O6" i="16"/>
  <c r="G7" i="14"/>
  <c r="E21" i="14"/>
  <c r="C6" i="14"/>
  <c r="E20" i="14"/>
  <c r="M6" i="11"/>
  <c r="E25" i="11"/>
  <c r="E26" i="11"/>
  <c r="E24" i="11"/>
  <c r="L51" i="11"/>
  <c r="L50" i="11"/>
  <c r="L49" i="11"/>
  <c r="L48" i="11"/>
  <c r="L47" i="11"/>
  <c r="L46" i="11"/>
  <c r="L45" i="11"/>
  <c r="D41" i="11"/>
  <c r="M26" i="6"/>
  <c r="L26" i="6"/>
  <c r="K26" i="6"/>
  <c r="J26" i="6"/>
  <c r="H25" i="6"/>
  <c r="M13" i="11"/>
  <c r="M15" i="11"/>
  <c r="Y59" i="5"/>
  <c r="F34" i="16"/>
  <c r="N9" i="16"/>
  <c r="B41" i="21"/>
  <c r="O9" i="21"/>
  <c r="M5" i="5"/>
  <c r="N7" i="14"/>
  <c r="Q7" i="9"/>
  <c r="G37" i="1"/>
  <c r="C41" i="21"/>
  <c r="P9" i="21"/>
  <c r="H28" i="10"/>
  <c r="X14" i="11"/>
  <c r="M9" i="11"/>
  <c r="G30" i="20"/>
  <c r="L8" i="20"/>
  <c r="P11" i="21"/>
  <c r="S36" i="6"/>
  <c r="C29" i="20"/>
  <c r="L4" i="20"/>
  <c r="B100" i="21"/>
  <c r="L31" i="11"/>
  <c r="M17" i="11"/>
  <c r="M50" i="20"/>
  <c r="B20" i="20"/>
  <c r="F30" i="20"/>
  <c r="K8" i="20"/>
  <c r="N50" i="20"/>
  <c r="O17" i="11"/>
  <c r="L52" i="11"/>
  <c r="P26" i="6"/>
  <c r="Q26" i="6"/>
  <c r="V28" i="5"/>
  <c r="P11" i="5"/>
  <c r="B29" i="20"/>
  <c r="K4" i="20"/>
  <c r="L5" i="26"/>
  <c r="K5" i="26"/>
  <c r="E100" i="1"/>
  <c r="G27" i="5"/>
  <c r="G41" i="5"/>
  <c r="M4" i="9"/>
  <c r="M5" i="9"/>
  <c r="G39" i="5"/>
  <c r="G40" i="5"/>
  <c r="P58" i="16"/>
  <c r="L4" i="9"/>
  <c r="E49" i="16"/>
  <c r="V42" i="5"/>
  <c r="Q26" i="5"/>
  <c r="K34" i="27"/>
  <c r="L19" i="10"/>
  <c r="J7" i="10"/>
  <c r="L15" i="10"/>
  <c r="J5" i="10"/>
  <c r="G42" i="21"/>
  <c r="B125" i="21"/>
  <c r="E125" i="21"/>
  <c r="F42" i="21"/>
  <c r="F125" i="21"/>
  <c r="A125" i="21"/>
  <c r="E45" i="29"/>
  <c r="L5" i="9"/>
  <c r="J37" i="5"/>
  <c r="E7" i="1"/>
  <c r="B23" i="16"/>
  <c r="N4" i="16"/>
  <c r="C4" i="16"/>
  <c r="O7" i="16"/>
  <c r="B4" i="16"/>
  <c r="C14" i="16"/>
  <c r="O10" i="16"/>
  <c r="B14" i="16"/>
  <c r="N10" i="16"/>
  <c r="B33" i="16"/>
  <c r="N5" i="16"/>
  <c r="C33" i="16"/>
  <c r="O5" i="16"/>
  <c r="B11" i="20"/>
  <c r="C11" i="20"/>
  <c r="L9" i="20"/>
  <c r="D116" i="21"/>
  <c r="B18" i="21"/>
  <c r="O13" i="21"/>
  <c r="X16" i="11"/>
  <c r="M10" i="11"/>
  <c r="J7" i="6"/>
  <c r="C18" i="21"/>
  <c r="P13" i="21"/>
  <c r="B92" i="21"/>
  <c r="B32" i="21"/>
  <c r="O8" i="21"/>
  <c r="C32" i="21"/>
  <c r="P8" i="21"/>
  <c r="X12" i="11"/>
  <c r="M8" i="11"/>
  <c r="B116" i="21"/>
  <c r="X10" i="11"/>
  <c r="M7" i="11"/>
  <c r="R4" i="11"/>
  <c r="S4" i="11"/>
  <c r="E20" i="20"/>
  <c r="K7" i="20"/>
  <c r="B3" i="20"/>
  <c r="K6" i="20"/>
  <c r="W28" i="5"/>
  <c r="E116" i="21"/>
  <c r="F100" i="1"/>
  <c r="G47" i="1"/>
  <c r="B85" i="21"/>
  <c r="E32" i="21"/>
  <c r="A116" i="21"/>
  <c r="J10" i="6"/>
  <c r="I10" i="6"/>
  <c r="K10" i="6"/>
  <c r="I7" i="6"/>
  <c r="B107" i="21"/>
  <c r="G28" i="5"/>
  <c r="X4" i="11"/>
  <c r="M4" i="11"/>
  <c r="J5" i="5"/>
  <c r="J4" i="5"/>
  <c r="W42" i="5"/>
  <c r="K38" i="5"/>
  <c r="K37" i="5"/>
  <c r="E23" i="16"/>
  <c r="N8" i="16"/>
  <c r="N7" i="16"/>
  <c r="F23" i="16"/>
  <c r="O8" i="16"/>
  <c r="C20" i="20"/>
  <c r="L3" i="20"/>
  <c r="K3" i="20"/>
  <c r="F115" i="29"/>
  <c r="C12" i="29"/>
  <c r="M10" i="29"/>
  <c r="C4" i="29"/>
  <c r="M7" i="29"/>
  <c r="F31" i="29"/>
  <c r="L9" i="29"/>
  <c r="B106" i="29"/>
  <c r="E21" i="29"/>
  <c r="F21" i="29"/>
  <c r="M8" i="29"/>
  <c r="C30" i="29"/>
  <c r="M5" i="29"/>
  <c r="E106" i="29"/>
  <c r="B115" i="29"/>
  <c r="B97" i="29"/>
  <c r="A106" i="29"/>
  <c r="B30" i="29"/>
  <c r="L5" i="29"/>
  <c r="B75" i="29"/>
  <c r="D106" i="29"/>
  <c r="E115" i="29"/>
  <c r="G31" i="29"/>
  <c r="M9" i="29"/>
  <c r="B12" i="29"/>
  <c r="L10" i="29"/>
  <c r="B21" i="29"/>
  <c r="L4" i="29"/>
  <c r="B90" i="29"/>
  <c r="B82" i="29"/>
  <c r="A115" i="29"/>
  <c r="B4" i="29"/>
  <c r="L7" i="29"/>
  <c r="V8" i="21"/>
  <c r="F59" i="1"/>
  <c r="T4" i="16"/>
  <c r="F86" i="1"/>
  <c r="U8" i="21"/>
  <c r="F32" i="21"/>
  <c r="P12" i="21"/>
  <c r="O12" i="21"/>
  <c r="M4" i="5"/>
  <c r="G7" i="1"/>
  <c r="K9" i="20"/>
  <c r="F20" i="20"/>
  <c r="L7" i="20"/>
  <c r="Q4" i="29"/>
  <c r="E110" i="1"/>
  <c r="K5" i="5"/>
  <c r="K4" i="5"/>
  <c r="C3" i="20"/>
  <c r="L6" i="20"/>
  <c r="R3" i="20"/>
  <c r="F74" i="1"/>
  <c r="I4" i="6"/>
  <c r="J4" i="6"/>
  <c r="K7" i="6"/>
  <c r="Q3" i="20"/>
  <c r="E74" i="1"/>
  <c r="F47" i="1"/>
  <c r="C23" i="16"/>
  <c r="O4" i="16"/>
  <c r="F7" i="1"/>
  <c r="L8" i="29"/>
  <c r="C21" i="29"/>
  <c r="M4" i="29"/>
  <c r="R4" i="29"/>
  <c r="F110" i="1"/>
  <c r="T7" i="16"/>
  <c r="G88" i="1"/>
  <c r="U5" i="16"/>
  <c r="U4" i="16"/>
  <c r="G86" i="1"/>
  <c r="E59" i="1"/>
  <c r="E47" i="1"/>
  <c r="R4" i="9"/>
  <c r="Q4" i="9"/>
  <c r="E37" i="1"/>
  <c r="L17" i="10"/>
  <c r="J6" i="10"/>
  <c r="L21" i="10"/>
  <c r="J8" i="10"/>
  <c r="F37" i="1"/>
  <c r="O4" i="10"/>
  <c r="Q48" i="45"/>
  <c r="G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Spencer Phillips</author>
  </authors>
  <commentList>
    <comment ref="B22" authorId="0" shapeId="0" xr:uid="{00000000-0006-0000-0700-000001000000}">
      <text>
        <r>
          <rPr>
            <b/>
            <sz val="9"/>
            <color indexed="81"/>
            <rFont val="Tahoma"/>
            <family val="2"/>
          </rPr>
          <t>Spencer Phillips:</t>
        </r>
        <r>
          <rPr>
            <sz val="9"/>
            <color indexed="81"/>
            <rFont val="Tahoma"/>
            <family val="2"/>
          </rPr>
          <t xml:space="preserve">
Old pricing
</t>
        </r>
      </text>
    </comment>
  </commentList>
</comments>
</file>

<file path=xl/sharedStrings.xml><?xml version="1.0" encoding="utf-8"?>
<sst xmlns="http://schemas.openxmlformats.org/spreadsheetml/2006/main" count="2200" uniqueCount="990">
  <si>
    <t>Package</t>
  </si>
  <si>
    <t>Verizon</t>
  </si>
  <si>
    <t>TV's</t>
  </si>
  <si>
    <t>DVR</t>
  </si>
  <si>
    <t>First Year</t>
  </si>
  <si>
    <t>Second Year</t>
  </si>
  <si>
    <t>One Time Charge</t>
  </si>
  <si>
    <t>Services</t>
  </si>
  <si>
    <t>TV Package</t>
  </si>
  <si>
    <t>Prime</t>
  </si>
  <si>
    <t>Extreme</t>
  </si>
  <si>
    <t>Ultimate</t>
  </si>
  <si>
    <t>Internet Package</t>
  </si>
  <si>
    <t>Internet Speed</t>
  </si>
  <si>
    <t xml:space="preserve">    HD TV's</t>
  </si>
  <si>
    <t xml:space="preserve">     Total Recievers</t>
  </si>
  <si>
    <t>Hopper</t>
  </si>
  <si>
    <t>Savings Over First Year</t>
  </si>
  <si>
    <t>DirecTV</t>
  </si>
  <si>
    <t>Charter</t>
  </si>
  <si>
    <t>Internet</t>
  </si>
  <si>
    <t>TV and Internet</t>
  </si>
  <si>
    <t xml:space="preserve">   ^^ Must be ZERO </t>
  </si>
  <si>
    <t xml:space="preserve">       if there is no TV</t>
  </si>
  <si>
    <t>Phone</t>
  </si>
  <si>
    <t>TV</t>
  </si>
  <si>
    <t>TV and Phone</t>
  </si>
  <si>
    <t>Internet and Phone</t>
  </si>
  <si>
    <t>No</t>
  </si>
  <si>
    <t>Yes</t>
  </si>
  <si>
    <t>CHANNEL LINEUPS</t>
  </si>
  <si>
    <t>Grande</t>
  </si>
  <si>
    <t xml:space="preserve">               DVR</t>
  </si>
  <si>
    <t>Premier</t>
  </si>
  <si>
    <t>Channel Lineup</t>
  </si>
  <si>
    <t xml:space="preserve">   Internet Speed</t>
  </si>
  <si>
    <t>HBO</t>
  </si>
  <si>
    <t>Comcast</t>
  </si>
  <si>
    <t>2nd Year</t>
  </si>
  <si>
    <t>1st year</t>
  </si>
  <si>
    <t>Genie</t>
  </si>
  <si>
    <t>Receiver</t>
  </si>
  <si>
    <t># of TV's</t>
  </si>
  <si>
    <t># of HD TV's</t>
  </si>
  <si>
    <t>Column1</t>
  </si>
  <si>
    <t>STARZ</t>
  </si>
  <si>
    <t>SHOWTIME</t>
  </si>
  <si>
    <t>CINEMAX</t>
  </si>
  <si>
    <t>SPORTS</t>
  </si>
  <si>
    <t>Package #</t>
  </si>
  <si>
    <t>Xtra for Channels</t>
  </si>
  <si>
    <t>1st Year</t>
  </si>
  <si>
    <t>Answer</t>
  </si>
  <si>
    <t>#</t>
  </si>
  <si>
    <t>AutoPay Opt Out</t>
  </si>
  <si>
    <t>Dish</t>
  </si>
  <si>
    <t>Dvr Cost</t>
  </si>
  <si>
    <t>One Time Charges</t>
  </si>
  <si>
    <t>Equip Monthly</t>
  </si>
  <si>
    <t>Column2</t>
  </si>
  <si>
    <t xml:space="preserve">    ^^ Zero if no TV</t>
  </si>
  <si>
    <t>HD</t>
  </si>
  <si>
    <t>TV Only</t>
  </si>
  <si>
    <t>Max</t>
  </si>
  <si>
    <t>One Time Fee</t>
  </si>
  <si>
    <t>Internet Only</t>
  </si>
  <si>
    <t>Phone Only</t>
  </si>
  <si>
    <t>Ist Year</t>
  </si>
  <si>
    <t>Price</t>
  </si>
  <si>
    <t>Total</t>
  </si>
  <si>
    <t>Plus Phone</t>
  </si>
  <si>
    <t>Triple Play</t>
  </si>
  <si>
    <t>Double Play</t>
  </si>
  <si>
    <t>Phone and Internet</t>
  </si>
  <si>
    <t>Plus</t>
  </si>
  <si>
    <t>Bundle Package</t>
  </si>
  <si>
    <t>Double Play2</t>
  </si>
  <si>
    <t>Triple Play2</t>
  </si>
  <si>
    <t>Triple</t>
  </si>
  <si>
    <t>2nd year</t>
  </si>
  <si>
    <t>Internet and phone</t>
  </si>
  <si>
    <t>Internet only</t>
  </si>
  <si>
    <t>Equipment lease</t>
  </si>
  <si>
    <t>Digital Adapter</t>
  </si>
  <si>
    <t>1 HD</t>
  </si>
  <si>
    <t>2 HD</t>
  </si>
  <si>
    <t>3 HD</t>
  </si>
  <si>
    <t>4 HD</t>
  </si>
  <si>
    <t>5 HD</t>
  </si>
  <si>
    <t>6 HD</t>
  </si>
  <si>
    <t>7 HD</t>
  </si>
  <si>
    <t>Cost</t>
  </si>
  <si>
    <t>Boxes</t>
  </si>
  <si>
    <t>Equipment Cost</t>
  </si>
  <si>
    <t>Equipment #</t>
  </si>
  <si>
    <t>DVR Cost</t>
  </si>
  <si>
    <t>Movies</t>
  </si>
  <si>
    <t>months 1-12</t>
  </si>
  <si>
    <t>months 13-14</t>
  </si>
  <si>
    <t>Fully loaded</t>
  </si>
  <si>
    <t>Startz</t>
  </si>
  <si>
    <t>Showtime</t>
  </si>
  <si>
    <t>Cinemax</t>
  </si>
  <si>
    <t>N/A</t>
  </si>
  <si>
    <t>Checked?</t>
  </si>
  <si>
    <t>Total Year 1</t>
  </si>
  <si>
    <t>Total Year 2</t>
  </si>
  <si>
    <t>Double</t>
  </si>
  <si>
    <t># of Tv's</t>
  </si>
  <si>
    <t>TV Cost</t>
  </si>
  <si>
    <t>Router</t>
  </si>
  <si>
    <t>DVR #</t>
  </si>
  <si>
    <t>TV only</t>
  </si>
  <si>
    <t>Movie Channels</t>
  </si>
  <si>
    <t>TWC</t>
  </si>
  <si>
    <t>Starter</t>
  </si>
  <si>
    <t>Standard</t>
  </si>
  <si>
    <t>Dig/Preferred TV</t>
  </si>
  <si>
    <t>Basic 3/1</t>
  </si>
  <si>
    <t>Turbo 20/2</t>
  </si>
  <si>
    <t>Standard 15/1</t>
  </si>
  <si>
    <t>Extreme 30/5</t>
  </si>
  <si>
    <t>Ultimate 50/5</t>
  </si>
  <si>
    <t>Whole-Home</t>
  </si>
  <si>
    <t>Lite 2/1</t>
  </si>
  <si>
    <t>Starz</t>
  </si>
  <si>
    <t>SportsPass</t>
  </si>
  <si>
    <t>MoviePass</t>
  </si>
  <si>
    <t>HDPass</t>
  </si>
  <si>
    <t>Modem</t>
  </si>
  <si>
    <t>Basic 3/12</t>
  </si>
  <si>
    <t>Sports Pack</t>
  </si>
  <si>
    <t>ATT 2</t>
  </si>
  <si>
    <t>Plus Phone 2nd Yr</t>
  </si>
  <si>
    <t>Plus Phone Yr 2</t>
  </si>
  <si>
    <t>HD Premium Tier</t>
  </si>
  <si>
    <t>Total Add Ons</t>
  </si>
  <si>
    <t>Wireless Receivers</t>
  </si>
  <si>
    <t>Int Install Charge</t>
  </si>
  <si>
    <t>Double Play Year 2</t>
  </si>
  <si>
    <t>Triple Year 2</t>
  </si>
  <si>
    <t>Dish Network</t>
  </si>
  <si>
    <t>x</t>
  </si>
  <si>
    <t>2nd Yr</t>
  </si>
  <si>
    <t>Yr 1</t>
  </si>
  <si>
    <t>Yr 2</t>
  </si>
  <si>
    <t>M2M TV</t>
  </si>
  <si>
    <t>M2M TV Plus Phone</t>
  </si>
  <si>
    <t>M2M Internet</t>
  </si>
  <si>
    <t>M2M Int Plus Phone</t>
  </si>
  <si>
    <t>Double Play Yr 2</t>
  </si>
  <si>
    <t>Triple Play Yr 2</t>
  </si>
  <si>
    <t>M2M Double Yr 1</t>
  </si>
  <si>
    <t>M2M Triple Play Yr 1</t>
  </si>
  <si>
    <t>M2M Triple Play Yr 2</t>
  </si>
  <si>
    <t>M2M Double Yr 2</t>
  </si>
  <si>
    <t>M2M?</t>
  </si>
  <si>
    <t>2nd yr</t>
  </si>
  <si>
    <t>Wireless Router</t>
  </si>
  <si>
    <t>Column3</t>
  </si>
  <si>
    <t>Column4</t>
  </si>
  <si>
    <t>50Mb</t>
  </si>
  <si>
    <t>DVR Boxes</t>
  </si>
  <si>
    <t>DVR Equipment Cost</t>
  </si>
  <si>
    <t>Modem/Wi-Fi</t>
  </si>
  <si>
    <t>Install Charge</t>
  </si>
  <si>
    <t>HD Equipment Cost</t>
  </si>
  <si>
    <t>Total Equipment Cost</t>
  </si>
  <si>
    <t>DTV Notes &amp; Sales Tips</t>
  </si>
  <si>
    <t>ATT Notes &amp; Sales Tips</t>
  </si>
  <si>
    <t>Comcast Notes &amp; Sales Tips</t>
  </si>
  <si>
    <t>Preferred</t>
  </si>
  <si>
    <t>6Mb</t>
  </si>
  <si>
    <t>105Mb</t>
  </si>
  <si>
    <t>Modem Lease</t>
  </si>
  <si>
    <t xml:space="preserve">      ^Required w/ Phone</t>
  </si>
  <si>
    <t>Oncor</t>
  </si>
  <si>
    <t>Notes</t>
  </si>
  <si>
    <t>CNP</t>
  </si>
  <si>
    <t>Amigo</t>
  </si>
  <si>
    <t xml:space="preserve">     Electric Rates</t>
  </si>
  <si>
    <t xml:space="preserve"> </t>
  </si>
  <si>
    <t>Preferred (150)</t>
  </si>
  <si>
    <t>Gateway Charge</t>
  </si>
  <si>
    <t>Basic (20)</t>
  </si>
  <si>
    <t>Premier (225)</t>
  </si>
  <si>
    <t>15</t>
  </si>
  <si>
    <t>50</t>
  </si>
  <si>
    <t>50/5</t>
  </si>
  <si>
    <t>One Time</t>
  </si>
  <si>
    <t>Variety Pack</t>
  </si>
  <si>
    <t>Variety &amp; Sports Pack</t>
  </si>
  <si>
    <t>UltraSports Tier</t>
  </si>
  <si>
    <t>1   (19.99)</t>
  </si>
  <si>
    <t>2   (33.99)</t>
  </si>
  <si>
    <t>4   (55.99)</t>
  </si>
  <si>
    <t>3   (44.99)</t>
  </si>
  <si>
    <t>Premier TV with Multi-Room TiVo &amp; 2 additional TiVo Receivers</t>
  </si>
  <si>
    <t>Showtime, Starz, Encore, HBO, Cinemax, Ultra Sports Tier</t>
  </si>
  <si>
    <t>$129.99/month for one year</t>
  </si>
  <si>
    <t>Premier TV with Multi-Room TiVo &amp; 1 additional TiVo Receiver</t>
  </si>
  <si>
    <t>$99.99/month for one year</t>
  </si>
  <si>
    <t>Wireless Routher</t>
  </si>
  <si>
    <t>&gt;DVR: Can only have up to four tvs with DVR</t>
  </si>
  <si>
    <t>Additional Cost</t>
  </si>
  <si>
    <t>Yes (1 Box)</t>
  </si>
  <si>
    <t>Total DVR Cost</t>
  </si>
  <si>
    <t>4Change</t>
  </si>
  <si>
    <t>Frontier</t>
  </si>
  <si>
    <t>Broadcast Fee</t>
  </si>
  <si>
    <t>50/50</t>
  </si>
  <si>
    <t>75/75</t>
  </si>
  <si>
    <t>150/150</t>
  </si>
  <si>
    <t>300/300</t>
  </si>
  <si>
    <t>One Time Activation</t>
  </si>
  <si>
    <t>TV Select (125)</t>
  </si>
  <si>
    <t>TV Silver Plan (175)</t>
  </si>
  <si>
    <t>TV Gold Plan (200)</t>
  </si>
  <si>
    <t>Preferred (220)</t>
  </si>
  <si>
    <t>Basic</t>
  </si>
  <si>
    <t>The Movie Channel</t>
  </si>
  <si>
    <t>Streampix</t>
  </si>
  <si>
    <t>TV &amp; Internet</t>
  </si>
  <si>
    <t>TV &amp; Phone</t>
  </si>
  <si>
    <t>SportsPack</t>
  </si>
  <si>
    <t>n</t>
  </si>
  <si>
    <t>Custom Base Price</t>
  </si>
  <si>
    <t>Sports Fee</t>
  </si>
  <si>
    <t>Dig Adap</t>
  </si>
  <si>
    <t>Basic 6/1</t>
  </si>
  <si>
    <t>El Paquetazo</t>
  </si>
  <si>
    <t>Standard Install</t>
  </si>
  <si>
    <t>Wireless Charge</t>
  </si>
  <si>
    <t>Box Charge</t>
  </si>
  <si>
    <t>En Espanol</t>
  </si>
  <si>
    <t>En Espanol Mas</t>
  </si>
  <si>
    <t>Espanol Line-Up</t>
  </si>
  <si>
    <t>Espanol</t>
  </si>
  <si>
    <t>Total TV's</t>
  </si>
  <si>
    <t>Wireless TV's</t>
  </si>
  <si>
    <t>Classico</t>
  </si>
  <si>
    <t>Dos</t>
  </si>
  <si>
    <t>English</t>
  </si>
  <si>
    <t>Spanish</t>
  </si>
  <si>
    <t>CineLatino</t>
  </si>
  <si>
    <t>Total Xtra for Channels</t>
  </si>
  <si>
    <t>Opt out of Autopay</t>
  </si>
  <si>
    <t>Special Bundle</t>
  </si>
  <si>
    <t>200/20</t>
  </si>
  <si>
    <t>400/20</t>
  </si>
  <si>
    <t>200</t>
  </si>
  <si>
    <t>300</t>
  </si>
  <si>
    <t>400</t>
  </si>
  <si>
    <t>Get It All 400 Triple Play</t>
  </si>
  <si>
    <t>Power 400 Mbps Internet, Wireless Home Networking, Optimum Phone</t>
  </si>
  <si>
    <t>Get It All 400 Double Play</t>
  </si>
  <si>
    <t>Choice of 2 Premiums, Ultra Sports Tier</t>
  </si>
  <si>
    <t>Get It All 200 Double Play</t>
  </si>
  <si>
    <t>Preferred TV with Multi-Room TiVo, 1 Additional Tivo receiver, Choice of 2 Premiums</t>
  </si>
  <si>
    <t>Power 200 Mbps Internet, Wireless Home Networking</t>
  </si>
  <si>
    <t>Power 300 Mbps Internet, Wireless Home Networking, Optimum Phone</t>
  </si>
  <si>
    <t>Get It All 200 Triple Play</t>
  </si>
  <si>
    <t>Power 200 Mbps Internet, Wireless Home Networking, Optimum Phone</t>
  </si>
  <si>
    <t>Preferred TV with Multi-Room TiVo, 1 additional Tivo receiver, Choice of 2 Premiums</t>
  </si>
  <si>
    <t xml:space="preserve">Lite 3/1    </t>
  </si>
  <si>
    <r>
      <t xml:space="preserve">Standard 50/5   </t>
    </r>
    <r>
      <rPr>
        <i/>
        <sz val="11"/>
        <color theme="1"/>
        <rFont val="Calibri"/>
        <family val="2"/>
        <scheme val="minor"/>
      </rPr>
      <t>15</t>
    </r>
  </si>
  <si>
    <r>
      <t xml:space="preserve">Turbo 100/10     </t>
    </r>
    <r>
      <rPr>
        <i/>
        <sz val="11"/>
        <color theme="1"/>
        <rFont val="Calibri"/>
        <family val="2"/>
        <scheme val="minor"/>
      </rPr>
      <t>20</t>
    </r>
  </si>
  <si>
    <r>
      <t xml:space="preserve">Extreme 200/20     </t>
    </r>
    <r>
      <rPr>
        <i/>
        <sz val="11"/>
        <color theme="1"/>
        <rFont val="Calibri"/>
        <family val="2"/>
        <scheme val="minor"/>
      </rPr>
      <t>30</t>
    </r>
  </si>
  <si>
    <r>
      <t xml:space="preserve">Ultimate 300/20    </t>
    </r>
    <r>
      <rPr>
        <i/>
        <sz val="11"/>
        <color theme="1"/>
        <rFont val="Calibri"/>
        <family val="2"/>
        <scheme val="minor"/>
      </rPr>
      <t>50</t>
    </r>
  </si>
  <si>
    <t>Digital/Preferred (200)</t>
  </si>
  <si>
    <t>Standard (70)</t>
  </si>
  <si>
    <t>Starter (20)</t>
  </si>
  <si>
    <t>Direct Energy</t>
  </si>
  <si>
    <t>12 Month</t>
  </si>
  <si>
    <t>24 Month</t>
  </si>
  <si>
    <t>Bounce Energy</t>
  </si>
  <si>
    <t>Internet Price Increas for K14</t>
  </si>
  <si>
    <t>Free DVR Charge</t>
  </si>
  <si>
    <t>ATT Int Bundle</t>
  </si>
  <si>
    <t xml:space="preserve">ATT Int </t>
  </si>
  <si>
    <t>None</t>
  </si>
  <si>
    <t xml:space="preserve">Yr 2 </t>
  </si>
  <si>
    <t>Comcast Int</t>
  </si>
  <si>
    <t>Modem/Router Cost:</t>
  </si>
  <si>
    <t>Modem/Router</t>
  </si>
  <si>
    <t>Sports Programming Fee</t>
  </si>
  <si>
    <t>Custom</t>
  </si>
  <si>
    <t>500/500</t>
  </si>
  <si>
    <t>Movers</t>
  </si>
  <si>
    <t>Pest Control</t>
  </si>
  <si>
    <t>ReKey</t>
  </si>
  <si>
    <t>Cleaners</t>
  </si>
  <si>
    <t>Insurance</t>
  </si>
  <si>
    <t>SquareCow Moovers</t>
  </si>
  <si>
    <t>WhiteKnight Pest Control</t>
  </si>
  <si>
    <t>Mr. Rekey</t>
  </si>
  <si>
    <t>A Plus Home Solutions</t>
  </si>
  <si>
    <t>Texas Best Credit Repair</t>
  </si>
  <si>
    <t>Austin</t>
  </si>
  <si>
    <t>DFW</t>
  </si>
  <si>
    <t>Houston</t>
  </si>
  <si>
    <t>Handyman/Remodel</t>
  </si>
  <si>
    <t>Credit Repair</t>
  </si>
  <si>
    <t>Mr. ReKey</t>
  </si>
  <si>
    <t>Referral Partners x Area</t>
  </si>
  <si>
    <t>M2M</t>
  </si>
  <si>
    <t>All Plans</t>
  </si>
  <si>
    <t>Bandwidth Builders</t>
  </si>
  <si>
    <t>SkyLine</t>
  </si>
  <si>
    <t>Alliance</t>
  </si>
  <si>
    <t>Champion Energy</t>
  </si>
  <si>
    <t xml:space="preserve">TXU </t>
  </si>
  <si>
    <t>Reliant</t>
  </si>
  <si>
    <t>TxGas</t>
  </si>
  <si>
    <t>Atmos</t>
  </si>
  <si>
    <t>CenterPoint</t>
  </si>
  <si>
    <t>Free Power Sat 12</t>
  </si>
  <si>
    <t>Nest Plan 24</t>
  </si>
  <si>
    <t>6 Month</t>
  </si>
  <si>
    <t>Green Mountain</t>
  </si>
  <si>
    <t>StartTex</t>
  </si>
  <si>
    <t>Gexa</t>
  </si>
  <si>
    <t>Cirro</t>
  </si>
  <si>
    <t>Spark</t>
  </si>
  <si>
    <t>Discount Power</t>
  </si>
  <si>
    <t>Non Paid</t>
  </si>
  <si>
    <t>Coserv</t>
  </si>
  <si>
    <t>Gas</t>
  </si>
  <si>
    <t>LeapFrog</t>
  </si>
  <si>
    <t>Telcom Portals</t>
  </si>
  <si>
    <t>HughesNet</t>
  </si>
  <si>
    <t>Security</t>
  </si>
  <si>
    <t>ADT</t>
  </si>
  <si>
    <t>FrontPoint</t>
  </si>
  <si>
    <r>
      <t>Tri Eagle - USE WEBCODE:</t>
    </r>
    <r>
      <rPr>
        <b/>
        <i/>
        <sz val="11"/>
        <color theme="1"/>
        <rFont val="Calibri"/>
        <family val="2"/>
        <scheme val="minor"/>
      </rPr>
      <t xml:space="preserve"> 360home</t>
    </r>
  </si>
  <si>
    <t>Paid Electric</t>
  </si>
  <si>
    <t>Time Warner</t>
  </si>
  <si>
    <t>SuddenLink</t>
  </si>
  <si>
    <t>Address Search</t>
  </si>
  <si>
    <t xml:space="preserve">AT&amp;T </t>
  </si>
  <si>
    <t>Google</t>
  </si>
  <si>
    <t>ATT Unlim Phone</t>
  </si>
  <si>
    <t>ATT Voice200</t>
  </si>
  <si>
    <t>n/a</t>
  </si>
  <si>
    <t>BlackTie Moving</t>
  </si>
  <si>
    <t>MMR</t>
  </si>
  <si>
    <t>Requires Landline, No Interactive Remote Access</t>
  </si>
  <si>
    <t>Wireless Monitoring, No Interactive Remote Access</t>
  </si>
  <si>
    <t>Wireless Monitoring, Interactive Remote Access</t>
  </si>
  <si>
    <t>Tara Energy - USE WEBCODE 360hc</t>
  </si>
  <si>
    <t>Tara Energy</t>
  </si>
  <si>
    <t>First Choice Power</t>
  </si>
  <si>
    <t>4Change Energy</t>
  </si>
  <si>
    <t>Tri- Eagle Energy</t>
  </si>
  <si>
    <t>Install Cost</t>
  </si>
  <si>
    <t>ADS - 2GiG System</t>
  </si>
  <si>
    <t>Varies</t>
  </si>
  <si>
    <t>$30-$50</t>
  </si>
  <si>
    <t>Self Install Only, Only company that allows renters</t>
  </si>
  <si>
    <t>Cam Plan:</t>
  </si>
  <si>
    <t>Speed</t>
  </si>
  <si>
    <t>Data Allowance</t>
  </si>
  <si>
    <t>49.99</t>
  </si>
  <si>
    <t>10GB</t>
  </si>
  <si>
    <t>20GB</t>
  </si>
  <si>
    <t>Monthly Lease Fee</t>
  </si>
  <si>
    <t>Upfront Lease Fee</t>
  </si>
  <si>
    <t>0</t>
  </si>
  <si>
    <t>Purchase Fee</t>
  </si>
  <si>
    <t>Lease Installation</t>
  </si>
  <si>
    <t>Purchase Installation</t>
  </si>
  <si>
    <t>Interntational 200 Add On</t>
  </si>
  <si>
    <t>One Time Phone Equipment Fee</t>
  </si>
  <si>
    <t xml:space="preserve">        Speed</t>
  </si>
  <si>
    <t>Monthly Rate</t>
  </si>
  <si>
    <t>Installation Fee</t>
  </si>
  <si>
    <t>Upfront Purchase Fee</t>
  </si>
  <si>
    <t>Standard Rate</t>
  </si>
  <si>
    <t>HughesNet Notes</t>
  </si>
  <si>
    <t>&gt;There may not be a $99 install fee for the lease option depending on the area</t>
  </si>
  <si>
    <t>&gt;When the data allowance is hit, the speed is reduced to 3mbps</t>
  </si>
  <si>
    <t>DTV Bundle Discount</t>
  </si>
  <si>
    <t>Door/Window Contact</t>
  </si>
  <si>
    <t>Plug In Appliance Module</t>
  </si>
  <si>
    <t>Motion Sensor</t>
  </si>
  <si>
    <t>Light Switch</t>
  </si>
  <si>
    <t>Glass Break Detector</t>
  </si>
  <si>
    <t>Water Sensor</t>
  </si>
  <si>
    <t>Key Fob</t>
  </si>
  <si>
    <t>Door Bell</t>
  </si>
  <si>
    <t>Secondary Touch Screen Keypad</t>
  </si>
  <si>
    <t>2GiG Door Lock w/ Handle</t>
  </si>
  <si>
    <t>Medical Alert Pendent</t>
  </si>
  <si>
    <t>2GiG Thermostat</t>
  </si>
  <si>
    <t>Smoke/Heat/Freeze Detector</t>
  </si>
  <si>
    <t>Zwave Lightbulb</t>
  </si>
  <si>
    <t>Motion Sensor W/ Image Capture</t>
  </si>
  <si>
    <t>Carbonmonoxide Detector</t>
  </si>
  <si>
    <t>Indoor HD Camera</t>
  </si>
  <si>
    <t>Garage Door Opener</t>
  </si>
  <si>
    <t>Pan/Tilt Indoor HD Camera</t>
  </si>
  <si>
    <t>Plug In Lamp Dimmer</t>
  </si>
  <si>
    <t>Outdoor Camera</t>
  </si>
  <si>
    <t>Home Security Pricing</t>
  </si>
  <si>
    <t xml:space="preserve">ADS Equipment </t>
  </si>
  <si>
    <t>Objection</t>
  </si>
  <si>
    <t>Rebuttal</t>
  </si>
  <si>
    <t>I have a dog</t>
  </si>
  <si>
    <t>Dogs are great but they can't call the police</t>
  </si>
  <si>
    <t>Most domesticated dogs will lick the burglar to death</t>
  </si>
  <si>
    <t>According to a recent poll by Co-Operative Insurance, only 15% of former burglars reported that they would be deterred by a barking dog</t>
  </si>
  <si>
    <t>I have a gun</t>
  </si>
  <si>
    <t>What happens if you aren't quick enough?</t>
  </si>
  <si>
    <t>You can avoid a traumatizing situation, or having to take a life, by having a security system</t>
  </si>
  <si>
    <t>A gun only works if you're there and it won't call the police</t>
  </si>
  <si>
    <t>Never had the need/I live in a safe neighborhood</t>
  </si>
  <si>
    <t>Burglars tend to burgle the "safe neighborhoods, not their own</t>
  </si>
  <si>
    <t>Its like insurance, you want to have it in place before something bad happens</t>
  </si>
  <si>
    <t>Its more than just a security system, its great to have in place for medical emergencies, and it is great for home management</t>
  </si>
  <si>
    <t>I saw a cheaper rate</t>
  </si>
  <si>
    <t>More than likely the rate you saw advertised is for a phone line system, the wireless system will be more, it’s a bait in switch tactic</t>
  </si>
  <si>
    <t>They usually have a much higher upfront cost</t>
  </si>
  <si>
    <t>Those systems are less safe duce to being montiored by a phone line, not having smash and grab protection, and only having one monitoring station</t>
  </si>
  <si>
    <t>No 2-Way Voice communication. Systems that have 2-Way voice are much safer because the alarms can be confirmed quicker and easier. Confirmed alarms are given a higher priority by police</t>
  </si>
  <si>
    <t>Those systems are not able to be controlled via your cell phone</t>
  </si>
  <si>
    <t>They do not offer home management options</t>
  </si>
  <si>
    <t>You pay for what you get, a cheap less safe security system</t>
  </si>
  <si>
    <t>I think I'm going to wait</t>
  </si>
  <si>
    <t xml:space="preserve">A high percentage of burglaries happen in the first few weeks after a move, it’s a good idea to go ahead and get your home secured </t>
  </si>
  <si>
    <t>Technicians get backed up, we can get a date for the installation and if you need to push it back for any reason that is what I am here to do, to make it easy on you</t>
  </si>
  <si>
    <t>You're super busy and we're here to help make things easy. We've vetted these companies for great rates and reveiws; Lets knock it out now so you don't have to drag the process out. You'll have more time to concentrate on more important aspects of the close/move.</t>
  </si>
  <si>
    <t>Its not in my budget</t>
  </si>
  <si>
    <t>With the savings we've provided on your TV/Int/Electricity you'll be paying roughly the same as you were previously, if not less, and you'll have a great home security system</t>
  </si>
  <si>
    <t>You'll receive a 10-20% discount on your home owners insurance, making it affordable</t>
  </si>
  <si>
    <t>The 2GiG thermostat is programmable and controlled remotely via your cell phone, and it's rated to save $400 a year in energy costs, making the security system a wash</t>
  </si>
  <si>
    <t>I Need to discuss it with…</t>
  </si>
  <si>
    <t>Anything we scheduled is tentative, its good to go ahead and get an install date set up to lock in a date so you don't have to wait a long time for an appointment after you are ready for your home to be monitored, its easy for us to cancel if your significant other decides against it</t>
  </si>
  <si>
    <t>Do you think they are avialable now to discuss it? It would make it easy to ensure we have both or your questions answered at once if we could conference them in</t>
  </si>
  <si>
    <t>Im not sure I want a 36 month agreement</t>
  </si>
  <si>
    <t>It's a benefit for you as well for the monitoring company to be contractually obligated to monitor your home</t>
  </si>
  <si>
    <t>A 36 month agreement is the industry standard, all security companies will require that term</t>
  </si>
  <si>
    <t>Unlinke cable or electric companies who's rates may go up, this locks in your rate for 36 months so you have one less bill to worry about</t>
  </si>
  <si>
    <t>If you move they will transfer your system at no cost to you</t>
  </si>
  <si>
    <t>Quantity</t>
  </si>
  <si>
    <r>
      <t xml:space="preserve">Outdoor Cam - </t>
    </r>
    <r>
      <rPr>
        <b/>
        <i/>
        <sz val="11"/>
        <color theme="1"/>
        <rFont val="Calibri"/>
        <family val="2"/>
        <scheme val="minor"/>
      </rPr>
      <t>Upgrade from Indoor</t>
    </r>
  </si>
  <si>
    <t>Install Cost?</t>
  </si>
  <si>
    <t>Entertainment</t>
  </si>
  <si>
    <t>Choice</t>
  </si>
  <si>
    <t>All Included</t>
  </si>
  <si>
    <t>AI Receiver Service Charge</t>
  </si>
  <si>
    <t>All Included:</t>
  </si>
  <si>
    <t>$</t>
  </si>
  <si>
    <t>All In Phone</t>
  </si>
  <si>
    <t>Entertainment (150)</t>
  </si>
  <si>
    <t>Choice (175)</t>
  </si>
  <si>
    <t>Ultimate (240)</t>
  </si>
  <si>
    <t>Premier (315)</t>
  </si>
  <si>
    <t>Total Charge</t>
  </si>
  <si>
    <t>Basic Wireless</t>
  </si>
  <si>
    <t>Name</t>
  </si>
  <si>
    <t>Interactive Wireless</t>
  </si>
  <si>
    <t>Smart Home Package</t>
  </si>
  <si>
    <t>Smart Home Plus Video</t>
  </si>
  <si>
    <t>Equipment</t>
  </si>
  <si>
    <t>Basic Secondary Keypad</t>
  </si>
  <si>
    <t>2GiG Touch Screen DeadBolt</t>
  </si>
  <si>
    <t>Total:</t>
  </si>
  <si>
    <t>Upfront</t>
  </si>
  <si>
    <t>Waive $49</t>
  </si>
  <si>
    <t>Waive$99</t>
  </si>
  <si>
    <t>-</t>
  </si>
  <si>
    <t>Standard Cost:</t>
  </si>
  <si>
    <t>Frontier Communications</t>
  </si>
  <si>
    <t>Doorbell Cam</t>
  </si>
  <si>
    <t>"It's only $____ with a one time low activation fee of $_____. They lock in the rate for a full 36 months so it's a fixed rate that never changes and it includes a lifetime move policy so they'll install the equipment at a new home at no cost. The equipment comes with a lifetime warranty and a free extended service plan so you won't have to pay labor cost."</t>
  </si>
  <si>
    <t>*We can only charge a max of 64.99. Once that point is reached, the only option is for the client to pay up front.</t>
  </si>
  <si>
    <t>What kind of dog?  You don't want to put a loved one in harms way</t>
  </si>
  <si>
    <t>Smart Home Plus 1 Indoor HD Camera (or Doorbell Cam)</t>
  </si>
  <si>
    <t>iSearchDecor</t>
  </si>
  <si>
    <t>Everything Else</t>
  </si>
  <si>
    <t>Frontier Notes &amp; Sales Tips</t>
  </si>
  <si>
    <t>Kids Pack</t>
  </si>
  <si>
    <t>Locals Pack</t>
  </si>
  <si>
    <t>News Pack</t>
  </si>
  <si>
    <t>National Action Pack</t>
  </si>
  <si>
    <t>Regional Action Pack</t>
  </si>
  <si>
    <t xml:space="preserve">Variety Pack </t>
  </si>
  <si>
    <t xml:space="preserve">Outdoor Pack </t>
  </si>
  <si>
    <t>Heartland Pack</t>
  </si>
  <si>
    <t>Latin Bonus Pack</t>
  </si>
  <si>
    <t>Fox Soccoer Plus</t>
  </si>
  <si>
    <t>Internationl Package</t>
  </si>
  <si>
    <t>Total A L Carte Package Cost</t>
  </si>
  <si>
    <t>Flex Pack  (60 ch)</t>
  </si>
  <si>
    <t>Top 200/Plus  (240 ch)</t>
  </si>
  <si>
    <t>Top 250/Max (290 ch)</t>
  </si>
  <si>
    <t>SquareCow Moving</t>
  </si>
  <si>
    <t>HD Box Cost</t>
  </si>
  <si>
    <t>Charter Internet</t>
  </si>
  <si>
    <t>Phone?</t>
  </si>
  <si>
    <t>Wifi?</t>
  </si>
  <si>
    <t>Total One Time</t>
  </si>
  <si>
    <t>Total Movie Cost:</t>
  </si>
  <si>
    <t xml:space="preserve">Standard One Time </t>
  </si>
  <si>
    <t>2000Kwh</t>
  </si>
  <si>
    <t>1000Kwh</t>
  </si>
  <si>
    <t>1500 Kwh</t>
  </si>
  <si>
    <t>700kwh</t>
  </si>
  <si>
    <t>Lower Rate</t>
  </si>
  <si>
    <t>Monthly</t>
  </si>
  <si>
    <t>Yearly</t>
  </si>
  <si>
    <t>Savings</t>
  </si>
  <si>
    <t>Savings Calculator</t>
  </si>
  <si>
    <t>Rate*:</t>
  </si>
  <si>
    <t>Higher Monthly Rate</t>
  </si>
  <si>
    <t>Lower Montly Rate</t>
  </si>
  <si>
    <t>Monthly Difference</t>
  </si>
  <si>
    <t>Yearly Difference</t>
  </si>
  <si>
    <t>Top 120+/Dos (190 ch)</t>
  </si>
  <si>
    <t>24Mo</t>
  </si>
  <si>
    <t>5/1</t>
  </si>
  <si>
    <t>Preferred 50/5</t>
  </si>
  <si>
    <t>Ultimate 300/30</t>
  </si>
  <si>
    <t>Premier 150/10</t>
  </si>
  <si>
    <t>Starter 5/1</t>
  </si>
  <si>
    <t>Essential 15/2</t>
  </si>
  <si>
    <t>Contour TV 220+</t>
  </si>
  <si>
    <t>Preferred 280 +</t>
  </si>
  <si>
    <t>Premier 340+</t>
  </si>
  <si>
    <t>2nd Yr Pkge Increase</t>
  </si>
  <si>
    <t>Flex</t>
  </si>
  <si>
    <t>Contour</t>
  </si>
  <si>
    <t>Epix</t>
  </si>
  <si>
    <t>Latino Pack (9 chan)</t>
  </si>
  <si>
    <t>Single DVR</t>
  </si>
  <si>
    <t xml:space="preserve">DVR              </t>
  </si>
  <si>
    <t>WHDVR</t>
  </si>
  <si>
    <t>Modem/Wifi Purchase</t>
  </si>
  <si>
    <t>Flex  20+</t>
  </si>
  <si>
    <t>Contour 220+</t>
  </si>
  <si>
    <t>Preferred 280+</t>
  </si>
  <si>
    <t>Additional Monthly</t>
  </si>
  <si>
    <t>Additional Install</t>
  </si>
  <si>
    <t>Phone One Time</t>
  </si>
  <si>
    <t>300mb Upgrade One Time</t>
  </si>
  <si>
    <t>The Moving Crew - Lizzie</t>
  </si>
  <si>
    <t>Basic Wireless plus 2 Key Fobs, Interactive, 2 Way Voice</t>
  </si>
  <si>
    <t>2GiG Panel, Take Over or 3 Doors &amp; 1 Motion, No interactive/2Way</t>
  </si>
  <si>
    <t>Interactive Wireless plus 1 Smoke Detector &amp; 1 Thermostat</t>
  </si>
  <si>
    <t>MMR Add ON/Ech</t>
  </si>
  <si>
    <t xml:space="preserve">FireFIghter </t>
  </si>
  <si>
    <t>TV Package:</t>
  </si>
  <si>
    <t>ATT Int Charge:</t>
  </si>
  <si>
    <t>DIRECTV (old pricing, non all included)</t>
  </si>
  <si>
    <t>Sports Fee Add On</t>
  </si>
  <si>
    <t>1000/20</t>
  </si>
  <si>
    <t>$199.99/month for one year</t>
  </si>
  <si>
    <t>$139.99/month for one year</t>
  </si>
  <si>
    <t>All In One 1000 Triple Play</t>
  </si>
  <si>
    <t>Standard 50 Triple Play</t>
  </si>
  <si>
    <t>$79.99/month for one year</t>
  </si>
  <si>
    <t>All In One 1000 Double Play</t>
  </si>
  <si>
    <t>Power  1000 Mbps Internet, Wireless Home Networking</t>
  </si>
  <si>
    <t>$189.99/month for one year</t>
  </si>
  <si>
    <t>Power 400 Mbps Internet, Wireless Home Networking</t>
  </si>
  <si>
    <t>$89.99/month for one year</t>
  </si>
  <si>
    <t>Standard 50 Double Play</t>
  </si>
  <si>
    <t>$69.99/month for one year</t>
  </si>
  <si>
    <t>25/3      10GB</t>
  </si>
  <si>
    <t>25/3    20GB</t>
  </si>
  <si>
    <t>25/3    30GB *Best Value</t>
  </si>
  <si>
    <t>30GB</t>
  </si>
  <si>
    <t>69.99</t>
  </si>
  <si>
    <t>25/3    50GB</t>
  </si>
  <si>
    <t>99.99</t>
  </si>
  <si>
    <t>50GB</t>
  </si>
  <si>
    <t>Rate Months 1-12</t>
  </si>
  <si>
    <t>ATT Bundle Activation</t>
  </si>
  <si>
    <t>1000MB</t>
  </si>
  <si>
    <t>Top 120</t>
  </si>
  <si>
    <t>Yes, 2 TVs (41.96)</t>
  </si>
  <si>
    <t>Yes, 3 TVs (46.95)</t>
  </si>
  <si>
    <t>Yes, 4+ TVs (51.94)</t>
  </si>
  <si>
    <t>Yes, 1 TV (16.98)</t>
  </si>
  <si>
    <t>400mbps</t>
  </si>
  <si>
    <t>1000mbps</t>
  </si>
  <si>
    <t>DTV Activation/Wireless Charge</t>
  </si>
  <si>
    <t>Converse Insurance - Chase Pingel</t>
  </si>
  <si>
    <t>Delicate Moving</t>
  </si>
  <si>
    <t>Wireless Monitoring, Remote Access, 1 Camera</t>
  </si>
  <si>
    <t>100mbps</t>
  </si>
  <si>
    <t>Flooring</t>
  </si>
  <si>
    <t>Peek's Flooring</t>
  </si>
  <si>
    <t>CallBox Storage</t>
  </si>
  <si>
    <t>25/5Mb</t>
  </si>
  <si>
    <t>100/5Mb</t>
  </si>
  <si>
    <t xml:space="preserve">200/10Mb </t>
  </si>
  <si>
    <t>NEST</t>
  </si>
  <si>
    <t>EERO</t>
  </si>
  <si>
    <t>HOME W/ WIFI</t>
  </si>
  <si>
    <t xml:space="preserve">HOME W/ WIFI - PRO </t>
  </si>
  <si>
    <t>Includes:</t>
  </si>
  <si>
    <t>Best for:</t>
  </si>
  <si>
    <t>People who work from home</t>
  </si>
  <si>
    <t>Advanced entertainment</t>
  </si>
  <si>
    <t>systems</t>
  </si>
  <si>
    <t>Ethernet-wired houses</t>
  </si>
  <si>
    <t>3-5 bedroom homes</t>
  </si>
  <si>
    <t>1 eero + 2 beacons</t>
  </si>
  <si>
    <t>2-4 bedroom homes</t>
  </si>
  <si>
    <t>Typical Internet User</t>
  </si>
  <si>
    <t>Light streaming/gaming</t>
  </si>
  <si>
    <t>3 eero</t>
  </si>
  <si>
    <t>Callbox Storage</t>
  </si>
  <si>
    <t>&gt; Optimizes Wi-Fi in home</t>
  </si>
  <si>
    <t>&gt; Connects to app on smartphone</t>
  </si>
  <si>
    <t>&gt; Able to see network speed and which devices are connected</t>
  </si>
  <si>
    <t xml:space="preserve">&gt; Prevents bugs and viruses from reaching your computer </t>
  </si>
  <si>
    <t xml:space="preserve">&gt; Can set parental controls or set schedules for children's devices </t>
  </si>
  <si>
    <t>&gt; Has nightlight</t>
  </si>
  <si>
    <t>&gt; Can dedicate bandwidth to smart home devices</t>
  </si>
  <si>
    <t>Nest Detect</t>
  </si>
  <si>
    <t>Nest Tag</t>
  </si>
  <si>
    <t>Nest Connect</t>
  </si>
  <si>
    <t>Nest Cam IQ Outdoor</t>
  </si>
  <si>
    <t>Nest Thermostat E Steel Plate</t>
  </si>
  <si>
    <t>Nest Cam IQ Outdoor (2 pack)</t>
  </si>
  <si>
    <t>Nest Thermostat E</t>
  </si>
  <si>
    <t>Nest Thermostat E (2 pack)</t>
  </si>
  <si>
    <t>**All Nest Thermostats are 3rd Generation**</t>
  </si>
  <si>
    <t>Nest Learning Thermostat (Stainless Steel, Copper, Black, or White)</t>
  </si>
  <si>
    <t>Nest Learning Thermostat (2 pack of any color)</t>
  </si>
  <si>
    <t>Nest Cam Outdoor</t>
  </si>
  <si>
    <t>$348/$676/$994</t>
  </si>
  <si>
    <t xml:space="preserve">Nest Cam IQ Indoor </t>
  </si>
  <si>
    <t>Nest Cam IQ Indoor (2 pack)</t>
  </si>
  <si>
    <t>Nest Cam Outdoor Pack (2pk/4pk/6pk)</t>
  </si>
  <si>
    <t>Nest Cam Indoor (1 cam/3pk/5pk)</t>
  </si>
  <si>
    <t>DO NOT DISCOUNT NEST PRODUCTS</t>
  </si>
  <si>
    <t>25 Mbps</t>
  </si>
  <si>
    <t>50 Mbps</t>
  </si>
  <si>
    <t>Service</t>
  </si>
  <si>
    <t>No Fee w/ VoIP</t>
  </si>
  <si>
    <t>One Time Fee Exemption</t>
  </si>
  <si>
    <t>Input</t>
  </si>
  <si>
    <t xml:space="preserve">Input </t>
  </si>
  <si>
    <t>2 Yr. Locked Price</t>
  </si>
  <si>
    <t>&gt; Install is free when bundled with phone</t>
  </si>
  <si>
    <t>ADS Service Areas</t>
  </si>
  <si>
    <t>100MB</t>
  </si>
  <si>
    <t>Centerpoint</t>
  </si>
  <si>
    <t>TNMP</t>
  </si>
  <si>
    <t>AEP</t>
  </si>
  <si>
    <t xml:space="preserve">Frontier Premier 12 Green+ </t>
  </si>
  <si>
    <t xml:space="preserve">Frontier Premier 24 Green+ </t>
  </si>
  <si>
    <t>Frontier Premier 36 Green+</t>
  </si>
  <si>
    <t>Your plan is called  Frontier Premier 12 Green+. This plan has an energy rate of 4.70 cents per kilowatt-hour with a monthly base charge of $5.95. American Electric Power monthly charges of $9.00/month and 4.3840 cents per KWh will be passed through without markup. Based on an average usage of, for example, 2000 KWh per month, your rate will be 9.8 cents per KWh. This rate includes all of the charges we just mentioned which are the energy charge, monthly base fee and all TDSP pass through charges. The term of your contract is 12 months. There is an early termination fee of $150, if you switch retail electric providers before the end of this term. Please confirm that you agree to the terms of this plan?</t>
  </si>
  <si>
    <t>Your plan is called Frontier Premier 24 Green+. This plan has an energy rate of 4.70 cents per kilowatt-hour with a monthly base charge of $5.95. American Electric Power monthly charges of $9.00/month and 4.3840 cents per KWh will be passed through without markup. Based on an average usage of, for example, 2000 KWh per month, your rate will be 9.8 cents per KWh. This rate includes all of the charges we just mentioned which are the energy charge, monthly base fee and all TDSP pass through charges. The term of your contract is 24 months. There is an early termination fee of $175, if you switch retail electric providers before the end of this term. Please confirm that you agree to the terms of this plan?</t>
  </si>
  <si>
    <t>Your plan is called Frontier Premier 36 Green+. This plan has an energy rate of 5.80 cents per kilowatt-hour with a monthly base charge of $5.95. American Electric Power monthly charges of $9.00/month and 4.3840 cents per KWh will be passed through without markup. Based on an average usage of, for example, 2000 KWh per month, your rate will be 10.9 cents per KWh. This rate includes all of the charges we just mentioned which are the energy charge, monthly base fee and all TDSP pass through charges. The term of your contract is 36 months. There is an early termination fee of $250, if you switch retail electric providers before the end of this term. Please confirm that you agree to the terms of this plan?</t>
  </si>
  <si>
    <t>$199/$497/$815</t>
  </si>
  <si>
    <t>Nest Protect [Smoke/CO2] (White - Wired or Battery)</t>
  </si>
  <si>
    <t>Nest Protect [Smoke/CO2] (White - Wired or Battery, 3 pack)</t>
  </si>
  <si>
    <t>Nest Protect [Smoke/CO2] (White - Wired or Battery, 6 pack)</t>
  </si>
  <si>
    <t>$489 + $10 shipping</t>
  </si>
  <si>
    <t>$389 + $10 shipping</t>
  </si>
  <si>
    <t>Protect America - Plans</t>
  </si>
  <si>
    <t xml:space="preserve">Copper                                                                           </t>
  </si>
  <si>
    <t>* 3 Door/Window Sensors</t>
  </si>
  <si>
    <t>* 1 Motion Detector</t>
  </si>
  <si>
    <t>Bronze</t>
  </si>
  <si>
    <t>* 6 Door/Window Sensors</t>
  </si>
  <si>
    <t>Silver</t>
  </si>
  <si>
    <t>* 9 Door/Window Sensors</t>
  </si>
  <si>
    <t>Gold</t>
  </si>
  <si>
    <t>Platinum</t>
  </si>
  <si>
    <t>* 11 Door/Window Sensors</t>
  </si>
  <si>
    <t>* 14 Door/Window Sensors</t>
  </si>
  <si>
    <t>* GE Control Panel</t>
  </si>
  <si>
    <t>* Battery Backup</t>
  </si>
  <si>
    <t>* 3 Window Decals</t>
  </si>
  <si>
    <t xml:space="preserve">* 1 Yard Sign </t>
  </si>
  <si>
    <t>Additional Equipment</t>
  </si>
  <si>
    <t>Contact</t>
  </si>
  <si>
    <t xml:space="preserve">Garage </t>
  </si>
  <si>
    <t>Sensor</t>
  </si>
  <si>
    <t>Motion</t>
  </si>
  <si>
    <t>Detector</t>
  </si>
  <si>
    <t>Glass Break</t>
  </si>
  <si>
    <t>Solar Light</t>
  </si>
  <si>
    <t xml:space="preserve">Key Chain </t>
  </si>
  <si>
    <t>Remote</t>
  </si>
  <si>
    <t>or Bracelet</t>
  </si>
  <si>
    <t>Talking Keypad</t>
  </si>
  <si>
    <t>Talking Touchscreen</t>
  </si>
  <si>
    <t>Smoke Detector</t>
  </si>
  <si>
    <t>Carbon Monoxide</t>
  </si>
  <si>
    <t>Flood Sensor</t>
  </si>
  <si>
    <t xml:space="preserve">Low Temperature </t>
  </si>
  <si>
    <t>1 Indoor Camera</t>
  </si>
  <si>
    <t>2+ Indoor Cameras</t>
  </si>
  <si>
    <t>GPS Tracker</t>
  </si>
  <si>
    <t>Based in Austin, TX</t>
  </si>
  <si>
    <t>Up to $1500 of free equipment, just pay taxes upfront</t>
  </si>
  <si>
    <t>Able to talk to representative when installing for any questions</t>
  </si>
  <si>
    <t>Shipping Costs</t>
  </si>
  <si>
    <t>Ground Shipping (4-7 days)                            $19.95</t>
  </si>
  <si>
    <t>2 Day Shipping                                                     $29.95</t>
  </si>
  <si>
    <t>Overnight Shipping                                           $49.95</t>
  </si>
  <si>
    <t xml:space="preserve">                     1 Nest Guard, 2 Nest Detect, 2 Nest Tags</t>
  </si>
  <si>
    <t>NEST/EERO PACKAGES</t>
  </si>
  <si>
    <t xml:space="preserve">                     Nest Cam Outdoor Camera, Nest Guard, 2 Nest Detect, 2 Nest Tags</t>
  </si>
  <si>
    <t xml:space="preserve">Nest Protection Pack                                                                                                                                          $584                                                                </t>
  </si>
  <si>
    <t>Eero Nest Pack                                                                                                                                                      $470</t>
  </si>
  <si>
    <t xml:space="preserve">                     Nest Thermostat E, Eero + 2 Beacons</t>
  </si>
  <si>
    <t>Nest Starter Pack                                                                                                                                                  $499</t>
  </si>
  <si>
    <t xml:space="preserve">                     Nest Cam Outdoor Camera, Nest Cam Indoor IQ</t>
  </si>
  <si>
    <t>Nest Safety Pack                                                                                                                                                   $415</t>
  </si>
  <si>
    <t>Nest Eero Outdoor Pack                                                                                                                                    $498</t>
  </si>
  <si>
    <t xml:space="preserve">                     Nest Cam Outdoor Camera, Eero + 2 Beacons</t>
  </si>
  <si>
    <t>Nest Eero Protection Pack                                                                                                                               $999</t>
  </si>
  <si>
    <t xml:space="preserve">                     Nest Cam Outdoor Camera, Nest Guard, 2 Nest Detect, 2 Nest Tags, 3 Eeros</t>
  </si>
  <si>
    <t>First 3 Months</t>
  </si>
  <si>
    <t>3+ Months</t>
  </si>
  <si>
    <t>Plan</t>
  </si>
  <si>
    <t>Bronze 12</t>
  </si>
  <si>
    <t>Silver 12</t>
  </si>
  <si>
    <t>Gold 12</t>
  </si>
  <si>
    <t>Silver 25</t>
  </si>
  <si>
    <t>Gold 30</t>
  </si>
  <si>
    <t>Gold 50</t>
  </si>
  <si>
    <t>Platinum 100</t>
  </si>
  <si>
    <t>Speed (Mbps)</t>
  </si>
  <si>
    <t>Bronze 12 (360p)</t>
  </si>
  <si>
    <t>Silver 12 (480p)</t>
  </si>
  <si>
    <t>Gold 12 (720p)</t>
  </si>
  <si>
    <t>Silver 25 (480p)</t>
  </si>
  <si>
    <t>Gold 30 (720p)</t>
  </si>
  <si>
    <t>Gold 50 (720p)</t>
  </si>
  <si>
    <t>Platinum 100 (1080p)</t>
  </si>
  <si>
    <t>&gt; Installation Fee is not known until we place order; varies by location</t>
  </si>
  <si>
    <t>Self-Installed, Fully Wireless System</t>
  </si>
  <si>
    <t>*MUST HAVE A POTS LINE NOT A VOIP*</t>
  </si>
  <si>
    <t>Lamp (10)</t>
  </si>
  <si>
    <t>Socket Rocket (10)</t>
  </si>
  <si>
    <t>Extra Siren (10)</t>
  </si>
  <si>
    <t>Mini Keypad</t>
  </si>
  <si>
    <t>Medical Pendant</t>
  </si>
  <si>
    <t>Your plan is called Frontier Premier 12 Green+. This plan has an energy rate of 4.40 cents per kilowatt-hour with a monthly base charge of $5.95/month. Oncor Energy Delivery monthly charges of $3.49/month and 3.6971 cents per KWh will be passed through without markup. Based on an average usage of, for example, 2000 KWh per month, your rate will be 8.5 cents per KWh. This rate includes all of the charges we just mentioned which are the energy charge, monthly base fee and all TDSP pass through charges. The term of your contract is 12 months. There is an early termination fee of $150, if you switch retail electric providers before the end of this term. Please confirm that you agree to the terms of this plan?</t>
  </si>
  <si>
    <t>Your plan is called Frontier Premier 24 Green+. This plan has an energy rate of 4.40 cents per kilowatt-hour with a monthly base charge of $5.95. Oncor Energy Delivery monthly charges of $3.49/month and 3.9671 cents per KWh will be passed through without markup. Based on an average usage of, for example, 2000 KWh per month, your rate will be 8.5 cents per KWh. This rate includes all of the charges we just mentioned which are the energy charge, monthly base fee and all TDSP pass through charges. The term of your contract is 24 months. There is an early termination fee of $175, if you switch retail electric providers before the end of this term. Please confirm that you agree to the terms of this plan?</t>
  </si>
  <si>
    <t>Your plan is called Frontier Premier 36 Green+. This plan has an energy rate of 5.20 cents per kilowatt-hour with a monthly base charge of $5.95. Oncor Energy Delivery monthly charges of $3.49/month and 3.6971 cents per KWh will be passed through without markup. Based on an average usage of, for example, 2000 KWh per month, your rate will be 9.1 cents per KWh. This rate includes all of the charges we just mentioned which are the energy charge, monthly base fee and all TDSP pass through charges. The term of your contract is 36 months. There is an early termination fee of $250, if you switch retail electric providers before the end of this term. Please confirm that you agree to the terms of this plan?</t>
  </si>
  <si>
    <t>Your plan is called Frontier Premier 12 Green+. This plan has an energy rate of 4.90 cents per kilowatt-hour with a monthly base charge of $5.95/month. Centerpoint Energy monthly charges of $5.47/month and 4.5913 cents per KWh will be passed through without markup. Based on an average usage of, for example, 2000 KWh per month, your rate will be 9.8 cents per KWh. This rate includes all of the charges we just mentioned which are the energy charge, monthly base fee and all TDSP pass through charges. The term of your contract is 12 months. There is an early termination fee of $150, if you switch retail electric providers before the end of this term. Please confirm that you agree to the terms of this plan?</t>
  </si>
  <si>
    <t>Your plan is called Frontier Premier 24 Green+. This plan has an energy rate of  4.80 cents per kilowatt-hour with a monthly base charge of $5.95. Centerpoint Energy monthly charges of $5.47/month and 4.5913 cents per KWh will be passed through without markup. Based on an average usage of, for example, 2000 KWh per month, your rate will be 9.7 cents per KWh. This rate includes all of the charges we just mentioned which are the energy charge, monthly base fee and all TDSP pass through charges. The term of your contract is 24 months. There is an early termination fee of $175, if you switch retail electric providers before the end of this term. Please confirm that you agree to the terms of this plan?</t>
  </si>
  <si>
    <t>Your plan is called Frontier Premier 36 Green+. This plan has an energy rate of 5.80 cents per kilowatt-hour with a monthly base charge of $5.95. Centerpoint Energy monthly charges of $5.47/month and 4.5913 cents per KWh will be passed through without markup. Based on an average usage of, for example, 2000 KWh per month, your rate will be 10.5 cents per KWh. This rate includes all of the charges we just mentioned which are the energy charge, monthly base fee and all TDSP pass through charges. The term of your contract is 36 months. There is an early termination fee of $250, if you switch retail electric providers before the end of this term. Please confirm that you agree to the terms of this plan?</t>
  </si>
  <si>
    <t>Your plan is called  Frontier Premier 12 Green+. This plan has an energy rate of 4.70 cents per kilowatt-hour with a monthly base charge of $5.95. Texas New Mexico Power monthly charges of $8.65/month and 3.9126 cents per KWh will be passed through without markup. Based on an average usage of, for example, 2000 KWh per month, your rate will be 8.9 cents per KWh. This rate includes all of the charges we just mentioned which are the energy charge, monthly base fee and all TDSP pass through charges. The term of your contract is 12 months. There is an early termination fee of $150, if you switch retail electric providers before the end of this term. Please confirm that you agree to the terms of this plan?</t>
  </si>
  <si>
    <t>Your plan is called Frontier Premier 24 Green+. This plan has an energy rate of 4.70 cents per kilowatt-hour with a monthly base charge of $5.95. Texas New Mexico Power monthly charges of $8.65/month and 3.9126 per KWh will be passed through without markup. Based on an average usage of, for example, 2000 KWh per month, your rate will be 8.9 cents per KWh. This rate includes all of the charges we just mentioned which are the energy charge, monthly base fee and all TDSP pass through charges. The term of your contract is 24 months. There is an early termination fee of $175, if you switch retail electric providers before the end of this term. Please confirm that you agree to the terms of this plan?</t>
  </si>
  <si>
    <t>Your plan is called Frontier Premier 36 Green+. This plan has an energy rate of 5.80 cents per kilowatt-hour with a monthly base charge of $5.95. Texas New Mexico Power monthly charges of $8.65/month and 3.9126 cents per KWh will be passed through without markup. Based on an average usage of, for example, 2000 KWh per month, your rate will be 9.8 cents per KWh. This rate includes all of the charges we just mentioned which are the energy charge, monthly base fee and all TDSP pass through charges. The term of your contract is 36 months. There is an early termination fee of $250, if you switch retail electric providers before the end of this term. Please confirm that you agree to the terms of this plan?</t>
  </si>
  <si>
    <t>Price for Life</t>
  </si>
  <si>
    <t>Output</t>
  </si>
  <si>
    <t>Installation Cost</t>
  </si>
  <si>
    <t>Check Box</t>
  </si>
  <si>
    <t>Modem Cost</t>
  </si>
  <si>
    <t>Purchase Modem</t>
  </si>
  <si>
    <t>Professional Installation</t>
  </si>
  <si>
    <t>-If purchasing MODEM, $100 on first bill, after that Total-100 for each month</t>
  </si>
  <si>
    <t>-If leasing MODEM, $10 per month</t>
  </si>
  <si>
    <t>-If self INSTALLATION $14.99 for Shipping and Handling of equipment.</t>
  </si>
  <si>
    <t>-If professional INSTALLATION $60</t>
  </si>
  <si>
    <t>SimplySold</t>
  </si>
  <si>
    <t>Activation Fee</t>
  </si>
  <si>
    <t>400mb Upgrade</t>
  </si>
  <si>
    <t>Number of Receivers</t>
  </si>
  <si>
    <t>Price upfront for Recievers</t>
  </si>
  <si>
    <t>Veteran Energy</t>
  </si>
  <si>
    <t>Provider</t>
  </si>
  <si>
    <t>ETF</t>
  </si>
  <si>
    <t>Tri-Eagle Energy</t>
  </si>
  <si>
    <t>Base Charge</t>
  </si>
  <si>
    <t>&lt;1000 kwh, $9.95</t>
  </si>
  <si>
    <t>$20/month left in contract</t>
  </si>
  <si>
    <t>Value TV (225+)</t>
  </si>
  <si>
    <t>400MB</t>
  </si>
  <si>
    <t>Altice Boxes</t>
  </si>
  <si>
    <t>Movie Tier</t>
  </si>
  <si>
    <t>Family Tier</t>
  </si>
  <si>
    <t>Sports Tier</t>
  </si>
  <si>
    <t>**All Veteran plans are Secure Plans**</t>
  </si>
  <si>
    <t>MyCSP</t>
  </si>
  <si>
    <t>▪</t>
  </si>
  <si>
    <t>"Google of AT&amp;T" - Resource for anything you need (Promos, Competition Data, Coverage Map, How To, etc.)</t>
  </si>
  <si>
    <t>MST</t>
  </si>
  <si>
    <t>(My Customer Service Port)</t>
  </si>
  <si>
    <t>(Mobile Sales Tool)</t>
  </si>
  <si>
    <t>Tools to help guide you (Build Rate Plans, Compare Phones, Trade-Ins, NEXT Pricing, etc.)</t>
  </si>
  <si>
    <t>MyCSP &amp; MST are two great resources to help you with Wireless and More:</t>
  </si>
  <si>
    <t xml:space="preserve">ATT MOBILITY               </t>
  </si>
  <si>
    <t>Popular Smartphones with NEXT Pricing</t>
  </si>
  <si>
    <t>Rate Plan Comparison</t>
  </si>
  <si>
    <t>Carrier Competitive Pricing</t>
  </si>
  <si>
    <t xml:space="preserve">$150 - 12mo. / $250 - 24mo. / $300 - 36, 48, 60 mo. </t>
  </si>
  <si>
    <t>1000/1000</t>
  </si>
  <si>
    <t>&gt; $10 Equipment rental is included in the price (includes router + SM radio)</t>
  </si>
  <si>
    <t>&gt; NO CONTRACT</t>
  </si>
  <si>
    <t>Internet 50</t>
  </si>
  <si>
    <t>Internet 25</t>
  </si>
  <si>
    <t>Internet 25 + Phone</t>
  </si>
  <si>
    <t>Internet 50 + Phone</t>
  </si>
  <si>
    <t>25 Mbps + Phone</t>
  </si>
  <si>
    <t>50 Mbps + Phone</t>
  </si>
  <si>
    <t>(includes equipment)</t>
  </si>
  <si>
    <t>Internet Fee</t>
  </si>
  <si>
    <t>ATT Fee</t>
  </si>
  <si>
    <t>Gigablast 1000</t>
  </si>
  <si>
    <t xml:space="preserve">Gigablast 1000 </t>
  </si>
  <si>
    <t>Ba</t>
  </si>
  <si>
    <t>Solar Panels</t>
  </si>
  <si>
    <t xml:space="preserve">Freedom Solar </t>
  </si>
  <si>
    <t>Freedom Solar</t>
  </si>
  <si>
    <t xml:space="preserve">Equipment </t>
  </si>
  <si>
    <t>Monthly Fees</t>
  </si>
  <si>
    <t>Best Local Offers</t>
  </si>
  <si>
    <t>Constellation</t>
  </si>
  <si>
    <t>Cirro Energy</t>
  </si>
  <si>
    <t>Pulse Power</t>
  </si>
  <si>
    <t>Spark Energy</t>
  </si>
  <si>
    <t>Power of Texas</t>
  </si>
  <si>
    <t>Entrust Energy</t>
  </si>
  <si>
    <t>APG&amp;E</t>
  </si>
  <si>
    <t>TXU Energy</t>
  </si>
  <si>
    <t>Just Energy</t>
  </si>
  <si>
    <t>Reliant Energy</t>
  </si>
  <si>
    <t>Green Mountain Energy</t>
  </si>
  <si>
    <t>www.bestlocaloffers.org/360-home</t>
  </si>
  <si>
    <t>$25 per plan</t>
  </si>
  <si>
    <t>&lt;- Modem/Router Fee</t>
  </si>
  <si>
    <t>15M</t>
  </si>
  <si>
    <t>20M-39M</t>
  </si>
  <si>
    <t>40M-99M</t>
  </si>
  <si>
    <t>100M-199M</t>
  </si>
  <si>
    <t>Chariot Energy</t>
  </si>
  <si>
    <t>(use this one) All Included ATT Internet Pricing</t>
  </si>
  <si>
    <t>Box</t>
  </si>
  <si>
    <t>Optimo Mas</t>
  </si>
  <si>
    <t>(first year input)</t>
  </si>
  <si>
    <t>(Internet Input)</t>
  </si>
  <si>
    <t>(Boxes input)</t>
  </si>
  <si>
    <t>Up front fee</t>
  </si>
  <si>
    <t>$120 hold on every order. (Will be credited back within 7 days)</t>
  </si>
  <si>
    <t>Gets access to AT&amp;T Thanks APP. (buy-one-get-one movie tickets, deals on dining, entertainment,etc)</t>
  </si>
  <si>
    <t>12 month = $150</t>
  </si>
  <si>
    <t>24 month = $200</t>
  </si>
  <si>
    <t>36 month = $75</t>
  </si>
  <si>
    <t>**All Veteran plans are Secure**</t>
  </si>
  <si>
    <t>Internet speed</t>
  </si>
  <si>
    <t>AT&amp;T TV Channel Lineup</t>
  </si>
  <si>
    <t>DirecTV Channel Lineups</t>
  </si>
  <si>
    <t>200mbps</t>
  </si>
  <si>
    <t>600mbps</t>
  </si>
  <si>
    <t>Choice(10)</t>
  </si>
  <si>
    <t>Extra (140)</t>
  </si>
  <si>
    <t xml:space="preserve">Frontier </t>
  </si>
  <si>
    <t>Charter / Spectrum</t>
  </si>
  <si>
    <t>50  MBPS</t>
  </si>
  <si>
    <t>100 MBPS</t>
  </si>
  <si>
    <t>500 MBPS</t>
  </si>
  <si>
    <t>1000 MBPS</t>
  </si>
  <si>
    <t>25 MBPS</t>
  </si>
  <si>
    <t>200 MBPS</t>
  </si>
  <si>
    <t>300 MBPS</t>
  </si>
  <si>
    <t>600 MBPS</t>
  </si>
  <si>
    <t>400 MBPS</t>
  </si>
  <si>
    <t>940 MBPS</t>
  </si>
  <si>
    <t>ATT Internet</t>
  </si>
  <si>
    <t>50 MBPS</t>
  </si>
  <si>
    <t>AT&amp;T TV Notes &amp; Sales Tips</t>
  </si>
  <si>
    <t>Contract:</t>
  </si>
  <si>
    <t>Promos</t>
  </si>
  <si>
    <t>$10 Off for 12 months TV overlay Offer (DIRECTV, U-Verse TV, AT&amp;T TV)</t>
  </si>
  <si>
    <t xml:space="preserve">ETF: </t>
  </si>
  <si>
    <t xml:space="preserve">Misc Info. </t>
  </si>
  <si>
    <t>$15/month left in contract</t>
  </si>
  <si>
    <t>Requires 25 MBPS internet (can be any provider)</t>
  </si>
  <si>
    <t>CC Required:</t>
  </si>
  <si>
    <t>YES</t>
  </si>
  <si>
    <t>Max 2 accounts per person</t>
  </si>
  <si>
    <t>YES - AUTOPAY REQUIRED</t>
  </si>
  <si>
    <t>HBO MAX included for 12 month with CHOICE package or above</t>
  </si>
  <si>
    <t xml:space="preserve">Cost of Streaming </t>
  </si>
  <si>
    <t>Cost of Streaming</t>
  </si>
  <si>
    <t>Netflix</t>
  </si>
  <si>
    <t>Disney+</t>
  </si>
  <si>
    <t>Amazon Prime</t>
  </si>
  <si>
    <t>Hulu</t>
  </si>
  <si>
    <t>per month</t>
  </si>
  <si>
    <t>limited closer coupons available (ask Andrew for current details)</t>
  </si>
  <si>
    <t>HBO Max, Starz, Showtime, and Cinemax is $0.00 for 3 month(s) and $50.99/mo. beginning month 4</t>
  </si>
  <si>
    <t>HBO Max Free for 12 Months on Choice package or higher</t>
  </si>
  <si>
    <t>Showtime, Starz and EPIX included for 3 mos and auto-renew thereafter at then prevailing rate (currently $28/mo.)</t>
  </si>
  <si>
    <t>$5 autopay/paperless billing discount not reflected in calculator ---PLEASE GO OVER WITH CLIENT</t>
  </si>
  <si>
    <t>Contract: No Contract</t>
  </si>
  <si>
    <t>ETF: N/A</t>
  </si>
  <si>
    <t>CC Required: No</t>
  </si>
  <si>
    <t>No install fee for CSI (customer self install)</t>
  </si>
  <si>
    <t>$99 install fee for professional install UNLESS CSI is not available and is REQUIRED</t>
  </si>
  <si>
    <t>Pricing INCLUDES the $10 monthly equipment fee</t>
  </si>
  <si>
    <t>customers may NOT provide their own equipment to eliminate the $10/month (plus tax) equipment fee.</t>
  </si>
  <si>
    <t>CAN TRANSFER</t>
  </si>
  <si>
    <t>Hulu Live</t>
  </si>
  <si>
    <t>Youtube TV</t>
  </si>
  <si>
    <t>Sling</t>
  </si>
  <si>
    <t>Prime Video</t>
  </si>
  <si>
    <t>100mb</t>
  </si>
  <si>
    <t>200mb</t>
  </si>
  <si>
    <t>600mb</t>
  </si>
  <si>
    <t>200M to 940M+</t>
  </si>
  <si>
    <t>Unlimited Home Phone</t>
  </si>
  <si>
    <t>Choice (10)</t>
  </si>
  <si>
    <t>Basic(10)</t>
  </si>
  <si>
    <t>Starter/Saver (140)</t>
  </si>
  <si>
    <t>Premier (220 + Netflix or HBO)</t>
  </si>
  <si>
    <t>Starter Latino(200+)</t>
  </si>
  <si>
    <t>Choice Latino (10)</t>
  </si>
  <si>
    <t xml:space="preserve">2 HD </t>
  </si>
  <si>
    <t xml:space="preserve">3 HD </t>
  </si>
  <si>
    <t>Total Recievers</t>
  </si>
  <si>
    <t>Please note that if the pricing amount returns "#VALUE!" that means the TV/Internet combination you selected is not available to be ordered.  Please refer to the notes to see which internet speeds are available for each package</t>
  </si>
  <si>
    <t>Starter/Saver</t>
  </si>
  <si>
    <t>Double Play Yr2</t>
  </si>
  <si>
    <t>Starter/Saver(140)</t>
  </si>
  <si>
    <t>Preferred(220)</t>
  </si>
  <si>
    <t>Premier(220 + Netflix or HBO</t>
  </si>
  <si>
    <t>Mas Latino</t>
  </si>
  <si>
    <t>Mas Ultra</t>
  </si>
  <si>
    <t>Lo Maximo</t>
  </si>
  <si>
    <t>TV packages with the corresponding internet speeds</t>
  </si>
  <si>
    <t>$15 One Time Charge is for the self-install contactless delivery that ships 3-5 business days.  $25 for expedited shipment (1-2 business days).</t>
  </si>
  <si>
    <t>Saver Latino (200)</t>
  </si>
  <si>
    <t>300MB</t>
  </si>
  <si>
    <t>1000MBPS</t>
  </si>
  <si>
    <t>SuddenLink Notes &amp; Sales Tips</t>
  </si>
  <si>
    <t xml:space="preserve">&gt;100mb Internet has 250GB data plan. 400MB+ are unlimited. </t>
  </si>
  <si>
    <t>&gt;Altice Boxes only available on Double/Triple Play - connects TV + Internet + streaming apps</t>
  </si>
  <si>
    <t>&gt;DVR Boxes only available on Standalone TV</t>
  </si>
  <si>
    <t>Select TV (290+)</t>
  </si>
  <si>
    <t>Premier TV (340+)</t>
  </si>
  <si>
    <t>Select TV(290+)</t>
  </si>
  <si>
    <t>Premier TV(340+)</t>
  </si>
  <si>
    <t xml:space="preserve">Upfront Costs (first month's bill + install fee) </t>
  </si>
  <si>
    <t>ALL Prices include $5 autopay/paperless bill discount</t>
  </si>
  <si>
    <t>Altice One Mini's</t>
  </si>
  <si>
    <t>&gt;IF BUNDLED TV/INT Altice One Mini's are only option for devices $10/each</t>
  </si>
  <si>
    <t>DVR - Stand Alone TV Only</t>
  </si>
  <si>
    <t>&gt;STAND ALONE TV - DVR BOXES $17 each &amp; HD BOXES $11 each</t>
  </si>
  <si>
    <t>Bulb</t>
  </si>
  <si>
    <t>Month to Month</t>
  </si>
  <si>
    <t>T</t>
  </si>
  <si>
    <t>N</t>
  </si>
  <si>
    <t>M</t>
  </si>
  <si>
    <t>P</t>
  </si>
  <si>
    <t>$9.99 regional sports fee added to final bill which is INCLUDED in quoted price</t>
  </si>
  <si>
    <t>A</t>
  </si>
  <si>
    <t>E</t>
  </si>
  <si>
    <t>C</t>
  </si>
  <si>
    <t>R</t>
  </si>
  <si>
    <t>L</t>
  </si>
  <si>
    <t>O</t>
  </si>
  <si>
    <t>H</t>
  </si>
  <si>
    <t>ONCOR</t>
  </si>
  <si>
    <t xml:space="preserve"> CENTERPOINT</t>
  </si>
  <si>
    <t>MONTH TO MONTH PLANS - https://www.texaselectricityratings.com/affiliates/360-home</t>
  </si>
  <si>
    <t>Chariot Gas</t>
  </si>
  <si>
    <t xml:space="preserve">300 MBPS </t>
  </si>
  <si>
    <t>500MB</t>
  </si>
  <si>
    <t>OPTIONAL $5 DISCOUNT FOR AUTOPAY</t>
  </si>
  <si>
    <t>100MBPS or under</t>
  </si>
  <si>
    <t>100MBPS or Under</t>
  </si>
  <si>
    <t>Contract: No Contract - 3 year PRICE LOCK with GIG</t>
  </si>
  <si>
    <t>$100 Visa reward card with GIG - $50 Visa reward card with 500mbps</t>
  </si>
  <si>
    <t>CC Required: Optional for $5 autopay discount</t>
  </si>
  <si>
    <t>Tomorrow Energy</t>
  </si>
  <si>
    <r>
      <rPr>
        <b/>
        <sz val="14"/>
        <color theme="1"/>
        <rFont val="Calibri"/>
        <family val="2"/>
        <scheme val="minor"/>
      </rPr>
      <t>PRICING SHEET DOES NOT INCLUDE TAXES.</t>
    </r>
    <r>
      <rPr>
        <sz val="11"/>
        <color theme="1"/>
        <rFont val="Calibri"/>
        <family val="2"/>
        <scheme val="minor"/>
      </rPr>
      <t xml:space="preserve"> 1 year price lock, No Contract, No Early Termination Fee. $85 Activation Fee includes a Professional Technician Full Install. $10 Monthly Wi-Fi Router Service Fee (mandatory) .Broadband surcharge of $3.99 monthly supports continued maintenance of their local network infrastructure used to provide Internet Service.  </t>
    </r>
    <r>
      <rPr>
        <b/>
        <sz val="14"/>
        <color theme="1"/>
        <rFont val="Calibri"/>
        <family val="2"/>
        <scheme val="minor"/>
      </rPr>
      <t>CAN TRANSFER SERVICE</t>
    </r>
  </si>
  <si>
    <t>1200mb</t>
  </si>
  <si>
    <t>50mbps</t>
  </si>
  <si>
    <t>1200mbps</t>
  </si>
  <si>
    <t>2000mbps</t>
  </si>
  <si>
    <t>50mb</t>
  </si>
  <si>
    <t>400mb</t>
  </si>
  <si>
    <t>Choice Latino</t>
  </si>
  <si>
    <t>Saver/Starter Latino</t>
  </si>
  <si>
    <t>Choice Latino(10)</t>
  </si>
  <si>
    <t>PRICING Includes $10/mo automatic payments and paperless billing discount for 12 months.  The 2000mbps offer is only for STAND ALONE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</si>
</sst>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quot;$&quot;#,##0.00\)"/>
    <numFmt numFmtId="166" formatCode="&quot;$&quot;#,##0.00_);[Red]\(&quot;$&quot;#,##0.00\)"/>
    <numFmt numFmtId="167" formatCode="_(&quot;$&quot;* #,##0.00_);_(&quot;$&quot;* \(#,##0.00\);_(&quot;$&quot;* &quot;-&quot;??_);_(@_)"/>
    <numFmt numFmtId="168" formatCode="&quot;$&quot;#,##0.00"/>
    <numFmt numFmtId="169" formatCode="&quot;$&quot;#,##0"/>
    <numFmt numFmtId="170" formatCode="_(&quot;$&quot;* #,##0_);_(&quot;$&quot;* \(#,##0\);_(&quot;$&quot;* &quot;-&quot;??_);_(@_)"/>
  </numFmts>
  <fonts count="74" x14ac:knownFonts="1">
    <font>
      <sz val="11"/>
      <color theme="1"/>
      <name val="Calibri"/>
      <family val="2"/>
      <scheme val="minor"/>
    </font>
    <font>
      <sz val="11"/>
      <color rgb="FF006100"/>
      <name val="Calibri"/>
      <family val="2"/>
      <scheme val="minor"/>
    </font>
    <font>
      <sz val="11"/>
      <color rgb="FF9C6500"/>
      <name val="Calibri"/>
      <family val="2"/>
      <scheme val="minor"/>
    </font>
    <font>
      <sz val="11"/>
      <name val="Calibri"/>
      <family val="2"/>
      <scheme val="minor"/>
    </font>
    <font>
      <sz val="20"/>
      <color theme="1"/>
      <name val="Calibri"/>
      <family val="2"/>
      <scheme val="minor"/>
    </font>
    <font>
      <sz val="24"/>
      <color rgb="FFFF0000"/>
      <name val="Calibri"/>
      <family val="2"/>
      <scheme val="minor"/>
    </font>
    <font>
      <sz val="24"/>
      <color theme="1"/>
      <name val="Calibri"/>
      <family val="2"/>
      <scheme val="minor"/>
    </font>
    <font>
      <sz val="24"/>
      <color theme="0"/>
      <name val="Calibri"/>
      <family val="2"/>
      <scheme val="minor"/>
    </font>
    <font>
      <sz val="11"/>
      <color rgb="FFFF0000"/>
      <name val="Calibri"/>
      <family val="2"/>
      <scheme val="minor"/>
    </font>
    <font>
      <sz val="11"/>
      <color theme="0"/>
      <name val="Calibri"/>
      <family val="2"/>
      <scheme val="minor"/>
    </font>
    <font>
      <sz val="11"/>
      <color rgb="FFFFFF00"/>
      <name val="Calibri"/>
      <family val="2"/>
      <scheme val="minor"/>
    </font>
    <font>
      <u/>
      <sz val="11"/>
      <color rgb="FFFFFF00"/>
      <name val="Calibri"/>
      <family val="2"/>
      <scheme val="minor"/>
    </font>
    <font>
      <sz val="11"/>
      <color theme="1" tint="0.14999847407452621"/>
      <name val="Calibri"/>
      <family val="2"/>
      <scheme val="minor"/>
    </font>
    <font>
      <b/>
      <u/>
      <sz val="11"/>
      <color theme="0"/>
      <name val="Calibri"/>
      <family val="2"/>
      <scheme val="minor"/>
    </font>
    <font>
      <u/>
      <sz val="9.9"/>
      <color theme="10"/>
      <name val="Calibri"/>
      <family val="2"/>
    </font>
    <font>
      <sz val="18"/>
      <name val="Calibri"/>
      <family val="2"/>
      <scheme val="minor"/>
    </font>
    <font>
      <b/>
      <sz val="16"/>
      <name val="Calibri"/>
      <family val="2"/>
      <scheme val="minor"/>
    </font>
    <font>
      <u/>
      <sz val="18"/>
      <color rgb="FFFFFF00"/>
      <name val="Calibri"/>
      <family val="2"/>
      <scheme val="minor"/>
    </font>
    <font>
      <sz val="11"/>
      <color theme="1"/>
      <name val="Calibri"/>
      <family val="2"/>
      <scheme val="minor"/>
    </font>
    <font>
      <b/>
      <sz val="11"/>
      <color theme="0"/>
      <name val="Calibri"/>
      <family val="2"/>
      <scheme val="minor"/>
    </font>
    <font>
      <sz val="8"/>
      <color rgb="FF000000"/>
      <name val="Tahoma"/>
      <family val="2"/>
    </font>
    <font>
      <sz val="10"/>
      <name val="Calibri"/>
      <family val="2"/>
      <scheme val="minor"/>
    </font>
    <font>
      <sz val="24"/>
      <name val="Calibri"/>
      <family val="2"/>
      <scheme val="minor"/>
    </font>
    <font>
      <u/>
      <sz val="11"/>
      <name val="Calibri"/>
      <family val="2"/>
      <scheme val="minor"/>
    </font>
    <font>
      <b/>
      <sz val="11"/>
      <color theme="1"/>
      <name val="Calibri"/>
      <family val="2"/>
      <scheme val="minor"/>
    </font>
    <font>
      <sz val="26"/>
      <color theme="1"/>
      <name val="Calibri"/>
      <family val="2"/>
      <scheme val="minor"/>
    </font>
    <font>
      <b/>
      <sz val="16"/>
      <color theme="1"/>
      <name val="Calibri"/>
      <family val="2"/>
      <scheme val="minor"/>
    </font>
    <font>
      <b/>
      <sz val="14"/>
      <color theme="1"/>
      <name val="Calibri"/>
      <family val="2"/>
      <scheme val="minor"/>
    </font>
    <font>
      <sz val="10"/>
      <name val="Arial"/>
      <family val="2"/>
    </font>
    <font>
      <sz val="9"/>
      <name val="Arial"/>
      <family val="2"/>
    </font>
    <font>
      <b/>
      <sz val="10"/>
      <name val="Arial"/>
      <family val="2"/>
    </font>
    <font>
      <b/>
      <sz val="9"/>
      <name val="Arial"/>
      <family val="2"/>
    </font>
    <font>
      <b/>
      <sz val="12"/>
      <name val="Arial"/>
      <family val="2"/>
    </font>
    <font>
      <b/>
      <sz val="14"/>
      <name val="Calibri"/>
      <family val="2"/>
      <scheme val="minor"/>
    </font>
    <font>
      <b/>
      <u/>
      <sz val="18"/>
      <name val="Calibri"/>
      <family val="2"/>
      <scheme val="minor"/>
    </font>
    <font>
      <b/>
      <u/>
      <sz val="12"/>
      <name val="Calibri"/>
      <family val="2"/>
    </font>
    <font>
      <i/>
      <sz val="11"/>
      <color theme="1"/>
      <name val="Calibri"/>
      <family val="2"/>
      <scheme val="minor"/>
    </font>
    <font>
      <b/>
      <sz val="12"/>
      <color theme="1"/>
      <name val="Calibri"/>
      <family val="2"/>
      <scheme val="minor"/>
    </font>
    <font>
      <b/>
      <i/>
      <sz val="11"/>
      <color theme="1"/>
      <name val="Calibri"/>
      <family val="2"/>
      <scheme val="minor"/>
    </font>
    <font>
      <sz val="11"/>
      <color theme="7" tint="0.79998168889431442"/>
      <name val="Calibri"/>
      <family val="2"/>
      <scheme val="minor"/>
    </font>
    <font>
      <sz val="14"/>
      <color theme="1"/>
      <name val="Calibri"/>
      <family val="2"/>
      <scheme val="minor"/>
    </font>
    <font>
      <sz val="12"/>
      <color theme="1"/>
      <name val="Calibri"/>
      <family val="2"/>
      <scheme val="minor"/>
    </font>
    <font>
      <b/>
      <sz val="26"/>
      <color theme="4"/>
      <name val="Calibri"/>
      <family val="2"/>
      <scheme val="minor"/>
    </font>
    <font>
      <sz val="18"/>
      <color theme="4"/>
      <name val="Calibri"/>
      <family val="2"/>
      <scheme val="minor"/>
    </font>
    <font>
      <b/>
      <u/>
      <sz val="16"/>
      <color rgb="FFFF0000"/>
      <name val="Calibri"/>
      <family val="2"/>
      <scheme val="minor"/>
    </font>
    <font>
      <b/>
      <u/>
      <sz val="16"/>
      <color theme="3" tint="-0.249977111117893"/>
      <name val="Calibri"/>
      <family val="2"/>
      <scheme val="minor"/>
    </font>
    <font>
      <i/>
      <sz val="11"/>
      <name val="Calibri"/>
      <family val="2"/>
      <scheme val="minor"/>
    </font>
    <font>
      <b/>
      <sz val="18"/>
      <color theme="1"/>
      <name val="Calibri"/>
      <family val="2"/>
      <scheme val="minor"/>
    </font>
    <font>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
      <b/>
      <u/>
      <sz val="24"/>
      <color theme="1"/>
      <name val="Calibri"/>
      <family val="2"/>
      <scheme val="minor"/>
    </font>
    <font>
      <sz val="18"/>
      <color theme="1"/>
      <name val="Calibri"/>
      <family val="2"/>
      <scheme val="minor"/>
    </font>
    <font>
      <b/>
      <sz val="24"/>
      <color theme="1"/>
      <name val="Calibri"/>
      <family val="2"/>
      <scheme val="minor"/>
    </font>
    <font>
      <sz val="10.5"/>
      <color theme="1"/>
      <name val="Calibri"/>
      <family val="2"/>
      <scheme val="minor"/>
    </font>
    <font>
      <sz val="22"/>
      <color theme="1"/>
      <name val="Calibri"/>
      <family val="2"/>
      <scheme val="minor"/>
    </font>
    <font>
      <u/>
      <sz val="11"/>
      <color theme="1"/>
      <name val="Calibri"/>
      <family val="2"/>
      <scheme val="minor"/>
    </font>
    <font>
      <b/>
      <u/>
      <sz val="11"/>
      <color theme="10"/>
      <name val="Calibri"/>
      <family val="2"/>
    </font>
    <font>
      <sz val="11"/>
      <color theme="1"/>
      <name val="Courier New"/>
      <family val="3"/>
    </font>
    <font>
      <b/>
      <sz val="22"/>
      <color theme="1"/>
      <name val="Calibri"/>
      <family val="2"/>
      <scheme val="minor"/>
    </font>
    <font>
      <b/>
      <u/>
      <sz val="12"/>
      <color theme="1"/>
      <name val="Calibri"/>
      <family val="2"/>
      <scheme val="minor"/>
    </font>
    <font>
      <b/>
      <u/>
      <sz val="11"/>
      <color theme="1"/>
      <name val="Calibri"/>
      <family val="2"/>
      <scheme val="minor"/>
    </font>
    <font>
      <sz val="12"/>
      <name val="Calibri"/>
      <family val="2"/>
      <scheme val="minor"/>
    </font>
    <font>
      <sz val="8"/>
      <name val="Calibri"/>
      <family val="2"/>
      <scheme val="minor"/>
    </font>
    <font>
      <b/>
      <sz val="12"/>
      <name val="Calibri"/>
      <family val="2"/>
      <scheme val="minor"/>
    </font>
    <font>
      <sz val="18"/>
      <color theme="0"/>
      <name val="Calibri"/>
      <family val="2"/>
      <scheme val="minor"/>
    </font>
    <font>
      <b/>
      <sz val="14"/>
      <color rgb="FFFF0000"/>
      <name val="Calibri"/>
      <family val="2"/>
      <scheme val="minor"/>
    </font>
    <font>
      <b/>
      <sz val="10"/>
      <color theme="1"/>
      <name val="Calibri"/>
      <family val="2"/>
      <scheme val="minor"/>
    </font>
    <font>
      <sz val="11"/>
      <color rgb="FF000000"/>
      <name val="Calibri"/>
      <family val="2"/>
      <scheme val="minor"/>
    </font>
    <font>
      <sz val="8"/>
      <color rgb="FF000000"/>
      <name val="Segoe UI"/>
      <family val="2"/>
    </font>
    <font>
      <sz val="16"/>
      <color theme="1"/>
      <name val="Calibri"/>
      <family val="2"/>
      <scheme val="minor"/>
    </font>
    <font>
      <b/>
      <sz val="20"/>
      <color theme="1"/>
      <name val="Calibri"/>
      <family val="2"/>
      <scheme val="minor"/>
    </font>
    <font>
      <b/>
      <sz val="18"/>
      <name val="Calibri"/>
      <family val="2"/>
      <scheme val="minor"/>
    </font>
  </fonts>
  <fills count="62">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F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rgb="FF0000FF"/>
        <bgColor indexed="64"/>
      </patternFill>
    </fill>
    <fill>
      <patternFill patternType="solid">
        <fgColor rgb="FFFF990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theme="9"/>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FF99"/>
        <bgColor indexed="64"/>
      </patternFill>
    </fill>
    <fill>
      <patternFill patternType="solid">
        <fgColor theme="9" tint="-0.249977111117893"/>
        <bgColor indexed="64"/>
      </patternFill>
    </fill>
    <fill>
      <patternFill patternType="solid">
        <fgColor rgb="FFD4E5F8"/>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4" tint="0.39994506668294322"/>
        <bgColor indexed="64"/>
      </patternFill>
    </fill>
    <fill>
      <patternFill patternType="solid">
        <fgColor rgb="FF89B5EB"/>
        <bgColor indexed="64"/>
      </patternFill>
    </fill>
    <fill>
      <patternFill patternType="solid">
        <fgColor rgb="FF00B050"/>
        <bgColor indexed="64"/>
      </patternFill>
    </fill>
    <fill>
      <patternFill patternType="solid">
        <fgColor theme="6" tint="-0.249977111117893"/>
        <bgColor indexed="64"/>
      </patternFill>
    </fill>
    <fill>
      <patternFill patternType="solid">
        <fgColor rgb="FFED912B"/>
        <bgColor indexed="64"/>
      </patternFill>
    </fill>
    <fill>
      <patternFill patternType="solid">
        <fgColor theme="6"/>
        <bgColor indexed="64"/>
      </patternFill>
    </fill>
    <fill>
      <patternFill patternType="solid">
        <fgColor rgb="FF00FF00"/>
        <bgColor indexed="64"/>
      </patternFill>
    </fill>
    <fill>
      <patternFill patternType="solid">
        <fgColor theme="6" tint="-0.2499465926084170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9933"/>
        <bgColor indexed="64"/>
      </patternFill>
    </fill>
  </fills>
  <borders count="109">
    <border>
      <left/>
      <right/>
      <top/>
      <bottom/>
      <diagonal/>
    </border>
    <border>
      <left/>
      <right/>
      <top style="thick">
        <color indexed="64"/>
      </top>
      <bottom style="thick">
        <color indexed="64"/>
      </bottom>
      <diagonal/>
    </border>
    <border>
      <left/>
      <right style="thick">
        <color indexed="64"/>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FFFFFF"/>
      </left>
      <right style="thin">
        <color theme="0"/>
      </right>
      <top style="thin">
        <color theme="0"/>
      </top>
      <bottom style="thin">
        <color theme="0"/>
      </bottom>
      <diagonal/>
    </border>
    <border>
      <left style="thin">
        <color rgb="FFFFFFFF"/>
      </left>
      <right style="thin">
        <color theme="0"/>
      </right>
      <top/>
      <bottom style="thick">
        <color theme="0"/>
      </bottom>
      <diagonal/>
    </border>
    <border>
      <left style="thin">
        <color theme="0"/>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thick">
        <color theme="0"/>
      </bottom>
      <diagonal/>
    </border>
    <border>
      <left/>
      <right/>
      <top style="thin">
        <color theme="0"/>
      </top>
      <bottom style="thin">
        <color theme="0"/>
      </bottom>
      <diagonal/>
    </border>
    <border>
      <left/>
      <right/>
      <top style="thin">
        <color theme="0"/>
      </top>
      <bottom/>
      <diagonal/>
    </border>
    <border>
      <left style="thin">
        <color indexed="64"/>
      </left>
      <right/>
      <top/>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ck">
        <color indexed="64"/>
      </left>
      <right/>
      <top/>
      <bottom/>
      <diagonal/>
    </border>
    <border>
      <left/>
      <right/>
      <top/>
      <bottom style="thin">
        <color indexed="64"/>
      </bottom>
      <diagonal/>
    </border>
    <border>
      <left style="medium">
        <color indexed="64"/>
      </left>
      <right style="medium">
        <color indexed="64"/>
      </right>
      <top style="thin">
        <color indexed="64"/>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right/>
      <top style="thin">
        <color auto="1"/>
      </top>
      <bottom/>
      <diagonal/>
    </border>
    <border>
      <left/>
      <right style="thin">
        <color auto="1"/>
      </right>
      <top/>
      <bottom/>
      <diagonal/>
    </border>
    <border>
      <left style="medium">
        <color indexed="64"/>
      </left>
      <right/>
      <top/>
      <bottom style="dashed">
        <color indexed="64"/>
      </bottom>
      <diagonal/>
    </border>
    <border>
      <left style="medium">
        <color indexed="64"/>
      </left>
      <right/>
      <top style="dashed">
        <color indexed="64"/>
      </top>
      <bottom/>
      <diagonal/>
    </border>
    <border>
      <left/>
      <right style="dashed">
        <color indexed="64"/>
      </right>
      <top style="dashed">
        <color indexed="64"/>
      </top>
      <bottom/>
      <diagonal/>
    </border>
    <border>
      <left/>
      <right style="dashed">
        <color indexed="64"/>
      </right>
      <top/>
      <bottom/>
      <diagonal/>
    </border>
    <border>
      <left/>
      <right style="dashed">
        <color indexed="64"/>
      </right>
      <top/>
      <bottom style="dashed">
        <color indexed="64"/>
      </bottom>
      <diagonal/>
    </border>
    <border>
      <left/>
      <right style="dashed">
        <color indexed="64"/>
      </right>
      <top style="medium">
        <color indexed="64"/>
      </top>
      <bottom/>
      <diagonal/>
    </border>
    <border>
      <left style="dashed">
        <color indexed="64"/>
      </left>
      <right/>
      <top style="medium">
        <color indexed="64"/>
      </top>
      <bottom/>
      <diagonal/>
    </border>
    <border>
      <left style="dashed">
        <color indexed="64"/>
      </left>
      <right/>
      <top/>
      <bottom/>
      <diagonal/>
    </border>
    <border>
      <left style="dashed">
        <color indexed="64"/>
      </left>
      <right/>
      <top/>
      <bottom style="medium">
        <color indexed="64"/>
      </bottom>
      <diagonal/>
    </border>
    <border>
      <left style="thick">
        <color indexed="64"/>
      </left>
      <right/>
      <top style="dotted">
        <color indexed="64"/>
      </top>
      <bottom style="dotted">
        <color indexed="64"/>
      </bottom>
      <diagonal/>
    </border>
    <border>
      <left/>
      <right/>
      <top style="dotted">
        <color indexed="64"/>
      </top>
      <bottom style="dotted">
        <color indexed="64"/>
      </bottom>
      <diagonal/>
    </border>
    <border>
      <left/>
      <right style="thick">
        <color indexed="64"/>
      </right>
      <top style="dotted">
        <color indexed="64"/>
      </top>
      <bottom style="dotted">
        <color indexed="64"/>
      </bottom>
      <diagonal/>
    </border>
    <border>
      <left style="thick">
        <color indexed="64"/>
      </left>
      <right/>
      <top style="dotted">
        <color indexed="64"/>
      </top>
      <bottom style="thick">
        <color indexed="64"/>
      </bottom>
      <diagonal/>
    </border>
    <border>
      <left/>
      <right/>
      <top style="dotted">
        <color indexed="64"/>
      </top>
      <bottom style="thick">
        <color indexed="64"/>
      </bottom>
      <diagonal/>
    </border>
    <border>
      <left/>
      <right style="thick">
        <color indexed="64"/>
      </right>
      <top style="dotted">
        <color indexed="64"/>
      </top>
      <bottom style="thick">
        <color indexed="64"/>
      </bottom>
      <diagonal/>
    </border>
    <border>
      <left/>
      <right style="thin">
        <color theme="0"/>
      </right>
      <top/>
      <bottom style="thin">
        <color theme="0"/>
      </bottom>
      <diagonal/>
    </border>
    <border>
      <left style="dashed">
        <color auto="1"/>
      </left>
      <right/>
      <top style="dashed">
        <color auto="1"/>
      </top>
      <bottom/>
      <diagonal/>
    </border>
    <border>
      <left/>
      <right/>
      <top style="dashed">
        <color auto="1"/>
      </top>
      <bottom/>
      <diagonal/>
    </border>
    <border>
      <left style="dashed">
        <color auto="1"/>
      </left>
      <right/>
      <top/>
      <bottom style="dashed">
        <color auto="1"/>
      </bottom>
      <diagonal/>
    </border>
    <border>
      <left/>
      <right/>
      <top/>
      <bottom style="dashed">
        <color auto="1"/>
      </bottom>
      <diagonal/>
    </border>
    <border>
      <left style="medium">
        <color indexed="64"/>
      </left>
      <right style="medium">
        <color indexed="64"/>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14" fillId="0" borderId="0" applyNumberFormat="0" applyFill="0" applyBorder="0" applyAlignment="0" applyProtection="0">
      <alignment vertical="top"/>
      <protection locked="0"/>
    </xf>
    <xf numFmtId="167" fontId="18" fillId="0" borderId="0" applyFont="0" applyFill="0" applyBorder="0" applyAlignment="0" applyProtection="0"/>
  </cellStyleXfs>
  <cellXfs count="1312">
    <xf numFmtId="0" fontId="0" fillId="0" borderId="0" xfId="0"/>
    <xf numFmtId="0" fontId="0" fillId="4" borderId="0" xfId="0" applyFill="1"/>
    <xf numFmtId="0" fontId="19" fillId="5" borderId="24" xfId="0" applyFont="1" applyFill="1" applyBorder="1"/>
    <xf numFmtId="0" fontId="0" fillId="6" borderId="25" xfId="0" applyFill="1" applyBorder="1"/>
    <xf numFmtId="0" fontId="0" fillId="7" borderId="25" xfId="0" applyFill="1" applyBorder="1"/>
    <xf numFmtId="0" fontId="0" fillId="7" borderId="26" xfId="0" applyFill="1" applyBorder="1"/>
    <xf numFmtId="0" fontId="0" fillId="0" borderId="11" xfId="0" applyBorder="1"/>
    <xf numFmtId="167" fontId="0" fillId="0" borderId="0" xfId="4" applyFont="1"/>
    <xf numFmtId="16" fontId="0" fillId="0" borderId="0" xfId="0" applyNumberFormat="1"/>
    <xf numFmtId="167" fontId="0" fillId="0" borderId="0" xfId="0" applyNumberFormat="1"/>
    <xf numFmtId="0" fontId="3" fillId="8" borderId="0" xfId="2" applyFont="1" applyFill="1" applyAlignment="1">
      <alignment horizontal="center"/>
    </xf>
    <xf numFmtId="0" fontId="3" fillId="8" borderId="0" xfId="2" applyFont="1" applyFill="1"/>
    <xf numFmtId="168" fontId="3" fillId="8" borderId="0" xfId="2" applyNumberFormat="1" applyFont="1" applyFill="1"/>
    <xf numFmtId="0" fontId="8" fillId="8" borderId="0" xfId="2" applyFont="1" applyFill="1"/>
    <xf numFmtId="168" fontId="14" fillId="8" borderId="0" xfId="3" applyNumberFormat="1" applyFill="1" applyAlignment="1" applyProtection="1"/>
    <xf numFmtId="0" fontId="3" fillId="8" borderId="0" xfId="2" applyFont="1" applyFill="1" applyAlignment="1">
      <alignment horizontal="left"/>
    </xf>
    <xf numFmtId="0" fontId="10" fillId="8" borderId="0" xfId="2" applyFont="1" applyFill="1"/>
    <xf numFmtId="168" fontId="3" fillId="8" borderId="5" xfId="2" applyNumberFormat="1" applyFont="1" applyFill="1" applyBorder="1"/>
    <xf numFmtId="0" fontId="9" fillId="8" borderId="0" xfId="2" applyFont="1" applyFill="1"/>
    <xf numFmtId="0" fontId="9" fillId="8" borderId="0" xfId="2" applyFont="1" applyFill="1" applyAlignment="1">
      <alignment horizontal="center"/>
    </xf>
    <xf numFmtId="0" fontId="12" fillId="8" borderId="0" xfId="2" applyFont="1" applyFill="1"/>
    <xf numFmtId="168" fontId="9" fillId="8" borderId="0" xfId="1" applyNumberFormat="1" applyFont="1" applyFill="1"/>
    <xf numFmtId="168" fontId="8" fillId="8" borderId="0" xfId="1" applyNumberFormat="1" applyFont="1" applyFill="1"/>
    <xf numFmtId="168" fontId="11" fillId="8" borderId="0" xfId="1" applyNumberFormat="1" applyFont="1" applyFill="1"/>
    <xf numFmtId="168" fontId="16" fillId="8" borderId="0" xfId="1" applyNumberFormat="1" applyFont="1" applyFill="1"/>
    <xf numFmtId="0" fontId="16" fillId="8" borderId="0" xfId="2" applyFont="1" applyFill="1"/>
    <xf numFmtId="0" fontId="0" fillId="9" borderId="27" xfId="0" applyFill="1" applyBorder="1"/>
    <xf numFmtId="0" fontId="0" fillId="0" borderId="0" xfId="4" applyNumberFormat="1" applyFont="1"/>
    <xf numFmtId="0" fontId="3" fillId="9" borderId="30" xfId="0" applyFont="1" applyFill="1" applyBorder="1"/>
    <xf numFmtId="0" fontId="3" fillId="9" borderId="31" xfId="0" applyFont="1" applyFill="1" applyBorder="1"/>
    <xf numFmtId="0" fontId="3" fillId="9" borderId="28" xfId="0" applyFont="1" applyFill="1" applyBorder="1"/>
    <xf numFmtId="0" fontId="3" fillId="9" borderId="29" xfId="0" applyFont="1" applyFill="1" applyBorder="1"/>
    <xf numFmtId="0" fontId="3" fillId="9" borderId="32" xfId="0" applyFont="1" applyFill="1" applyBorder="1"/>
    <xf numFmtId="0" fontId="3" fillId="9" borderId="33" xfId="0" applyFont="1" applyFill="1" applyBorder="1"/>
    <xf numFmtId="0" fontId="3" fillId="0" borderId="0" xfId="0" applyFont="1"/>
    <xf numFmtId="0" fontId="3" fillId="9" borderId="34" xfId="0" applyFont="1" applyFill="1" applyBorder="1"/>
    <xf numFmtId="0" fontId="0" fillId="10" borderId="27" xfId="0" applyFill="1" applyBorder="1"/>
    <xf numFmtId="0" fontId="0" fillId="10" borderId="28" xfId="0" applyFill="1" applyBorder="1"/>
    <xf numFmtId="0" fontId="0" fillId="10" borderId="29" xfId="0" applyFill="1" applyBorder="1"/>
    <xf numFmtId="0" fontId="0" fillId="10" borderId="30" xfId="0" applyFill="1" applyBorder="1"/>
    <xf numFmtId="0" fontId="0" fillId="10" borderId="34" xfId="0" applyFill="1" applyBorder="1"/>
    <xf numFmtId="0" fontId="0" fillId="10" borderId="31" xfId="0" applyFill="1" applyBorder="1"/>
    <xf numFmtId="0" fontId="0" fillId="10" borderId="32" xfId="0" applyFill="1" applyBorder="1"/>
    <xf numFmtId="0" fontId="0" fillId="10" borderId="35" xfId="0" applyFill="1" applyBorder="1"/>
    <xf numFmtId="0" fontId="0" fillId="10" borderId="33" xfId="0" applyFill="1" applyBorder="1"/>
    <xf numFmtId="0" fontId="19" fillId="5" borderId="0" xfId="0" applyFont="1" applyFill="1"/>
    <xf numFmtId="0" fontId="0" fillId="6" borderId="0" xfId="0" applyFill="1"/>
    <xf numFmtId="0" fontId="0" fillId="7" borderId="0" xfId="0" applyFill="1"/>
    <xf numFmtId="0" fontId="0" fillId="11" borderId="0" xfId="0" applyFill="1"/>
    <xf numFmtId="0" fontId="0" fillId="7" borderId="36" xfId="0" applyFill="1" applyBorder="1"/>
    <xf numFmtId="0" fontId="0" fillId="7" borderId="37" xfId="0" applyFill="1" applyBorder="1"/>
    <xf numFmtId="0" fontId="19" fillId="5" borderId="38" xfId="0" applyFont="1" applyFill="1" applyBorder="1"/>
    <xf numFmtId="0" fontId="19" fillId="5" borderId="39" xfId="0" applyFont="1" applyFill="1" applyBorder="1"/>
    <xf numFmtId="0" fontId="0" fillId="6" borderId="36" xfId="0" applyFill="1" applyBorder="1"/>
    <xf numFmtId="0" fontId="0" fillId="6" borderId="37" xfId="0" applyFill="1" applyBorder="1"/>
    <xf numFmtId="0" fontId="19" fillId="5" borderId="41" xfId="0" applyFont="1" applyFill="1" applyBorder="1"/>
    <xf numFmtId="0" fontId="0" fillId="6" borderId="40" xfId="0" applyFill="1" applyBorder="1"/>
    <xf numFmtId="0" fontId="0" fillId="7" borderId="40" xfId="0" applyFill="1" applyBorder="1"/>
    <xf numFmtId="0" fontId="3" fillId="9" borderId="0" xfId="2" applyFont="1" applyFill="1" applyAlignment="1">
      <alignment horizontal="center"/>
    </xf>
    <xf numFmtId="0" fontId="3" fillId="9" borderId="0" xfId="2" applyFont="1" applyFill="1"/>
    <xf numFmtId="49" fontId="3" fillId="9" borderId="0" xfId="2" applyNumberFormat="1" applyFont="1" applyFill="1"/>
    <xf numFmtId="168" fontId="3" fillId="9" borderId="0" xfId="2" applyNumberFormat="1" applyFont="1" applyFill="1"/>
    <xf numFmtId="0" fontId="8" fillId="9" borderId="0" xfId="2" applyFont="1" applyFill="1"/>
    <xf numFmtId="168" fontId="10" fillId="9" borderId="0" xfId="2" applyNumberFormat="1" applyFont="1" applyFill="1"/>
    <xf numFmtId="0" fontId="3" fillId="18" borderId="0" xfId="2" applyFont="1" applyFill="1" applyAlignment="1">
      <alignment horizontal="center"/>
    </xf>
    <xf numFmtId="0" fontId="3" fillId="18" borderId="0" xfId="2" applyFont="1" applyFill="1"/>
    <xf numFmtId="168" fontId="3" fillId="18" borderId="0" xfId="2" applyNumberFormat="1" applyFont="1" applyFill="1"/>
    <xf numFmtId="0" fontId="3" fillId="18" borderId="4" xfId="2" applyFont="1" applyFill="1" applyBorder="1" applyAlignment="1">
      <alignment horizontal="center"/>
    </xf>
    <xf numFmtId="0" fontId="3" fillId="18" borderId="0" xfId="0" applyFont="1" applyFill="1"/>
    <xf numFmtId="0" fontId="10" fillId="18" borderId="0" xfId="2" applyFont="1" applyFill="1" applyAlignment="1">
      <alignment horizontal="left"/>
    </xf>
    <xf numFmtId="0" fontId="21" fillId="18" borderId="0" xfId="2" applyFont="1" applyFill="1" applyAlignment="1">
      <alignment horizontal="center"/>
    </xf>
    <xf numFmtId="0" fontId="3" fillId="15" borderId="0" xfId="2" applyFont="1" applyFill="1" applyAlignment="1">
      <alignment horizontal="center"/>
    </xf>
    <xf numFmtId="0" fontId="3" fillId="15" borderId="0" xfId="2" applyFont="1" applyFill="1"/>
    <xf numFmtId="0" fontId="3" fillId="15" borderId="0" xfId="2" applyFont="1" applyFill="1" applyAlignment="1">
      <alignment horizontal="left"/>
    </xf>
    <xf numFmtId="168" fontId="3" fillId="15" borderId="5" xfId="2" applyNumberFormat="1" applyFont="1" applyFill="1" applyBorder="1"/>
    <xf numFmtId="168" fontId="14" fillId="15" borderId="0" xfId="3" applyNumberFormat="1" applyFill="1" applyAlignment="1" applyProtection="1"/>
    <xf numFmtId="0" fontId="9" fillId="15" borderId="0" xfId="2" applyFont="1" applyFill="1"/>
    <xf numFmtId="168" fontId="3" fillId="15" borderId="0" xfId="1" applyNumberFormat="1" applyFont="1" applyFill="1"/>
    <xf numFmtId="0" fontId="12" fillId="15" borderId="0" xfId="2" applyFont="1" applyFill="1"/>
    <xf numFmtId="168" fontId="9" fillId="15" borderId="0" xfId="1" applyNumberFormat="1" applyFont="1" applyFill="1"/>
    <xf numFmtId="168" fontId="17" fillId="15" borderId="0" xfId="1" applyNumberFormat="1" applyFont="1" applyFill="1"/>
    <xf numFmtId="168" fontId="10" fillId="15" borderId="0" xfId="1" applyNumberFormat="1" applyFont="1" applyFill="1"/>
    <xf numFmtId="0" fontId="10" fillId="15" borderId="0" xfId="2" applyFont="1" applyFill="1"/>
    <xf numFmtId="168" fontId="8" fillId="15" borderId="0" xfId="1" applyNumberFormat="1" applyFont="1" applyFill="1"/>
    <xf numFmtId="0" fontId="0" fillId="15" borderId="0" xfId="0" applyFill="1"/>
    <xf numFmtId="0" fontId="3" fillId="19" borderId="0" xfId="2" applyFont="1" applyFill="1" applyAlignment="1">
      <alignment horizontal="center"/>
    </xf>
    <xf numFmtId="0" fontId="3" fillId="19" borderId="0" xfId="2" applyFont="1" applyFill="1"/>
    <xf numFmtId="0" fontId="0" fillId="14" borderId="27" xfId="0" applyFill="1" applyBorder="1"/>
    <xf numFmtId="0" fontId="19" fillId="5" borderId="42" xfId="0" applyFont="1" applyFill="1" applyBorder="1"/>
    <xf numFmtId="0" fontId="9" fillId="4" borderId="0" xfId="0" applyFont="1" applyFill="1"/>
    <xf numFmtId="0" fontId="0" fillId="8" borderId="0" xfId="0" applyFill="1"/>
    <xf numFmtId="0" fontId="0" fillId="19" borderId="0" xfId="0" applyFill="1"/>
    <xf numFmtId="168" fontId="0" fillId="19" borderId="0" xfId="0" applyNumberFormat="1" applyFill="1"/>
    <xf numFmtId="0" fontId="0" fillId="17" borderId="0" xfId="0" applyFill="1"/>
    <xf numFmtId="0" fontId="4" fillId="11" borderId="0" xfId="0" applyFont="1" applyFill="1"/>
    <xf numFmtId="0" fontId="24" fillId="0" borderId="0" xfId="0" applyFont="1"/>
    <xf numFmtId="168" fontId="3" fillId="15" borderId="0" xfId="2" applyNumberFormat="1" applyFont="1" applyFill="1"/>
    <xf numFmtId="0" fontId="9" fillId="15" borderId="0" xfId="2" applyFont="1" applyFill="1" applyAlignment="1">
      <alignment horizontal="center"/>
    </xf>
    <xf numFmtId="0" fontId="0" fillId="9" borderId="0" xfId="2" applyFont="1" applyFill="1"/>
    <xf numFmtId="0" fontId="0" fillId="21" borderId="0" xfId="0" applyFill="1"/>
    <xf numFmtId="0" fontId="24" fillId="22" borderId="14" xfId="0" applyFont="1" applyFill="1" applyBorder="1" applyAlignment="1">
      <alignment horizontal="center"/>
    </xf>
    <xf numFmtId="0" fontId="24" fillId="22" borderId="44" xfId="0" applyFont="1" applyFill="1" applyBorder="1" applyAlignment="1">
      <alignment horizontal="center"/>
    </xf>
    <xf numFmtId="0" fontId="24" fillId="23" borderId="15" xfId="0" applyFont="1" applyFill="1" applyBorder="1"/>
    <xf numFmtId="0" fontId="24" fillId="23" borderId="14" xfId="0" applyFont="1" applyFill="1" applyBorder="1" applyAlignment="1">
      <alignment horizontal="center"/>
    </xf>
    <xf numFmtId="0" fontId="24" fillId="23" borderId="44" xfId="0" applyFont="1" applyFill="1" applyBorder="1" applyAlignment="1">
      <alignment horizontal="center"/>
    </xf>
    <xf numFmtId="0" fontId="27" fillId="9" borderId="46" xfId="0" applyFont="1" applyFill="1" applyBorder="1" applyAlignment="1">
      <alignment vertical="center"/>
    </xf>
    <xf numFmtId="0" fontId="27" fillId="24" borderId="45" xfId="0" applyFont="1" applyFill="1" applyBorder="1" applyAlignment="1">
      <alignment vertical="center"/>
    </xf>
    <xf numFmtId="0" fontId="27" fillId="24" borderId="46" xfId="0" applyFont="1" applyFill="1" applyBorder="1" applyAlignment="1">
      <alignment vertical="center"/>
    </xf>
    <xf numFmtId="0" fontId="0" fillId="6" borderId="26" xfId="0" applyFill="1" applyBorder="1"/>
    <xf numFmtId="0" fontId="19" fillId="5" borderId="49" xfId="0" applyFont="1" applyFill="1" applyBorder="1"/>
    <xf numFmtId="0" fontId="0" fillId="6" borderId="50" xfId="0" applyFill="1" applyBorder="1"/>
    <xf numFmtId="0" fontId="0" fillId="7" borderId="50" xfId="0" applyFill="1" applyBorder="1"/>
    <xf numFmtId="0" fontId="0" fillId="7" borderId="51" xfId="0" applyFill="1" applyBorder="1"/>
    <xf numFmtId="0" fontId="0" fillId="6" borderId="51" xfId="0" applyFill="1" applyBorder="1"/>
    <xf numFmtId="0" fontId="0" fillId="6" borderId="53" xfId="0" applyFill="1" applyBorder="1"/>
    <xf numFmtId="0" fontId="0" fillId="7" borderId="54" xfId="0" applyFill="1" applyBorder="1"/>
    <xf numFmtId="0" fontId="0" fillId="7" borderId="53" xfId="0" applyFill="1" applyBorder="1"/>
    <xf numFmtId="0" fontId="0" fillId="6" borderId="54" xfId="0" applyFill="1" applyBorder="1"/>
    <xf numFmtId="0" fontId="3" fillId="14" borderId="0" xfId="0" applyFont="1" applyFill="1"/>
    <xf numFmtId="0" fontId="29" fillId="14" borderId="0" xfId="0" applyFont="1" applyFill="1"/>
    <xf numFmtId="0" fontId="28" fillId="14" borderId="0" xfId="0" applyFont="1" applyFill="1"/>
    <xf numFmtId="0" fontId="3" fillId="14" borderId="0" xfId="0" applyFont="1" applyFill="1" applyAlignment="1">
      <alignment horizontal="left"/>
    </xf>
    <xf numFmtId="0" fontId="28" fillId="14" borderId="52" xfId="0" applyFont="1" applyFill="1" applyBorder="1"/>
    <xf numFmtId="168" fontId="31" fillId="14" borderId="0" xfId="0" applyNumberFormat="1" applyFont="1" applyFill="1" applyAlignment="1">
      <alignment horizontal="left"/>
    </xf>
    <xf numFmtId="0" fontId="28" fillId="14" borderId="20" xfId="0" applyFont="1" applyFill="1" applyBorder="1"/>
    <xf numFmtId="0" fontId="3" fillId="14" borderId="20" xfId="0" applyFont="1" applyFill="1" applyBorder="1"/>
    <xf numFmtId="0" fontId="29" fillId="14" borderId="20" xfId="0" applyFont="1" applyFill="1" applyBorder="1"/>
    <xf numFmtId="0" fontId="3" fillId="14" borderId="20" xfId="0" applyFont="1" applyFill="1" applyBorder="1" applyAlignment="1">
      <alignment horizontal="left"/>
    </xf>
    <xf numFmtId="0" fontId="28" fillId="14" borderId="55" xfId="0" applyFont="1" applyFill="1" applyBorder="1"/>
    <xf numFmtId="0" fontId="3" fillId="8" borderId="0" xfId="0" applyFont="1" applyFill="1"/>
    <xf numFmtId="0" fontId="29" fillId="8" borderId="0" xfId="0" applyFont="1" applyFill="1"/>
    <xf numFmtId="168" fontId="30" fillId="8" borderId="0" xfId="0" applyNumberFormat="1" applyFont="1" applyFill="1" applyAlignment="1">
      <alignment horizontal="left"/>
    </xf>
    <xf numFmtId="0" fontId="3" fillId="8" borderId="15" xfId="0" applyFont="1" applyFill="1" applyBorder="1"/>
    <xf numFmtId="0" fontId="29" fillId="8" borderId="15" xfId="0" applyFont="1" applyFill="1" applyBorder="1"/>
    <xf numFmtId="168" fontId="30" fillId="8" borderId="15" xfId="0" applyNumberFormat="1" applyFont="1" applyFill="1" applyBorder="1" applyAlignment="1">
      <alignment horizontal="left"/>
    </xf>
    <xf numFmtId="0" fontId="32" fillId="8" borderId="0" xfId="0" applyFont="1" applyFill="1"/>
    <xf numFmtId="0" fontId="32" fillId="8" borderId="15" xfId="0" applyFont="1" applyFill="1" applyBorder="1"/>
    <xf numFmtId="0" fontId="32" fillId="8" borderId="52" xfId="0" applyFont="1" applyFill="1" applyBorder="1"/>
    <xf numFmtId="0" fontId="32" fillId="8" borderId="43" xfId="0" applyFont="1" applyFill="1" applyBorder="1"/>
    <xf numFmtId="0" fontId="24" fillId="19" borderId="0" xfId="0" applyFont="1" applyFill="1"/>
    <xf numFmtId="0" fontId="24" fillId="19" borderId="0" xfId="0" applyFont="1" applyFill="1" applyAlignment="1">
      <alignment horizontal="left"/>
    </xf>
    <xf numFmtId="164" fontId="0" fillId="0" borderId="0" xfId="0" applyNumberFormat="1"/>
    <xf numFmtId="0" fontId="33" fillId="9" borderId="46" xfId="0" applyFont="1" applyFill="1" applyBorder="1" applyAlignment="1">
      <alignment vertical="center"/>
    </xf>
    <xf numFmtId="0" fontId="14" fillId="9" borderId="0" xfId="3" applyFill="1" applyAlignment="1" applyProtection="1"/>
    <xf numFmtId="168" fontId="34" fillId="8" borderId="0" xfId="1" applyNumberFormat="1" applyFont="1" applyFill="1"/>
    <xf numFmtId="0" fontId="24" fillId="22" borderId="15" xfId="0" applyFont="1" applyFill="1" applyBorder="1"/>
    <xf numFmtId="0" fontId="24" fillId="29" borderId="27" xfId="0" applyFont="1" applyFill="1" applyBorder="1"/>
    <xf numFmtId="0" fontId="0" fillId="29" borderId="27" xfId="0" applyFill="1" applyBorder="1"/>
    <xf numFmtId="0" fontId="0" fillId="29" borderId="32" xfId="0" applyFill="1" applyBorder="1"/>
    <xf numFmtId="0" fontId="0" fillId="9" borderId="28" xfId="0" applyFill="1" applyBorder="1"/>
    <xf numFmtId="0" fontId="0" fillId="29" borderId="28" xfId="0" applyFill="1" applyBorder="1"/>
    <xf numFmtId="0" fontId="0" fillId="28" borderId="0" xfId="0" applyFill="1"/>
    <xf numFmtId="0" fontId="37" fillId="9" borderId="27" xfId="0" applyFont="1" applyFill="1" applyBorder="1" applyAlignment="1">
      <alignment horizontal="center"/>
    </xf>
    <xf numFmtId="0" fontId="37" fillId="29" borderId="27" xfId="0" applyFont="1" applyFill="1" applyBorder="1" applyAlignment="1">
      <alignment horizontal="center"/>
    </xf>
    <xf numFmtId="0" fontId="27" fillId="29" borderId="27" xfId="0" applyFont="1" applyFill="1" applyBorder="1" applyAlignment="1">
      <alignment horizontal="center"/>
    </xf>
    <xf numFmtId="0" fontId="27" fillId="29" borderId="28" xfId="0" applyFont="1" applyFill="1" applyBorder="1" applyAlignment="1">
      <alignment horizontal="center"/>
    </xf>
    <xf numFmtId="0" fontId="0" fillId="9" borderId="35" xfId="0" applyFill="1" applyBorder="1"/>
    <xf numFmtId="0" fontId="0" fillId="9" borderId="57" xfId="0" applyFill="1" applyBorder="1"/>
    <xf numFmtId="0" fontId="0" fillId="9" borderId="34" xfId="0" applyFill="1" applyBorder="1"/>
    <xf numFmtId="0" fontId="0" fillId="9" borderId="30" xfId="0" applyFill="1" applyBorder="1"/>
    <xf numFmtId="0" fontId="0" fillId="29" borderId="35" xfId="0" applyFill="1" applyBorder="1"/>
    <xf numFmtId="0" fontId="0" fillId="29" borderId="34" xfId="0" applyFill="1" applyBorder="1"/>
    <xf numFmtId="0" fontId="0" fillId="29" borderId="30" xfId="0" applyFill="1" applyBorder="1"/>
    <xf numFmtId="0" fontId="0" fillId="26" borderId="14" xfId="0" applyFill="1" applyBorder="1"/>
    <xf numFmtId="0" fontId="0" fillId="26" borderId="17" xfId="0" applyFill="1" applyBorder="1"/>
    <xf numFmtId="0" fontId="0" fillId="26" borderId="19" xfId="0" applyFill="1" applyBorder="1"/>
    <xf numFmtId="0" fontId="0" fillId="26" borderId="15" xfId="0" applyFill="1" applyBorder="1"/>
    <xf numFmtId="0" fontId="0" fillId="26" borderId="16" xfId="0" applyFill="1" applyBorder="1"/>
    <xf numFmtId="0" fontId="0" fillId="26" borderId="0" xfId="0" applyFill="1"/>
    <xf numFmtId="0" fontId="0" fillId="26" borderId="18" xfId="0" applyFill="1" applyBorder="1"/>
    <xf numFmtId="0" fontId="0" fillId="26" borderId="21" xfId="0" applyFill="1" applyBorder="1"/>
    <xf numFmtId="0" fontId="0" fillId="26" borderId="20" xfId="0" applyFill="1" applyBorder="1"/>
    <xf numFmtId="0" fontId="0" fillId="30" borderId="0" xfId="0" applyFill="1"/>
    <xf numFmtId="0" fontId="0" fillId="24" borderId="0" xfId="0" applyFill="1"/>
    <xf numFmtId="0" fontId="14" fillId="24" borderId="0" xfId="3" applyFill="1" applyAlignment="1" applyProtection="1"/>
    <xf numFmtId="0" fontId="24" fillId="24" borderId="0" xfId="0" applyFont="1" applyFill="1"/>
    <xf numFmtId="0" fontId="37" fillId="29" borderId="34" xfId="0" applyFont="1" applyFill="1" applyBorder="1" applyAlignment="1">
      <alignment horizontal="center" vertical="center"/>
    </xf>
    <xf numFmtId="0" fontId="14" fillId="24" borderId="14" xfId="3" applyFill="1" applyBorder="1" applyAlignment="1" applyProtection="1"/>
    <xf numFmtId="0" fontId="0" fillId="24" borderId="16" xfId="0" applyFill="1" applyBorder="1"/>
    <xf numFmtId="0" fontId="14" fillId="24" borderId="17" xfId="3" applyFill="1" applyBorder="1" applyAlignment="1" applyProtection="1"/>
    <xf numFmtId="0" fontId="0" fillId="24" borderId="18" xfId="0" applyFill="1" applyBorder="1"/>
    <xf numFmtId="0" fontId="14" fillId="24" borderId="19" xfId="3" applyFill="1" applyBorder="1" applyAlignment="1" applyProtection="1"/>
    <xf numFmtId="0" fontId="0" fillId="24" borderId="21" xfId="0" applyFill="1" applyBorder="1"/>
    <xf numFmtId="0" fontId="14" fillId="24" borderId="23" xfId="3" applyFill="1" applyBorder="1" applyAlignment="1" applyProtection="1"/>
    <xf numFmtId="0" fontId="14" fillId="24" borderId="22" xfId="3" applyFill="1" applyBorder="1" applyAlignment="1" applyProtection="1"/>
    <xf numFmtId="0" fontId="24" fillId="24" borderId="11" xfId="0" applyFont="1" applyFill="1" applyBorder="1"/>
    <xf numFmtId="0" fontId="14" fillId="24" borderId="17" xfId="3" applyFill="1" applyBorder="1" applyAlignment="1" applyProtection="1">
      <alignment horizontal="left"/>
    </xf>
    <xf numFmtId="0" fontId="14" fillId="24" borderId="0" xfId="3" applyFill="1" applyAlignment="1" applyProtection="1">
      <alignment horizontal="right"/>
    </xf>
    <xf numFmtId="0" fontId="0" fillId="24" borderId="17" xfId="0" applyFill="1" applyBorder="1"/>
    <xf numFmtId="0" fontId="24" fillId="24" borderId="17" xfId="0" applyFont="1" applyFill="1" applyBorder="1"/>
    <xf numFmtId="0" fontId="14" fillId="24" borderId="18" xfId="3" applyFill="1" applyBorder="1" applyAlignment="1" applyProtection="1"/>
    <xf numFmtId="0" fontId="24" fillId="24" borderId="18" xfId="0" applyFont="1" applyFill="1" applyBorder="1" applyAlignment="1">
      <alignment horizontal="right"/>
    </xf>
    <xf numFmtId="0" fontId="14" fillId="24" borderId="18" xfId="3" applyFill="1" applyBorder="1" applyAlignment="1" applyProtection="1">
      <alignment horizontal="right"/>
    </xf>
    <xf numFmtId="0" fontId="0" fillId="24" borderId="18" xfId="0" applyFill="1" applyBorder="1" applyAlignment="1">
      <alignment horizontal="right"/>
    </xf>
    <xf numFmtId="0" fontId="0" fillId="24" borderId="20" xfId="0" applyFill="1" applyBorder="1"/>
    <xf numFmtId="0" fontId="24" fillId="24" borderId="14" xfId="0" applyFont="1" applyFill="1" applyBorder="1" applyAlignment="1">
      <alignment horizontal="left"/>
    </xf>
    <xf numFmtId="0" fontId="24" fillId="24" borderId="15" xfId="0" applyFont="1" applyFill="1" applyBorder="1" applyAlignment="1">
      <alignment horizontal="right"/>
    </xf>
    <xf numFmtId="0" fontId="24" fillId="24" borderId="16" xfId="0" applyFont="1" applyFill="1" applyBorder="1" applyAlignment="1">
      <alignment horizontal="right"/>
    </xf>
    <xf numFmtId="0" fontId="39" fillId="0" borderId="0" xfId="0" applyFont="1"/>
    <xf numFmtId="0" fontId="24" fillId="24" borderId="11" xfId="0" applyFont="1" applyFill="1" applyBorder="1" applyAlignment="1">
      <alignment horizontal="center"/>
    </xf>
    <xf numFmtId="0" fontId="24" fillId="24" borderId="19" xfId="0" applyFont="1" applyFill="1" applyBorder="1"/>
    <xf numFmtId="0" fontId="37" fillId="29" borderId="35" xfId="0" applyFont="1" applyFill="1" applyBorder="1" applyAlignment="1">
      <alignment horizontal="center"/>
    </xf>
    <xf numFmtId="0" fontId="35" fillId="9" borderId="34" xfId="3" applyFont="1" applyFill="1" applyBorder="1" applyAlignment="1" applyProtection="1">
      <alignment horizontal="center"/>
    </xf>
    <xf numFmtId="168" fontId="3" fillId="9" borderId="0" xfId="1" applyNumberFormat="1" applyFont="1" applyFill="1"/>
    <xf numFmtId="0" fontId="0" fillId="29" borderId="34" xfId="0" applyFill="1" applyBorder="1" applyAlignment="1">
      <alignment vertical="center"/>
    </xf>
    <xf numFmtId="0" fontId="0" fillId="29" borderId="30" xfId="0" applyFill="1" applyBorder="1" applyAlignment="1">
      <alignment vertical="center"/>
    </xf>
    <xf numFmtId="0" fontId="27" fillId="9" borderId="27" xfId="0" applyFont="1" applyFill="1" applyBorder="1" applyAlignment="1">
      <alignment horizontal="center"/>
    </xf>
    <xf numFmtId="0" fontId="27" fillId="9" borderId="59" xfId="0" applyFont="1" applyFill="1" applyBorder="1" applyAlignment="1">
      <alignment vertical="center"/>
    </xf>
    <xf numFmtId="0" fontId="27" fillId="9" borderId="27" xfId="0" applyFont="1" applyFill="1" applyBorder="1"/>
    <xf numFmtId="0" fontId="27" fillId="25" borderId="27" xfId="0" applyFont="1" applyFill="1" applyBorder="1"/>
    <xf numFmtId="0" fontId="40" fillId="25" borderId="27" xfId="0" applyFont="1" applyFill="1" applyBorder="1"/>
    <xf numFmtId="169" fontId="40" fillId="25" borderId="27" xfId="0" applyNumberFormat="1" applyFont="1" applyFill="1" applyBorder="1"/>
    <xf numFmtId="164" fontId="40" fillId="25" borderId="27" xfId="0" applyNumberFormat="1" applyFont="1" applyFill="1" applyBorder="1"/>
    <xf numFmtId="168" fontId="41" fillId="25" borderId="27" xfId="0" applyNumberFormat="1" applyFont="1" applyFill="1" applyBorder="1" applyAlignment="1">
      <alignment horizontal="right"/>
    </xf>
    <xf numFmtId="166" fontId="41" fillId="25" borderId="27" xfId="0" applyNumberFormat="1" applyFont="1" applyFill="1" applyBorder="1" applyAlignment="1">
      <alignment horizontal="right"/>
    </xf>
    <xf numFmtId="49" fontId="0" fillId="0" borderId="0" xfId="0" applyNumberFormat="1"/>
    <xf numFmtId="0" fontId="0" fillId="33" borderId="0" xfId="0" applyFill="1"/>
    <xf numFmtId="0" fontId="0" fillId="34" borderId="0" xfId="0" applyFill="1"/>
    <xf numFmtId="0" fontId="4" fillId="33" borderId="0" xfId="0" applyFont="1" applyFill="1"/>
    <xf numFmtId="0" fontId="0" fillId="33" borderId="44" xfId="0" applyFill="1" applyBorder="1"/>
    <xf numFmtId="0" fontId="0" fillId="33" borderId="23" xfId="0" applyFill="1" applyBorder="1"/>
    <xf numFmtId="2" fontId="0" fillId="0" borderId="0" xfId="0" applyNumberFormat="1"/>
    <xf numFmtId="0" fontId="24" fillId="33" borderId="22" xfId="0" applyFont="1" applyFill="1" applyBorder="1"/>
    <xf numFmtId="0" fontId="0" fillId="0" borderId="0" xfId="0" applyAlignment="1">
      <alignment horizontal="right"/>
    </xf>
    <xf numFmtId="0" fontId="40" fillId="25" borderId="27" xfId="0" applyFont="1" applyFill="1" applyBorder="1" applyAlignment="1">
      <alignment horizontal="center"/>
    </xf>
    <xf numFmtId="0" fontId="0" fillId="35" borderId="0" xfId="0" applyFill="1"/>
    <xf numFmtId="0" fontId="44" fillId="35" borderId="0" xfId="0" applyFont="1" applyFill="1" applyAlignment="1">
      <alignment horizontal="center" vertical="center"/>
    </xf>
    <xf numFmtId="0" fontId="24" fillId="28" borderId="27" xfId="0" applyFont="1" applyFill="1" applyBorder="1"/>
    <xf numFmtId="0" fontId="24" fillId="36" borderId="27" xfId="0" applyFont="1" applyFill="1" applyBorder="1"/>
    <xf numFmtId="0" fontId="40" fillId="35" borderId="0" xfId="0" applyFont="1" applyFill="1"/>
    <xf numFmtId="168" fontId="27" fillId="25" borderId="27" xfId="0" applyNumberFormat="1" applyFont="1" applyFill="1" applyBorder="1"/>
    <xf numFmtId="166" fontId="27" fillId="25" borderId="27" xfId="0" applyNumberFormat="1" applyFont="1" applyFill="1" applyBorder="1"/>
    <xf numFmtId="166" fontId="27" fillId="25" borderId="27" xfId="0" applyNumberFormat="1" applyFont="1" applyFill="1" applyBorder="1" applyAlignment="1">
      <alignment horizontal="right"/>
    </xf>
    <xf numFmtId="169" fontId="27" fillId="25" borderId="27" xfId="0" applyNumberFormat="1" applyFont="1" applyFill="1" applyBorder="1"/>
    <xf numFmtId="168" fontId="27" fillId="25" borderId="27" xfId="0" applyNumberFormat="1" applyFont="1" applyFill="1" applyBorder="1" applyAlignment="1">
      <alignment horizontal="right"/>
    </xf>
    <xf numFmtId="0" fontId="44" fillId="35" borderId="0" xfId="0" applyFont="1" applyFill="1" applyAlignment="1">
      <alignment vertical="center"/>
    </xf>
    <xf numFmtId="0" fontId="24" fillId="29" borderId="27" xfId="0" applyFont="1" applyFill="1" applyBorder="1" applyAlignment="1">
      <alignment horizontal="center" vertical="center"/>
    </xf>
    <xf numFmtId="0" fontId="27" fillId="4" borderId="0" xfId="0" applyFont="1" applyFill="1"/>
    <xf numFmtId="0" fontId="40" fillId="4" borderId="0" xfId="0" applyFont="1" applyFill="1"/>
    <xf numFmtId="168" fontId="40" fillId="4" borderId="0" xfId="0" applyNumberFormat="1" applyFont="1" applyFill="1"/>
    <xf numFmtId="169" fontId="40" fillId="4" borderId="0" xfId="0" applyNumberFormat="1" applyFont="1" applyFill="1"/>
    <xf numFmtId="168" fontId="41" fillId="4" borderId="0" xfId="0" applyNumberFormat="1" applyFont="1" applyFill="1" applyAlignment="1">
      <alignment horizontal="right"/>
    </xf>
    <xf numFmtId="166" fontId="40" fillId="4" borderId="0" xfId="0" applyNumberFormat="1" applyFont="1" applyFill="1"/>
    <xf numFmtId="164" fontId="40" fillId="4" borderId="0" xfId="0" applyNumberFormat="1" applyFont="1" applyFill="1"/>
    <xf numFmtId="166" fontId="40" fillId="4" borderId="0" xfId="0" applyNumberFormat="1" applyFont="1" applyFill="1" applyAlignment="1">
      <alignment horizontal="right"/>
    </xf>
    <xf numFmtId="166" fontId="41" fillId="4" borderId="0" xfId="0" applyNumberFormat="1" applyFont="1" applyFill="1" applyAlignment="1">
      <alignment horizontal="right"/>
    </xf>
    <xf numFmtId="0" fontId="24" fillId="27" borderId="27" xfId="0" applyFont="1" applyFill="1" applyBorder="1" applyAlignment="1">
      <alignment horizontal="center"/>
    </xf>
    <xf numFmtId="0" fontId="0" fillId="36" borderId="27" xfId="0" applyFill="1" applyBorder="1" applyAlignment="1">
      <alignment wrapText="1"/>
    </xf>
    <xf numFmtId="0" fontId="0" fillId="0" borderId="27" xfId="0" applyBorder="1" applyAlignment="1">
      <alignment wrapText="1"/>
    </xf>
    <xf numFmtId="0" fontId="0" fillId="25" borderId="27" xfId="0" applyFill="1" applyBorder="1" applyAlignment="1">
      <alignment wrapText="1"/>
    </xf>
    <xf numFmtId="0" fontId="24" fillId="29" borderId="29" xfId="0" applyFont="1" applyFill="1" applyBorder="1" applyAlignment="1">
      <alignment horizontal="center" vertical="center"/>
    </xf>
    <xf numFmtId="167" fontId="24" fillId="28" borderId="29" xfId="4" applyFont="1" applyFill="1" applyBorder="1"/>
    <xf numFmtId="167" fontId="24" fillId="36" borderId="29" xfId="4" applyFont="1" applyFill="1" applyBorder="1"/>
    <xf numFmtId="0" fontId="0" fillId="37" borderId="27" xfId="0" applyFill="1" applyBorder="1"/>
    <xf numFmtId="167" fontId="24" fillId="28" borderId="27" xfId="0" applyNumberFormat="1" applyFont="1" applyFill="1" applyBorder="1"/>
    <xf numFmtId="167" fontId="24" fillId="36" borderId="27" xfId="0" applyNumberFormat="1" applyFont="1" applyFill="1" applyBorder="1"/>
    <xf numFmtId="167" fontId="37" fillId="38" borderId="27" xfId="0" applyNumberFormat="1" applyFont="1" applyFill="1" applyBorder="1"/>
    <xf numFmtId="167" fontId="24" fillId="21" borderId="27" xfId="4" applyFont="1" applyFill="1" applyBorder="1"/>
    <xf numFmtId="0" fontId="0" fillId="9" borderId="0" xfId="0" applyFill="1"/>
    <xf numFmtId="0" fontId="46" fillId="9" borderId="0" xfId="2" applyFont="1" applyFill="1"/>
    <xf numFmtId="0" fontId="47" fillId="0" borderId="0" xfId="0" applyFont="1" applyAlignment="1">
      <alignment horizontal="center" vertical="center"/>
    </xf>
    <xf numFmtId="0" fontId="33" fillId="9" borderId="0" xfId="2" applyFont="1" applyFill="1" applyAlignment="1">
      <alignment horizontal="right"/>
    </xf>
    <xf numFmtId="0" fontId="0" fillId="35" borderId="0" xfId="0" applyFill="1" applyAlignment="1">
      <alignment horizontal="center"/>
    </xf>
    <xf numFmtId="0" fontId="40" fillId="25" borderId="27" xfId="0" applyFont="1" applyFill="1" applyBorder="1" applyAlignment="1">
      <alignment vertical="center"/>
    </xf>
    <xf numFmtId="0" fontId="40" fillId="25" borderId="27" xfId="0" applyFont="1" applyFill="1" applyBorder="1" applyAlignment="1">
      <alignment vertical="center" wrapText="1"/>
    </xf>
    <xf numFmtId="167" fontId="27" fillId="25" borderId="27" xfId="4" applyFont="1" applyFill="1" applyBorder="1"/>
    <xf numFmtId="0" fontId="0" fillId="28" borderId="27" xfId="0" applyFill="1" applyBorder="1"/>
    <xf numFmtId="167" fontId="0" fillId="23" borderId="27" xfId="0" applyNumberFormat="1" applyFill="1" applyBorder="1"/>
    <xf numFmtId="0" fontId="24" fillId="25" borderId="27" xfId="0" applyFont="1" applyFill="1" applyBorder="1"/>
    <xf numFmtId="0" fontId="37" fillId="36" borderId="27" xfId="0" applyFont="1" applyFill="1" applyBorder="1" applyAlignment="1">
      <alignment horizontal="right"/>
    </xf>
    <xf numFmtId="167" fontId="24" fillId="28" borderId="27" xfId="4" applyFont="1" applyFill="1" applyBorder="1" applyAlignment="1">
      <alignment horizontal="center" vertical="center"/>
    </xf>
    <xf numFmtId="167" fontId="24" fillId="36" borderId="27" xfId="4" applyFont="1" applyFill="1" applyBorder="1" applyAlignment="1">
      <alignment horizontal="center" vertical="center"/>
    </xf>
    <xf numFmtId="49" fontId="0" fillId="30" borderId="0" xfId="0" applyNumberFormat="1" applyFill="1" applyAlignment="1">
      <alignment vertical="top" wrapText="1"/>
    </xf>
    <xf numFmtId="0" fontId="3" fillId="9" borderId="0" xfId="1" applyFont="1" applyFill="1"/>
    <xf numFmtId="0" fontId="0" fillId="32" borderId="14" xfId="0" applyFill="1" applyBorder="1"/>
    <xf numFmtId="0" fontId="0" fillId="32" borderId="15" xfId="0" applyFill="1" applyBorder="1"/>
    <xf numFmtId="0" fontId="0" fillId="32" borderId="16" xfId="0" applyFill="1" applyBorder="1"/>
    <xf numFmtId="0" fontId="27" fillId="24" borderId="46" xfId="0" applyFont="1" applyFill="1" applyBorder="1" applyAlignment="1">
      <alignment horizontal="right" vertical="center"/>
    </xf>
    <xf numFmtId="0" fontId="49" fillId="27" borderId="27" xfId="0" applyFont="1" applyFill="1" applyBorder="1"/>
    <xf numFmtId="0" fontId="24" fillId="37" borderId="27" xfId="0" applyFont="1" applyFill="1" applyBorder="1"/>
    <xf numFmtId="170" fontId="24" fillId="40" borderId="27" xfId="4" applyNumberFormat="1" applyFont="1" applyFill="1" applyBorder="1" applyAlignment="1">
      <alignment horizontal="center"/>
    </xf>
    <xf numFmtId="170" fontId="24" fillId="37" borderId="27" xfId="4" applyNumberFormat="1" applyFont="1" applyFill="1" applyBorder="1"/>
    <xf numFmtId="170" fontId="24" fillId="40" borderId="27" xfId="4" applyNumberFormat="1" applyFont="1" applyFill="1" applyBorder="1"/>
    <xf numFmtId="0" fontId="24" fillId="40" borderId="27" xfId="0" applyFont="1" applyFill="1" applyBorder="1" applyAlignment="1">
      <alignment horizontal="center"/>
    </xf>
    <xf numFmtId="0" fontId="37" fillId="35" borderId="34" xfId="0" applyFont="1" applyFill="1" applyBorder="1" applyAlignment="1">
      <alignment vertical="center" wrapText="1"/>
    </xf>
    <xf numFmtId="167" fontId="37" fillId="42" borderId="27" xfId="4" applyFont="1" applyFill="1" applyBorder="1"/>
    <xf numFmtId="167" fontId="37" fillId="37" borderId="27" xfId="4" applyFont="1" applyFill="1" applyBorder="1"/>
    <xf numFmtId="0" fontId="24" fillId="40" borderId="34" xfId="0" applyFont="1" applyFill="1" applyBorder="1" applyAlignment="1">
      <alignment horizontal="center"/>
    </xf>
    <xf numFmtId="0" fontId="24" fillId="35" borderId="27" xfId="0" applyFont="1" applyFill="1" applyBorder="1" applyAlignment="1">
      <alignment horizontal="center" vertical="center" wrapText="1"/>
    </xf>
    <xf numFmtId="0" fontId="0" fillId="23" borderId="30" xfId="0" applyFill="1" applyBorder="1"/>
    <xf numFmtId="0" fontId="0" fillId="23" borderId="34" xfId="0" applyFill="1" applyBorder="1"/>
    <xf numFmtId="0" fontId="0" fillId="23" borderId="31" xfId="0" applyFill="1" applyBorder="1"/>
    <xf numFmtId="0" fontId="3" fillId="9" borderId="0" xfId="2" applyFont="1" applyFill="1" applyAlignment="1">
      <alignment horizontal="left"/>
    </xf>
    <xf numFmtId="168" fontId="14" fillId="9" borderId="0" xfId="3" applyNumberFormat="1" applyFill="1" applyAlignment="1" applyProtection="1"/>
    <xf numFmtId="0" fontId="23" fillId="9" borderId="0" xfId="2" applyFont="1" applyFill="1"/>
    <xf numFmtId="0" fontId="10" fillId="9" borderId="0" xfId="2" applyFont="1" applyFill="1"/>
    <xf numFmtId="0" fontId="27" fillId="9" borderId="46" xfId="0" applyFont="1" applyFill="1" applyBorder="1" applyAlignment="1">
      <alignment wrapText="1"/>
    </xf>
    <xf numFmtId="0" fontId="27" fillId="10" borderId="46" xfId="0" applyFont="1" applyFill="1" applyBorder="1" applyAlignment="1">
      <alignment wrapText="1"/>
    </xf>
    <xf numFmtId="0" fontId="37" fillId="9" borderId="31" xfId="0" applyFont="1" applyFill="1" applyBorder="1" applyAlignment="1">
      <alignment horizontal="center" vertical="center"/>
    </xf>
    <xf numFmtId="0" fontId="0" fillId="0" borderId="0" xfId="0" applyAlignment="1">
      <alignment horizontal="center"/>
    </xf>
    <xf numFmtId="0" fontId="0" fillId="28" borderId="0" xfId="0" applyFill="1" applyAlignment="1">
      <alignment horizontal="right"/>
    </xf>
    <xf numFmtId="0" fontId="0" fillId="28" borderId="0" xfId="0" applyFill="1" applyAlignment="1">
      <alignment horizontal="center"/>
    </xf>
    <xf numFmtId="0" fontId="0" fillId="33" borderId="0" xfId="0" applyFill="1" applyAlignment="1">
      <alignment horizontal="center"/>
    </xf>
    <xf numFmtId="0" fontId="0" fillId="35" borderId="27" xfId="0" applyFill="1" applyBorder="1"/>
    <xf numFmtId="0" fontId="24" fillId="37" borderId="31" xfId="0" applyFont="1" applyFill="1" applyBorder="1" applyAlignment="1">
      <alignment horizontal="center"/>
    </xf>
    <xf numFmtId="0" fontId="24" fillId="37" borderId="62" xfId="0" applyFont="1" applyFill="1" applyBorder="1" applyAlignment="1">
      <alignment horizontal="center"/>
    </xf>
    <xf numFmtId="0" fontId="0" fillId="19" borderId="0" xfId="0" applyFill="1" applyAlignment="1">
      <alignment horizontal="center" textRotation="45"/>
    </xf>
    <xf numFmtId="0" fontId="27" fillId="9" borderId="45" xfId="0" applyFont="1" applyFill="1" applyBorder="1"/>
    <xf numFmtId="0" fontId="27" fillId="24" borderId="46" xfId="0" applyFont="1" applyFill="1" applyBorder="1"/>
    <xf numFmtId="0" fontId="0" fillId="0" borderId="0" xfId="0" quotePrefix="1"/>
    <xf numFmtId="0" fontId="0" fillId="29" borderId="4" xfId="0" applyFill="1" applyBorder="1"/>
    <xf numFmtId="0" fontId="0" fillId="29" borderId="5" xfId="0" applyFill="1" applyBorder="1"/>
    <xf numFmtId="0" fontId="0" fillId="29" borderId="6" xfId="0" applyFill="1" applyBorder="1"/>
    <xf numFmtId="0" fontId="0" fillId="29" borderId="61" xfId="0" applyFill="1" applyBorder="1"/>
    <xf numFmtId="0" fontId="0" fillId="29" borderId="0" xfId="0" applyFill="1"/>
    <xf numFmtId="0" fontId="0" fillId="29" borderId="2" xfId="0" applyFill="1" applyBorder="1"/>
    <xf numFmtId="0" fontId="0" fillId="29" borderId="7" xfId="0" applyFill="1" applyBorder="1"/>
    <xf numFmtId="0" fontId="0" fillId="29" borderId="3" xfId="0" applyFill="1" applyBorder="1"/>
    <xf numFmtId="0" fontId="0" fillId="29" borderId="8" xfId="0" applyFill="1" applyBorder="1"/>
    <xf numFmtId="0" fontId="0" fillId="29" borderId="67" xfId="0" applyFill="1" applyBorder="1"/>
    <xf numFmtId="0" fontId="0" fillId="29" borderId="68" xfId="0" applyFill="1" applyBorder="1"/>
    <xf numFmtId="0" fontId="0" fillId="29" borderId="69" xfId="0" applyFill="1" applyBorder="1"/>
    <xf numFmtId="0" fontId="0" fillId="29" borderId="70" xfId="0" applyFill="1" applyBorder="1"/>
    <xf numFmtId="0" fontId="0" fillId="29" borderId="71" xfId="0" applyFill="1" applyBorder="1"/>
    <xf numFmtId="164" fontId="0" fillId="29" borderId="67" xfId="0" applyNumberFormat="1" applyFill="1" applyBorder="1"/>
    <xf numFmtId="164" fontId="37" fillId="29" borderId="0" xfId="0" applyNumberFormat="1" applyFont="1" applyFill="1"/>
    <xf numFmtId="164" fontId="0" fillId="29" borderId="0" xfId="0" applyNumberFormat="1" applyFill="1"/>
    <xf numFmtId="0" fontId="0" fillId="11" borderId="14" xfId="0" applyFill="1" applyBorder="1"/>
    <xf numFmtId="0" fontId="0" fillId="11" borderId="15" xfId="0" applyFill="1" applyBorder="1"/>
    <xf numFmtId="0" fontId="0" fillId="11" borderId="16" xfId="0" applyFill="1" applyBorder="1"/>
    <xf numFmtId="0" fontId="0" fillId="11" borderId="17" xfId="0" applyFill="1" applyBorder="1"/>
    <xf numFmtId="0" fontId="0" fillId="11" borderId="18" xfId="0" applyFill="1" applyBorder="1"/>
    <xf numFmtId="0" fontId="0" fillId="11" borderId="19" xfId="0" applyFill="1" applyBorder="1"/>
    <xf numFmtId="0" fontId="0" fillId="11" borderId="20" xfId="0" applyFill="1" applyBorder="1"/>
    <xf numFmtId="0" fontId="0" fillId="11" borderId="21" xfId="0" applyFill="1" applyBorder="1"/>
    <xf numFmtId="38" fontId="0" fillId="0" borderId="0" xfId="0" applyNumberFormat="1"/>
    <xf numFmtId="0" fontId="0" fillId="36" borderId="0" xfId="0" applyFill="1" applyAlignment="1">
      <alignment horizontal="center"/>
    </xf>
    <xf numFmtId="0" fontId="0" fillId="36" borderId="0" xfId="0" applyFill="1"/>
    <xf numFmtId="0" fontId="0" fillId="42" borderId="52" xfId="0" applyFill="1" applyBorder="1" applyAlignment="1">
      <alignment horizontal="center" vertical="top"/>
    </xf>
    <xf numFmtId="0" fontId="0" fillId="42" borderId="0" xfId="0" applyFill="1" applyAlignment="1">
      <alignment horizontal="center" vertical="top"/>
    </xf>
    <xf numFmtId="0" fontId="0" fillId="42" borderId="73" xfId="0" applyFill="1" applyBorder="1" applyAlignment="1">
      <alignment horizontal="center" vertical="top"/>
    </xf>
    <xf numFmtId="0" fontId="0" fillId="42" borderId="31" xfId="0" applyFill="1" applyBorder="1" applyAlignment="1">
      <alignment horizontal="center" vertical="top"/>
    </xf>
    <xf numFmtId="0" fontId="0" fillId="42" borderId="62" xfId="0" applyFill="1" applyBorder="1" applyAlignment="1">
      <alignment horizontal="center" vertical="top"/>
    </xf>
    <xf numFmtId="0" fontId="0" fillId="42" borderId="30" xfId="0" applyFill="1" applyBorder="1" applyAlignment="1">
      <alignment horizontal="center" vertical="top"/>
    </xf>
    <xf numFmtId="0" fontId="0" fillId="29" borderId="3" xfId="0" applyFill="1" applyBorder="1" applyAlignment="1">
      <alignment horizontal="center"/>
    </xf>
    <xf numFmtId="0" fontId="0" fillId="29" borderId="0" xfId="0" applyFill="1" applyAlignment="1">
      <alignment horizontal="center"/>
    </xf>
    <xf numFmtId="166" fontId="0" fillId="29" borderId="2" xfId="0" applyNumberFormat="1" applyFill="1" applyBorder="1"/>
    <xf numFmtId="0" fontId="0" fillId="29" borderId="2" xfId="0" applyFill="1" applyBorder="1" applyAlignment="1">
      <alignment horizontal="center"/>
    </xf>
    <xf numFmtId="168" fontId="0" fillId="29" borderId="0" xfId="0" applyNumberFormat="1" applyFill="1"/>
    <xf numFmtId="166" fontId="0" fillId="29" borderId="0" xfId="0" applyNumberFormat="1" applyFill="1"/>
    <xf numFmtId="166" fontId="0" fillId="29" borderId="3" xfId="0" applyNumberFormat="1" applyFill="1" applyBorder="1"/>
    <xf numFmtId="166" fontId="0" fillId="29" borderId="0" xfId="0" applyNumberFormat="1" applyFill="1" applyAlignment="1">
      <alignment horizontal="center"/>
    </xf>
    <xf numFmtId="166" fontId="0" fillId="29" borderId="3" xfId="0" applyNumberFormat="1" applyFill="1" applyBorder="1" applyAlignment="1">
      <alignment horizontal="center"/>
    </xf>
    <xf numFmtId="166" fontId="0" fillId="29" borderId="8" xfId="0" applyNumberFormat="1" applyFill="1" applyBorder="1"/>
    <xf numFmtId="0" fontId="0" fillId="14" borderId="0" xfId="0" applyFill="1"/>
    <xf numFmtId="0" fontId="0" fillId="43" borderId="0" xfId="0" applyFill="1"/>
    <xf numFmtId="0" fontId="0" fillId="43" borderId="14" xfId="0" applyFill="1" applyBorder="1"/>
    <xf numFmtId="0" fontId="0" fillId="43" borderId="15" xfId="0" applyFill="1" applyBorder="1"/>
    <xf numFmtId="0" fontId="0" fillId="43" borderId="16" xfId="0" applyFill="1" applyBorder="1"/>
    <xf numFmtId="0" fontId="0" fillId="43" borderId="17" xfId="0" applyFill="1" applyBorder="1"/>
    <xf numFmtId="0" fontId="0" fillId="43" borderId="18" xfId="0" applyFill="1" applyBorder="1"/>
    <xf numFmtId="0" fontId="0" fillId="43" borderId="19" xfId="0" applyFill="1" applyBorder="1"/>
    <xf numFmtId="0" fontId="0" fillId="43" borderId="20" xfId="0" applyFill="1" applyBorder="1"/>
    <xf numFmtId="0" fontId="0" fillId="43" borderId="21" xfId="0" applyFill="1" applyBorder="1"/>
    <xf numFmtId="0" fontId="0" fillId="14" borderId="16" xfId="0" applyFill="1" applyBorder="1"/>
    <xf numFmtId="0" fontId="0" fillId="14" borderId="0" xfId="0" applyFill="1" applyAlignment="1">
      <alignment horizontal="center"/>
    </xf>
    <xf numFmtId="2" fontId="0" fillId="6" borderId="36" xfId="0" applyNumberFormat="1" applyFill="1" applyBorder="1"/>
    <xf numFmtId="2" fontId="0" fillId="6" borderId="37" xfId="0" applyNumberFormat="1" applyFill="1" applyBorder="1"/>
    <xf numFmtId="2" fontId="0" fillId="7" borderId="36" xfId="0" applyNumberFormat="1" applyFill="1" applyBorder="1"/>
    <xf numFmtId="2" fontId="0" fillId="7" borderId="37" xfId="0" applyNumberFormat="1" applyFill="1" applyBorder="1"/>
    <xf numFmtId="2" fontId="0" fillId="6" borderId="54" xfId="0" applyNumberFormat="1" applyFill="1" applyBorder="1"/>
    <xf numFmtId="2" fontId="0" fillId="6" borderId="53" xfId="0" applyNumberFormat="1" applyFill="1" applyBorder="1"/>
    <xf numFmtId="0" fontId="0" fillId="0" borderId="0" xfId="0" applyProtection="1">
      <protection locked="0"/>
    </xf>
    <xf numFmtId="168" fontId="0" fillId="14" borderId="21" xfId="0" applyNumberFormat="1" applyFill="1" applyBorder="1"/>
    <xf numFmtId="0" fontId="27" fillId="9" borderId="59" xfId="0" applyFont="1" applyFill="1" applyBorder="1" applyAlignment="1">
      <alignment horizontal="right" vertical="center"/>
    </xf>
    <xf numFmtId="0" fontId="0" fillId="25" borderId="14" xfId="0" applyFill="1" applyBorder="1"/>
    <xf numFmtId="0" fontId="0" fillId="25" borderId="15" xfId="0" applyFill="1" applyBorder="1"/>
    <xf numFmtId="0" fontId="0" fillId="25" borderId="16" xfId="0" applyFill="1" applyBorder="1"/>
    <xf numFmtId="0" fontId="0" fillId="25" borderId="0" xfId="0" applyFill="1"/>
    <xf numFmtId="0" fontId="0" fillId="25" borderId="17" xfId="0" applyFill="1" applyBorder="1"/>
    <xf numFmtId="0" fontId="0" fillId="25" borderId="18" xfId="0" applyFill="1" applyBorder="1"/>
    <xf numFmtId="0" fontId="0" fillId="25" borderId="19" xfId="0" applyFill="1" applyBorder="1"/>
    <xf numFmtId="0" fontId="0" fillId="25" borderId="20" xfId="0" applyFill="1" applyBorder="1"/>
    <xf numFmtId="0" fontId="0" fillId="25" borderId="21" xfId="0" applyFill="1" applyBorder="1"/>
    <xf numFmtId="0" fontId="0" fillId="25" borderId="15" xfId="0" applyFill="1" applyBorder="1" applyAlignment="1">
      <alignment horizontal="center"/>
    </xf>
    <xf numFmtId="0" fontId="0" fillId="25" borderId="0" xfId="0" applyFill="1" applyAlignment="1">
      <alignment horizontal="center"/>
    </xf>
    <xf numFmtId="49" fontId="0" fillId="25" borderId="17" xfId="0" applyNumberFormat="1" applyFill="1" applyBorder="1"/>
    <xf numFmtId="49" fontId="0" fillId="25" borderId="0" xfId="0" applyNumberFormat="1" applyFill="1"/>
    <xf numFmtId="49" fontId="0" fillId="25" borderId="18" xfId="0" applyNumberFormat="1" applyFill="1" applyBorder="1"/>
    <xf numFmtId="0" fontId="0" fillId="25" borderId="15" xfId="0" applyFill="1" applyBorder="1" applyAlignment="1">
      <alignment horizontal="right"/>
    </xf>
    <xf numFmtId="0" fontId="0" fillId="4" borderId="17" xfId="0" applyFill="1" applyBorder="1"/>
    <xf numFmtId="0" fontId="0" fillId="4" borderId="18" xfId="0" applyFill="1" applyBorder="1"/>
    <xf numFmtId="49" fontId="0" fillId="4" borderId="17" xfId="0" applyNumberFormat="1" applyFill="1" applyBorder="1"/>
    <xf numFmtId="49" fontId="0" fillId="4" borderId="0" xfId="0" applyNumberFormat="1" applyFill="1"/>
    <xf numFmtId="49" fontId="0" fillId="4" borderId="18" xfId="0" applyNumberFormat="1" applyFill="1" applyBorder="1"/>
    <xf numFmtId="0" fontId="0" fillId="4" borderId="19" xfId="0" applyFill="1" applyBorder="1"/>
    <xf numFmtId="0" fontId="0" fillId="4" borderId="20" xfId="0" applyFill="1" applyBorder="1"/>
    <xf numFmtId="0" fontId="0" fillId="4" borderId="21" xfId="0" applyFill="1" applyBorder="1"/>
    <xf numFmtId="49" fontId="0" fillId="4" borderId="19" xfId="0" applyNumberFormat="1" applyFill="1" applyBorder="1"/>
    <xf numFmtId="49" fontId="0" fillId="4" borderId="20" xfId="0" applyNumberFormat="1" applyFill="1" applyBorder="1"/>
    <xf numFmtId="49" fontId="0" fillId="4" borderId="21" xfId="0" applyNumberFormat="1" applyFill="1" applyBorder="1"/>
    <xf numFmtId="4" fontId="0" fillId="0" borderId="0" xfId="0" applyNumberFormat="1"/>
    <xf numFmtId="0" fontId="0" fillId="6" borderId="89" xfId="0" applyFill="1" applyBorder="1"/>
    <xf numFmtId="0" fontId="24" fillId="22" borderId="15" xfId="0" applyFont="1" applyFill="1" applyBorder="1" applyAlignment="1">
      <alignment horizontal="center"/>
    </xf>
    <xf numFmtId="0" fontId="0" fillId="47" borderId="0" xfId="0" applyFill="1"/>
    <xf numFmtId="0" fontId="24" fillId="23" borderId="15" xfId="0" applyFont="1" applyFill="1" applyBorder="1" applyAlignment="1">
      <alignment horizontal="center" vertical="center"/>
    </xf>
    <xf numFmtId="0" fontId="26" fillId="22" borderId="46" xfId="0" applyFont="1" applyFill="1" applyBorder="1" applyAlignment="1">
      <alignment horizontal="right" wrapText="1"/>
    </xf>
    <xf numFmtId="0" fontId="27" fillId="10" borderId="46" xfId="0" applyFont="1" applyFill="1" applyBorder="1" applyAlignment="1">
      <alignment horizontal="right" wrapText="1"/>
    </xf>
    <xf numFmtId="164" fontId="0" fillId="46" borderId="44" xfId="0" applyNumberFormat="1" applyFill="1" applyBorder="1" applyAlignment="1">
      <alignment horizontal="center" vertical="center" shrinkToFit="1"/>
    </xf>
    <xf numFmtId="0" fontId="0" fillId="46" borderId="22" xfId="0" applyFill="1" applyBorder="1" applyAlignment="1">
      <alignment horizontal="center" vertical="center" shrinkToFit="1"/>
    </xf>
    <xf numFmtId="0" fontId="24" fillId="46" borderId="11" xfId="0" applyFont="1" applyFill="1" applyBorder="1" applyAlignment="1">
      <alignment horizontal="center" shrinkToFit="1"/>
    </xf>
    <xf numFmtId="0" fontId="24" fillId="46" borderId="11" xfId="0" applyFont="1" applyFill="1" applyBorder="1" applyAlignment="1">
      <alignment horizontal="center"/>
    </xf>
    <xf numFmtId="0" fontId="27" fillId="24" borderId="45" xfId="0" applyFont="1" applyFill="1" applyBorder="1" applyAlignment="1">
      <alignment wrapText="1"/>
    </xf>
    <xf numFmtId="0" fontId="27" fillId="9" borderId="45" xfId="0" applyFont="1" applyFill="1" applyBorder="1" applyAlignment="1">
      <alignment vertical="center" wrapText="1"/>
    </xf>
    <xf numFmtId="0" fontId="0" fillId="46" borderId="22" xfId="0" applyFill="1" applyBorder="1"/>
    <xf numFmtId="0" fontId="0" fillId="46" borderId="23" xfId="0" applyFill="1" applyBorder="1" applyAlignment="1">
      <alignment horizontal="center" shrinkToFit="1"/>
    </xf>
    <xf numFmtId="0" fontId="0" fillId="24" borderId="23" xfId="0" applyFill="1" applyBorder="1" applyAlignment="1">
      <alignment horizontal="center" shrinkToFit="1"/>
    </xf>
    <xf numFmtId="0" fontId="53" fillId="36" borderId="0" xfId="0" applyFont="1" applyFill="1"/>
    <xf numFmtId="0" fontId="0" fillId="36" borderId="81" xfId="0" applyFill="1" applyBorder="1"/>
    <xf numFmtId="0" fontId="0" fillId="36" borderId="77" xfId="0" applyFill="1" applyBorder="1"/>
    <xf numFmtId="0" fontId="0" fillId="36" borderId="92" xfId="0" applyFill="1" applyBorder="1"/>
    <xf numFmtId="0" fontId="0" fillId="36" borderId="93" xfId="0" applyFill="1" applyBorder="1"/>
    <xf numFmtId="0" fontId="0" fillId="36" borderId="78" xfId="0" applyFill="1" applyBorder="1"/>
    <xf numFmtId="0" fontId="59" fillId="36" borderId="81" xfId="0" applyFont="1" applyFill="1" applyBorder="1" applyAlignment="1">
      <alignment horizontal="right"/>
    </xf>
    <xf numFmtId="0" fontId="58" fillId="36" borderId="81" xfId="3" applyFont="1" applyFill="1" applyBorder="1" applyAlignment="1" applyProtection="1">
      <alignment horizontal="center"/>
    </xf>
    <xf numFmtId="0" fontId="41" fillId="36" borderId="81" xfId="0" applyFont="1" applyFill="1" applyBorder="1"/>
    <xf numFmtId="0" fontId="41" fillId="36" borderId="0" xfId="0" applyFont="1" applyFill="1"/>
    <xf numFmtId="0" fontId="41" fillId="36" borderId="77" xfId="0" applyFont="1" applyFill="1" applyBorder="1"/>
    <xf numFmtId="0" fontId="48" fillId="0" borderId="0" xfId="0" applyFont="1"/>
    <xf numFmtId="0" fontId="3" fillId="20" borderId="0" xfId="2" applyFont="1" applyFill="1" applyAlignment="1">
      <alignment horizontal="left"/>
    </xf>
    <xf numFmtId="0" fontId="37" fillId="36" borderId="0" xfId="0" applyFont="1" applyFill="1"/>
    <xf numFmtId="0" fontId="27" fillId="10" borderId="45" xfId="0" applyFont="1" applyFill="1" applyBorder="1"/>
    <xf numFmtId="0" fontId="24" fillId="45" borderId="12" xfId="0" applyFont="1" applyFill="1" applyBorder="1" applyAlignment="1">
      <alignment horizontal="center" vertical="center"/>
    </xf>
    <xf numFmtId="0" fontId="0" fillId="0" borderId="0" xfId="0"/>
    <xf numFmtId="0" fontId="0" fillId="27" borderId="0" xfId="0" applyFill="1" applyAlignment="1">
      <alignment horizontal="centerContinuous"/>
    </xf>
    <xf numFmtId="0" fontId="14" fillId="0" borderId="0" xfId="3" applyAlignment="1" applyProtection="1"/>
    <xf numFmtId="0" fontId="24" fillId="35" borderId="0" xfId="0" applyFont="1" applyFill="1" applyAlignment="1">
      <alignment horizontal="center"/>
    </xf>
    <xf numFmtId="0" fontId="0" fillId="19" borderId="0" xfId="0" applyFill="1" applyBorder="1"/>
    <xf numFmtId="164" fontId="0" fillId="46" borderId="23" xfId="0" applyNumberFormat="1" applyFill="1" applyBorder="1" applyAlignment="1">
      <alignment horizontal="center" vertical="center" shrinkToFit="1"/>
    </xf>
    <xf numFmtId="0" fontId="0" fillId="24" borderId="18" xfId="0" applyFill="1" applyBorder="1" applyAlignment="1">
      <alignment horizontal="center" shrinkToFit="1"/>
    </xf>
    <xf numFmtId="0" fontId="41" fillId="9" borderId="0" xfId="0" applyFont="1" applyFill="1" applyBorder="1" applyAlignment="1">
      <alignment horizontal="right" vertical="center"/>
    </xf>
    <xf numFmtId="0" fontId="41" fillId="9" borderId="23" xfId="0" applyFont="1" applyFill="1" applyBorder="1" applyAlignment="1">
      <alignment vertical="center"/>
    </xf>
    <xf numFmtId="0" fontId="41" fillId="24" borderId="23" xfId="0" applyFont="1" applyFill="1" applyBorder="1" applyAlignment="1">
      <alignment vertical="center"/>
    </xf>
    <xf numFmtId="0" fontId="41" fillId="24" borderId="17" xfId="0" applyFont="1" applyFill="1" applyBorder="1" applyAlignment="1">
      <alignment vertical="center"/>
    </xf>
    <xf numFmtId="0" fontId="41" fillId="9" borderId="0" xfId="0" applyFont="1" applyFill="1" applyBorder="1" applyAlignment="1">
      <alignment vertical="center"/>
    </xf>
    <xf numFmtId="0" fontId="63" fillId="9" borderId="23" xfId="0" applyFont="1" applyFill="1" applyBorder="1" applyAlignment="1">
      <alignment vertical="center"/>
    </xf>
    <xf numFmtId="0" fontId="41" fillId="9" borderId="23" xfId="0" applyFont="1" applyFill="1" applyBorder="1" applyAlignment="1">
      <alignment wrapText="1"/>
    </xf>
    <xf numFmtId="0" fontId="41" fillId="22" borderId="23" xfId="0" applyFont="1" applyFill="1" applyBorder="1" applyAlignment="1">
      <alignment horizontal="right" wrapText="1"/>
    </xf>
    <xf numFmtId="0" fontId="41" fillId="24" borderId="23" xfId="0" applyFont="1" applyFill="1" applyBorder="1" applyAlignment="1">
      <alignment horizontal="right" vertical="center"/>
    </xf>
    <xf numFmtId="0" fontId="41" fillId="10" borderId="23" xfId="0" applyFont="1" applyFill="1" applyBorder="1" applyAlignment="1">
      <alignment horizontal="right" wrapText="1"/>
    </xf>
    <xf numFmtId="0" fontId="41" fillId="10" borderId="23" xfId="0" applyFont="1" applyFill="1" applyBorder="1" applyAlignment="1">
      <alignment wrapText="1"/>
    </xf>
    <xf numFmtId="0" fontId="0" fillId="19" borderId="0" xfId="0" applyFill="1" applyBorder="1" applyAlignment="1"/>
    <xf numFmtId="0" fontId="36" fillId="14" borderId="60" xfId="0" applyFont="1" applyFill="1" applyBorder="1" applyAlignment="1">
      <alignment horizontal="right" vertical="center"/>
    </xf>
    <xf numFmtId="0" fontId="36" fillId="14" borderId="48" xfId="0" applyFont="1" applyFill="1" applyBorder="1" applyAlignment="1">
      <alignment vertical="center"/>
    </xf>
    <xf numFmtId="0" fontId="36" fillId="50" borderId="48" xfId="0" applyFont="1" applyFill="1" applyBorder="1" applyAlignment="1">
      <alignment vertical="center"/>
    </xf>
    <xf numFmtId="0" fontId="36" fillId="50" borderId="47" xfId="0" applyFont="1" applyFill="1" applyBorder="1" applyAlignment="1">
      <alignment vertical="center"/>
    </xf>
    <xf numFmtId="0" fontId="36" fillId="14" borderId="60" xfId="0" applyFont="1" applyFill="1" applyBorder="1" applyAlignment="1">
      <alignment vertical="center"/>
    </xf>
    <xf numFmtId="0" fontId="36" fillId="9" borderId="48" xfId="0" applyFont="1" applyFill="1" applyBorder="1" applyAlignment="1">
      <alignment wrapText="1"/>
    </xf>
    <xf numFmtId="0" fontId="36" fillId="10" borderId="48" xfId="0" applyFont="1" applyFill="1" applyBorder="1" applyAlignment="1">
      <alignment wrapText="1"/>
    </xf>
    <xf numFmtId="0" fontId="36" fillId="50" borderId="48" xfId="0" applyFont="1" applyFill="1" applyBorder="1" applyAlignment="1">
      <alignment horizontal="right" wrapText="1"/>
    </xf>
    <xf numFmtId="0" fontId="36" fillId="22" borderId="63" xfId="0" applyFont="1" applyFill="1" applyBorder="1" applyAlignment="1">
      <alignment horizontal="right" wrapText="1"/>
    </xf>
    <xf numFmtId="0" fontId="41" fillId="9" borderId="17" xfId="0" applyFont="1" applyFill="1" applyBorder="1" applyAlignment="1">
      <alignment vertical="center" wrapText="1"/>
    </xf>
    <xf numFmtId="0" fontId="41" fillId="9" borderId="17" xfId="0" applyFont="1" applyFill="1" applyBorder="1"/>
    <xf numFmtId="0" fontId="41" fillId="10" borderId="17" xfId="0" applyFont="1" applyFill="1" applyBorder="1"/>
    <xf numFmtId="0" fontId="41" fillId="24" borderId="94" xfId="0" applyFont="1" applyFill="1" applyBorder="1"/>
    <xf numFmtId="0" fontId="41" fillId="24" borderId="17" xfId="0" applyFont="1" applyFill="1" applyBorder="1" applyAlignment="1">
      <alignment wrapText="1"/>
    </xf>
    <xf numFmtId="0" fontId="36" fillId="14" borderId="47" xfId="0" applyFont="1" applyFill="1" applyBorder="1" applyAlignment="1">
      <alignment wrapText="1"/>
    </xf>
    <xf numFmtId="0" fontId="36" fillId="50" borderId="47" xfId="0" applyFont="1" applyFill="1" applyBorder="1"/>
    <xf numFmtId="0" fontId="27" fillId="31" borderId="23" xfId="0" applyFont="1" applyFill="1" applyBorder="1"/>
    <xf numFmtId="0" fontId="40" fillId="31" borderId="23" xfId="0" applyFont="1" applyFill="1" applyBorder="1"/>
    <xf numFmtId="0" fontId="24" fillId="23" borderId="44" xfId="0" applyFont="1" applyFill="1" applyBorder="1" applyAlignment="1">
      <alignment horizontal="center" vertical="center"/>
    </xf>
    <xf numFmtId="0" fontId="27" fillId="23" borderId="23" xfId="0" applyFont="1" applyFill="1" applyBorder="1"/>
    <xf numFmtId="0" fontId="40" fillId="23" borderId="23" xfId="0" applyFont="1" applyFill="1" applyBorder="1"/>
    <xf numFmtId="0" fontId="24" fillId="4" borderId="0" xfId="0" applyFont="1" applyFill="1" applyAlignment="1"/>
    <xf numFmtId="0" fontId="0" fillId="0" borderId="0" xfId="0"/>
    <xf numFmtId="0" fontId="0" fillId="19" borderId="0" xfId="0" applyFill="1" applyBorder="1" applyAlignment="1">
      <alignment vertical="center"/>
    </xf>
    <xf numFmtId="0" fontId="0" fillId="0" borderId="0" xfId="0"/>
    <xf numFmtId="0" fontId="0" fillId="23" borderId="15" xfId="0" applyFill="1" applyBorder="1" applyAlignment="1">
      <alignment wrapText="1"/>
    </xf>
    <xf numFmtId="0" fontId="0" fillId="23" borderId="16" xfId="0" applyFill="1" applyBorder="1" applyAlignment="1">
      <alignment wrapText="1"/>
    </xf>
    <xf numFmtId="0" fontId="0" fillId="23" borderId="0" xfId="0" applyFill="1" applyBorder="1" applyAlignment="1">
      <alignment wrapText="1"/>
    </xf>
    <xf numFmtId="0" fontId="0" fillId="23" borderId="18" xfId="0" applyFill="1" applyBorder="1" applyAlignment="1">
      <alignment wrapText="1"/>
    </xf>
    <xf numFmtId="0" fontId="0" fillId="23" borderId="20" xfId="0" applyFill="1" applyBorder="1" applyAlignment="1">
      <alignment wrapText="1"/>
    </xf>
    <xf numFmtId="0" fontId="0" fillId="23" borderId="21" xfId="0" applyFill="1" applyBorder="1" applyAlignment="1">
      <alignment wrapText="1"/>
    </xf>
    <xf numFmtId="0" fontId="41" fillId="10" borderId="94" xfId="0" applyFont="1" applyFill="1" applyBorder="1" applyAlignment="1">
      <alignment wrapText="1"/>
    </xf>
    <xf numFmtId="0" fontId="36" fillId="50" borderId="48" xfId="0" applyFont="1" applyFill="1" applyBorder="1" applyAlignment="1">
      <alignment wrapText="1"/>
    </xf>
    <xf numFmtId="0" fontId="0" fillId="22" borderId="15" xfId="0" applyFill="1" applyBorder="1" applyAlignment="1">
      <alignment wrapText="1"/>
    </xf>
    <xf numFmtId="0" fontId="0" fillId="22" borderId="16" xfId="0" applyFill="1" applyBorder="1" applyAlignment="1">
      <alignment wrapText="1"/>
    </xf>
    <xf numFmtId="0" fontId="0" fillId="22" borderId="0" xfId="0" applyFill="1" applyBorder="1" applyAlignment="1">
      <alignment wrapText="1"/>
    </xf>
    <xf numFmtId="0" fontId="0" fillId="22" borderId="18" xfId="0" applyFill="1" applyBorder="1" applyAlignment="1">
      <alignment wrapText="1"/>
    </xf>
    <xf numFmtId="0" fontId="0" fillId="22" borderId="20" xfId="0" applyFill="1" applyBorder="1" applyAlignment="1">
      <alignment wrapText="1"/>
    </xf>
    <xf numFmtId="0" fontId="0" fillId="22" borderId="21" xfId="0" applyFill="1" applyBorder="1" applyAlignment="1">
      <alignment wrapText="1"/>
    </xf>
    <xf numFmtId="0" fontId="41" fillId="9" borderId="94" xfId="0" applyFont="1" applyFill="1" applyBorder="1" applyAlignment="1">
      <alignment wrapText="1"/>
    </xf>
    <xf numFmtId="0" fontId="36" fillId="49" borderId="48" xfId="0" applyFont="1" applyFill="1" applyBorder="1" applyAlignment="1">
      <alignment wrapText="1"/>
    </xf>
    <xf numFmtId="0" fontId="36" fillId="50" borderId="22" xfId="0" applyFont="1" applyFill="1" applyBorder="1"/>
    <xf numFmtId="0" fontId="36" fillId="50" borderId="47" xfId="0" applyFont="1" applyFill="1" applyBorder="1" applyAlignment="1">
      <alignment wrapText="1"/>
    </xf>
    <xf numFmtId="0" fontId="0" fillId="23" borderId="22" xfId="0" applyFill="1" applyBorder="1"/>
    <xf numFmtId="0" fontId="36" fillId="50" borderId="11" xfId="0" applyFont="1" applyFill="1" applyBorder="1"/>
    <xf numFmtId="0" fontId="36" fillId="50" borderId="11" xfId="0" applyFont="1" applyFill="1" applyBorder="1" applyAlignment="1">
      <alignment wrapText="1"/>
    </xf>
    <xf numFmtId="0" fontId="27" fillId="50" borderId="11" xfId="0" applyFont="1" applyFill="1" applyBorder="1"/>
    <xf numFmtId="0" fontId="27" fillId="50" borderId="11" xfId="0" applyFont="1" applyFill="1" applyBorder="1" applyAlignment="1">
      <alignment wrapText="1"/>
    </xf>
    <xf numFmtId="0" fontId="27" fillId="49" borderId="44" xfId="0" applyFont="1" applyFill="1" applyBorder="1"/>
    <xf numFmtId="0" fontId="27" fillId="49" borderId="46" xfId="0" applyFont="1" applyFill="1" applyBorder="1"/>
    <xf numFmtId="0" fontId="36" fillId="49" borderId="94" xfId="0" applyFont="1" applyFill="1" applyBorder="1"/>
    <xf numFmtId="0" fontId="0" fillId="0" borderId="0" xfId="0"/>
    <xf numFmtId="0" fontId="0" fillId="0" borderId="0" xfId="0" applyAlignment="1">
      <alignment horizontal="center"/>
    </xf>
    <xf numFmtId="0" fontId="0" fillId="0" borderId="0" xfId="0"/>
    <xf numFmtId="0" fontId="0" fillId="0" borderId="0" xfId="0" applyAlignment="1">
      <alignment horizontal="center"/>
    </xf>
    <xf numFmtId="168" fontId="0" fillId="0" borderId="0" xfId="0" applyNumberFormat="1"/>
    <xf numFmtId="168" fontId="0" fillId="0" borderId="0" xfId="0" applyNumberFormat="1" applyAlignment="1">
      <alignment horizontal="right"/>
    </xf>
    <xf numFmtId="4" fontId="0" fillId="46" borderId="23" xfId="0" applyNumberFormat="1" applyFill="1" applyBorder="1" applyAlignment="1">
      <alignment horizontal="center" vertical="center"/>
    </xf>
    <xf numFmtId="164" fontId="0" fillId="24" borderId="44" xfId="0" applyNumberFormat="1" applyFill="1" applyBorder="1" applyAlignment="1">
      <alignment horizontal="center" vertical="center"/>
    </xf>
    <xf numFmtId="0" fontId="0" fillId="0" borderId="0" xfId="0"/>
    <xf numFmtId="0" fontId="0" fillId="19" borderId="0" xfId="0" applyFill="1" applyAlignment="1">
      <alignment horizontal="left"/>
    </xf>
    <xf numFmtId="0" fontId="0" fillId="0" borderId="0" xfId="0"/>
    <xf numFmtId="169" fontId="0" fillId="46" borderId="23" xfId="0" applyNumberFormat="1" applyFill="1" applyBorder="1" applyAlignment="1">
      <alignment horizontal="center" vertical="center"/>
    </xf>
    <xf numFmtId="0" fontId="36" fillId="49" borderId="47" xfId="0" applyFont="1" applyFill="1" applyBorder="1"/>
    <xf numFmtId="0" fontId="0" fillId="31" borderId="22" xfId="0" applyFill="1" applyBorder="1"/>
    <xf numFmtId="0" fontId="3" fillId="4" borderId="0" xfId="2" applyFont="1" applyFill="1" applyBorder="1"/>
    <xf numFmtId="168" fontId="3" fillId="4" borderId="0" xfId="2" applyNumberFormat="1" applyFont="1" applyFill="1"/>
    <xf numFmtId="0" fontId="0" fillId="4" borderId="0" xfId="0" applyFill="1" applyAlignment="1">
      <alignment horizontal="center" wrapText="1"/>
    </xf>
    <xf numFmtId="0" fontId="0" fillId="4" borderId="73" xfId="0" applyFill="1" applyBorder="1" applyAlignment="1">
      <alignment horizontal="center" wrapText="1"/>
    </xf>
    <xf numFmtId="0" fontId="14" fillId="44" borderId="0" xfId="3" applyFill="1" applyAlignment="1" applyProtection="1"/>
    <xf numFmtId="0" fontId="0" fillId="0" borderId="0" xfId="0"/>
    <xf numFmtId="3" fontId="0" fillId="0" borderId="0" xfId="0" applyNumberFormat="1" applyAlignment="1">
      <alignment horizontal="center"/>
    </xf>
    <xf numFmtId="0" fontId="0" fillId="0" borderId="0" xfId="0" applyAlignment="1">
      <alignment horizontal="center" vertical="center"/>
    </xf>
    <xf numFmtId="0" fontId="0" fillId="0" borderId="0" xfId="0"/>
    <xf numFmtId="0" fontId="0" fillId="0" borderId="0" xfId="0" applyBorder="1"/>
    <xf numFmtId="0" fontId="0" fillId="0" borderId="0" xfId="0" applyBorder="1" applyAlignment="1">
      <alignment horizontal="center" vertical="center"/>
    </xf>
    <xf numFmtId="168" fontId="0" fillId="0" borderId="0" xfId="0" applyNumberFormat="1" applyBorder="1"/>
    <xf numFmtId="49" fontId="0" fillId="0" borderId="0" xfId="0" applyNumberFormat="1" applyBorder="1" applyAlignment="1">
      <alignment horizontal="center" vertical="center"/>
    </xf>
    <xf numFmtId="4" fontId="0" fillId="0" borderId="0" xfId="0" applyNumberFormat="1" applyBorder="1"/>
    <xf numFmtId="3" fontId="0" fillId="0" borderId="0" xfId="0" applyNumberFormat="1" applyAlignment="1">
      <alignment horizontal="center" vertical="center"/>
    </xf>
    <xf numFmtId="0" fontId="3" fillId="9" borderId="14" xfId="2" applyFont="1" applyFill="1" applyBorder="1" applyAlignment="1">
      <alignment horizontal="center" vertical="center"/>
    </xf>
    <xf numFmtId="0" fontId="3" fillId="9" borderId="15" xfId="2" applyFont="1" applyFill="1" applyBorder="1" applyAlignment="1">
      <alignment horizontal="center" vertical="center"/>
    </xf>
    <xf numFmtId="0" fontId="3" fillId="9" borderId="16" xfId="2" applyFont="1" applyFill="1" applyBorder="1" applyAlignment="1">
      <alignment horizontal="center" vertical="center"/>
    </xf>
    <xf numFmtId="165" fontId="65" fillId="9" borderId="19" xfId="2" applyNumberFormat="1" applyFont="1" applyFill="1" applyBorder="1" applyAlignment="1">
      <alignment horizontal="center" vertical="center"/>
    </xf>
    <xf numFmtId="168" fontId="65" fillId="9" borderId="20" xfId="2" applyNumberFormat="1" applyFont="1" applyFill="1" applyBorder="1" applyAlignment="1">
      <alignment horizontal="center" vertical="center"/>
    </xf>
    <xf numFmtId="168" fontId="65" fillId="9" borderId="21" xfId="2" applyNumberFormat="1" applyFont="1" applyFill="1" applyBorder="1" applyAlignment="1">
      <alignment horizontal="center" vertical="center"/>
    </xf>
    <xf numFmtId="168" fontId="3" fillId="32" borderId="4" xfId="1" applyNumberFormat="1" applyFont="1" applyFill="1" applyBorder="1" applyAlignment="1">
      <alignment horizontal="center" vertical="center"/>
    </xf>
    <xf numFmtId="168" fontId="3" fillId="32" borderId="5" xfId="1" applyNumberFormat="1" applyFont="1" applyFill="1" applyBorder="1" applyAlignment="1">
      <alignment horizontal="center" vertical="center"/>
    </xf>
    <xf numFmtId="168" fontId="3" fillId="32" borderId="6" xfId="1" applyNumberFormat="1" applyFont="1" applyFill="1" applyBorder="1" applyAlignment="1">
      <alignment horizontal="center" vertical="center"/>
    </xf>
    <xf numFmtId="168" fontId="65" fillId="32" borderId="7" xfId="1" applyNumberFormat="1" applyFont="1" applyFill="1" applyBorder="1" applyAlignment="1">
      <alignment horizontal="center" vertical="center"/>
    </xf>
    <xf numFmtId="168" fontId="65" fillId="32" borderId="3" xfId="1" applyNumberFormat="1" applyFont="1" applyFill="1" applyBorder="1" applyAlignment="1">
      <alignment horizontal="center" vertical="center"/>
    </xf>
    <xf numFmtId="168" fontId="65" fillId="32" borderId="8" xfId="1" applyNumberFormat="1" applyFont="1" applyFill="1" applyBorder="1" applyAlignment="1">
      <alignment horizontal="center" vertical="center"/>
    </xf>
    <xf numFmtId="168" fontId="3" fillId="39" borderId="14" xfId="1" applyNumberFormat="1" applyFont="1" applyFill="1" applyBorder="1" applyAlignment="1">
      <alignment horizontal="center" vertical="center"/>
    </xf>
    <xf numFmtId="168" fontId="3" fillId="39" borderId="15" xfId="1" applyNumberFormat="1" applyFont="1" applyFill="1" applyBorder="1" applyAlignment="1">
      <alignment horizontal="center" vertical="center"/>
    </xf>
    <xf numFmtId="168" fontId="3" fillId="39" borderId="16" xfId="1" applyNumberFormat="1" applyFont="1" applyFill="1" applyBorder="1" applyAlignment="1">
      <alignment horizontal="center" vertical="center"/>
    </xf>
    <xf numFmtId="168" fontId="65" fillId="39" borderId="19" xfId="1" applyNumberFormat="1" applyFont="1" applyFill="1" applyBorder="1" applyAlignment="1">
      <alignment horizontal="center" vertical="center"/>
    </xf>
    <xf numFmtId="168" fontId="65" fillId="39" borderId="20" xfId="1" applyNumberFormat="1" applyFont="1" applyFill="1" applyBorder="1" applyAlignment="1">
      <alignment horizontal="center" vertical="center"/>
    </xf>
    <xf numFmtId="168" fontId="65" fillId="39" borderId="21" xfId="1" applyNumberFormat="1" applyFont="1" applyFill="1" applyBorder="1" applyAlignment="1">
      <alignment horizontal="center" vertical="center"/>
    </xf>
    <xf numFmtId="168" fontId="65" fillId="14" borderId="14" xfId="1" applyNumberFormat="1" applyFont="1" applyFill="1" applyBorder="1" applyAlignment="1">
      <alignment horizontal="center" vertical="center"/>
    </xf>
    <xf numFmtId="168" fontId="65" fillId="14" borderId="15" xfId="1" applyNumberFormat="1" applyFont="1" applyFill="1" applyBorder="1" applyAlignment="1">
      <alignment horizontal="center" vertical="center"/>
    </xf>
    <xf numFmtId="168" fontId="65" fillId="14" borderId="16" xfId="1" applyNumberFormat="1" applyFont="1" applyFill="1" applyBorder="1" applyAlignment="1">
      <alignment horizontal="center" vertical="center"/>
    </xf>
    <xf numFmtId="168" fontId="65" fillId="14" borderId="19" xfId="1" applyNumberFormat="1" applyFont="1" applyFill="1" applyBorder="1" applyAlignment="1">
      <alignment horizontal="center" vertical="center"/>
    </xf>
    <xf numFmtId="168" fontId="37" fillId="14" borderId="20" xfId="1" applyNumberFormat="1" applyFont="1" applyFill="1" applyBorder="1" applyAlignment="1">
      <alignment horizontal="center" vertical="center"/>
    </xf>
    <xf numFmtId="168" fontId="65" fillId="14" borderId="21" xfId="1" applyNumberFormat="1" applyFont="1" applyFill="1" applyBorder="1" applyAlignment="1">
      <alignment horizontal="center" vertical="center"/>
    </xf>
    <xf numFmtId="165" fontId="37" fillId="32" borderId="19" xfId="4" applyNumberFormat="1" applyFont="1" applyFill="1" applyBorder="1" applyAlignment="1">
      <alignment horizontal="center" vertical="center"/>
    </xf>
    <xf numFmtId="165" fontId="37" fillId="32" borderId="20" xfId="4" applyNumberFormat="1" applyFont="1" applyFill="1" applyBorder="1" applyAlignment="1">
      <alignment horizontal="center" vertical="center"/>
    </xf>
    <xf numFmtId="167" fontId="37" fillId="32" borderId="21" xfId="4" applyFont="1" applyFill="1" applyBorder="1" applyAlignment="1">
      <alignment horizontal="center" vertical="center"/>
    </xf>
    <xf numFmtId="165" fontId="37" fillId="33" borderId="22" xfId="4" applyNumberFormat="1" applyFont="1" applyFill="1" applyBorder="1"/>
    <xf numFmtId="168" fontId="3" fillId="29" borderId="4" xfId="1" applyNumberFormat="1" applyFont="1" applyFill="1" applyBorder="1" applyAlignment="1">
      <alignment horizontal="center" vertical="center"/>
    </xf>
    <xf numFmtId="168" fontId="3" fillId="29" borderId="5" xfId="1" applyNumberFormat="1" applyFont="1" applyFill="1" applyBorder="1" applyAlignment="1">
      <alignment horizontal="center" vertical="center"/>
    </xf>
    <xf numFmtId="168" fontId="3" fillId="29" borderId="6" xfId="1" applyNumberFormat="1" applyFont="1" applyFill="1" applyBorder="1" applyAlignment="1">
      <alignment horizontal="center" vertical="center"/>
    </xf>
    <xf numFmtId="168" fontId="65" fillId="29" borderId="7" xfId="1" applyNumberFormat="1" applyFont="1" applyFill="1" applyBorder="1" applyAlignment="1">
      <alignment horizontal="center" vertical="center"/>
    </xf>
    <xf numFmtId="168" fontId="65" fillId="29" borderId="3" xfId="1" applyNumberFormat="1" applyFont="1" applyFill="1" applyBorder="1" applyAlignment="1">
      <alignment horizontal="center" vertical="center"/>
    </xf>
    <xf numFmtId="168" fontId="65" fillId="29" borderId="8" xfId="1" applyNumberFormat="1" applyFont="1" applyFill="1" applyBorder="1" applyAlignment="1">
      <alignment horizontal="center" vertical="center"/>
    </xf>
    <xf numFmtId="0" fontId="0" fillId="36" borderId="14" xfId="0" applyFill="1" applyBorder="1" applyAlignment="1">
      <alignment horizontal="center" vertical="center"/>
    </xf>
    <xf numFmtId="0" fontId="0" fillId="36" borderId="15" xfId="0" applyFill="1" applyBorder="1" applyAlignment="1">
      <alignment horizontal="center" vertical="center"/>
    </xf>
    <xf numFmtId="0" fontId="0" fillId="36" borderId="16" xfId="0" applyFill="1" applyBorder="1" applyAlignment="1">
      <alignment horizontal="center" vertical="center"/>
    </xf>
    <xf numFmtId="168" fontId="37" fillId="36" borderId="19" xfId="0" applyNumberFormat="1" applyFont="1" applyFill="1" applyBorder="1" applyAlignment="1">
      <alignment horizontal="center" vertical="center"/>
    </xf>
    <xf numFmtId="168" fontId="37" fillId="36" borderId="20" xfId="0" applyNumberFormat="1" applyFont="1" applyFill="1" applyBorder="1" applyAlignment="1">
      <alignment horizontal="center" vertical="center"/>
    </xf>
    <xf numFmtId="166" fontId="37" fillId="36" borderId="21" xfId="0" applyNumberFormat="1" applyFont="1" applyFill="1" applyBorder="1" applyAlignment="1">
      <alignment horizontal="center" vertical="center"/>
    </xf>
    <xf numFmtId="0" fontId="0" fillId="14" borderId="14" xfId="0" applyFill="1" applyBorder="1" applyAlignment="1">
      <alignment horizontal="center" vertical="center"/>
    </xf>
    <xf numFmtId="0" fontId="0" fillId="14" borderId="15" xfId="0" applyFill="1" applyBorder="1" applyAlignment="1">
      <alignment horizontal="center" vertical="center"/>
    </xf>
    <xf numFmtId="168" fontId="37" fillId="14" borderId="19" xfId="0" applyNumberFormat="1" applyFont="1" applyFill="1" applyBorder="1" applyAlignment="1">
      <alignment horizontal="center" vertical="center"/>
    </xf>
    <xf numFmtId="168" fontId="37" fillId="14" borderId="20" xfId="0" applyNumberFormat="1" applyFont="1" applyFill="1" applyBorder="1" applyAlignment="1">
      <alignment horizontal="center" vertical="center"/>
    </xf>
    <xf numFmtId="0" fontId="0" fillId="25" borderId="14" xfId="0" applyFont="1" applyFill="1" applyBorder="1" applyAlignment="1">
      <alignment horizontal="center" vertical="center"/>
    </xf>
    <xf numFmtId="0" fontId="0" fillId="25" borderId="15" xfId="0" applyFont="1" applyFill="1" applyBorder="1" applyAlignment="1">
      <alignment horizontal="center" vertical="center"/>
    </xf>
    <xf numFmtId="0" fontId="0" fillId="25" borderId="16" xfId="0" applyFont="1" applyFill="1" applyBorder="1" applyAlignment="1">
      <alignment horizontal="center" vertical="center"/>
    </xf>
    <xf numFmtId="168" fontId="37" fillId="25" borderId="19" xfId="0" applyNumberFormat="1" applyFont="1" applyFill="1" applyBorder="1" applyAlignment="1">
      <alignment horizontal="center" vertical="center"/>
    </xf>
    <xf numFmtId="168" fontId="37" fillId="25" borderId="20" xfId="0" applyNumberFormat="1" applyFont="1" applyFill="1" applyBorder="1" applyAlignment="1">
      <alignment horizontal="center" vertical="center"/>
    </xf>
    <xf numFmtId="168" fontId="37" fillId="25" borderId="21" xfId="0" applyNumberFormat="1" applyFont="1" applyFill="1" applyBorder="1" applyAlignment="1">
      <alignment horizontal="center" vertical="center"/>
    </xf>
    <xf numFmtId="168" fontId="15" fillId="18" borderId="0" xfId="1" applyNumberFormat="1" applyFont="1" applyFill="1" applyBorder="1"/>
    <xf numFmtId="0" fontId="3" fillId="18" borderId="0" xfId="1" applyFont="1" applyFill="1" applyBorder="1" applyAlignment="1">
      <alignment horizontal="center"/>
    </xf>
    <xf numFmtId="168" fontId="3" fillId="19" borderId="14" xfId="1" applyNumberFormat="1" applyFont="1" applyFill="1" applyBorder="1" applyAlignment="1">
      <alignment horizontal="center" vertical="center"/>
    </xf>
    <xf numFmtId="168" fontId="3" fillId="19" borderId="15" xfId="1" applyNumberFormat="1" applyFont="1" applyFill="1" applyBorder="1" applyAlignment="1">
      <alignment horizontal="center" vertical="center"/>
    </xf>
    <xf numFmtId="168" fontId="3" fillId="19" borderId="16" xfId="1" applyNumberFormat="1" applyFont="1" applyFill="1" applyBorder="1" applyAlignment="1">
      <alignment horizontal="center" vertical="center"/>
    </xf>
    <xf numFmtId="168" fontId="65" fillId="19" borderId="19" xfId="1" applyNumberFormat="1" applyFont="1" applyFill="1" applyBorder="1" applyAlignment="1">
      <alignment horizontal="center" vertical="center"/>
    </xf>
    <xf numFmtId="168" fontId="65" fillId="19" borderId="20" xfId="1" applyNumberFormat="1" applyFont="1" applyFill="1" applyBorder="1" applyAlignment="1">
      <alignment horizontal="center" vertical="center"/>
    </xf>
    <xf numFmtId="168" fontId="65" fillId="19" borderId="21" xfId="1" applyNumberFormat="1" applyFont="1" applyFill="1" applyBorder="1" applyAlignment="1">
      <alignment horizontal="center" vertical="center"/>
    </xf>
    <xf numFmtId="0" fontId="0" fillId="0" borderId="95" xfId="0" applyBorder="1"/>
    <xf numFmtId="0" fontId="0" fillId="0" borderId="96" xfId="0" applyBorder="1"/>
    <xf numFmtId="0" fontId="0" fillId="0" borderId="97" xfId="0" applyBorder="1"/>
    <xf numFmtId="0" fontId="0" fillId="0" borderId="98" xfId="0" applyBorder="1"/>
    <xf numFmtId="0" fontId="0" fillId="0" borderId="99" xfId="0" applyBorder="1"/>
    <xf numFmtId="168" fontId="0" fillId="0" borderId="99" xfId="0" applyNumberFormat="1" applyBorder="1"/>
    <xf numFmtId="0" fontId="0" fillId="0" borderId="100" xfId="0" applyBorder="1"/>
    <xf numFmtId="0" fontId="0" fillId="0" borderId="101" xfId="0" applyBorder="1"/>
    <xf numFmtId="0" fontId="0" fillId="0" borderId="102" xfId="0" applyBorder="1"/>
    <xf numFmtId="0" fontId="66" fillId="4" borderId="0" xfId="0" applyFont="1" applyFill="1"/>
    <xf numFmtId="0" fontId="66" fillId="17" borderId="0" xfId="0" applyFont="1" applyFill="1"/>
    <xf numFmtId="0" fontId="66" fillId="11" borderId="0" xfId="0" applyFont="1" applyFill="1"/>
    <xf numFmtId="0" fontId="3" fillId="25" borderId="14" xfId="2" applyFont="1" applyFill="1" applyBorder="1" applyAlignment="1">
      <alignment horizontal="center" vertical="center"/>
    </xf>
    <xf numFmtId="0" fontId="3" fillId="25" borderId="15" xfId="2" applyFont="1" applyFill="1" applyBorder="1" applyAlignment="1">
      <alignment horizontal="center" vertical="center"/>
    </xf>
    <xf numFmtId="0" fontId="3" fillId="25" borderId="16" xfId="2" applyFont="1" applyFill="1" applyBorder="1" applyAlignment="1">
      <alignment horizontal="center" vertical="center"/>
    </xf>
    <xf numFmtId="168" fontId="65" fillId="25" borderId="19" xfId="4" applyNumberFormat="1" applyFont="1" applyFill="1" applyBorder="1" applyAlignment="1">
      <alignment horizontal="center" vertical="center"/>
    </xf>
    <xf numFmtId="168" fontId="65" fillId="25" borderId="20" xfId="4" applyNumberFormat="1" applyFont="1" applyFill="1" applyBorder="1" applyAlignment="1">
      <alignment horizontal="center" vertical="center"/>
    </xf>
    <xf numFmtId="168" fontId="65" fillId="25" borderId="21" xfId="2" applyNumberFormat="1" applyFont="1" applyFill="1" applyBorder="1" applyAlignment="1">
      <alignment horizontal="center" vertical="center"/>
    </xf>
    <xf numFmtId="0" fontId="0" fillId="0" borderId="0" xfId="0"/>
    <xf numFmtId="0" fontId="0" fillId="52" borderId="0" xfId="0" applyFill="1"/>
    <xf numFmtId="0" fontId="27" fillId="52" borderId="0" xfId="0" applyFont="1" applyFill="1"/>
    <xf numFmtId="0" fontId="0" fillId="52" borderId="0" xfId="0" applyFont="1" applyFill="1" applyAlignment="1"/>
    <xf numFmtId="0" fontId="0" fillId="52" borderId="0" xfId="0" applyFill="1" applyAlignment="1"/>
    <xf numFmtId="0" fontId="62" fillId="52" borderId="0" xfId="0" applyFont="1" applyFill="1" applyAlignment="1"/>
    <xf numFmtId="0" fontId="0" fillId="52" borderId="0" xfId="0" applyFill="1" applyBorder="1" applyAlignment="1"/>
    <xf numFmtId="0" fontId="0" fillId="52" borderId="72" xfId="0" applyFill="1" applyBorder="1" applyAlignment="1">
      <alignment horizontal="center"/>
    </xf>
    <xf numFmtId="0" fontId="0" fillId="52" borderId="0" xfId="0" applyFill="1" applyBorder="1" applyAlignment="1">
      <alignment horizontal="center"/>
    </xf>
    <xf numFmtId="0" fontId="0" fillId="52" borderId="0" xfId="0" applyFill="1" applyAlignment="1">
      <alignment horizontal="center"/>
    </xf>
    <xf numFmtId="0" fontId="0" fillId="52" borderId="0" xfId="0" applyFill="1" applyBorder="1" applyAlignment="1">
      <alignment horizontal="center" wrapText="1"/>
    </xf>
    <xf numFmtId="0" fontId="67" fillId="52" borderId="0" xfId="0" applyFont="1" applyFill="1"/>
    <xf numFmtId="0" fontId="0" fillId="4" borderId="52" xfId="0" applyFill="1" applyBorder="1" applyAlignment="1">
      <alignment horizontal="center"/>
    </xf>
    <xf numFmtId="0" fontId="0" fillId="52" borderId="0" xfId="0" applyFill="1" applyBorder="1"/>
    <xf numFmtId="0" fontId="0" fillId="52" borderId="72" xfId="0" applyFill="1" applyBorder="1"/>
    <xf numFmtId="168" fontId="0" fillId="52" borderId="72" xfId="0" applyNumberFormat="1" applyFill="1" applyBorder="1"/>
    <xf numFmtId="0" fontId="0" fillId="4" borderId="52" xfId="0" applyFill="1" applyBorder="1" applyAlignment="1">
      <alignment horizontal="center" wrapText="1"/>
    </xf>
    <xf numFmtId="0" fontId="24" fillId="52" borderId="0" xfId="0" applyFont="1" applyFill="1" applyAlignment="1"/>
    <xf numFmtId="0" fontId="0" fillId="41" borderId="15" xfId="0" applyFill="1" applyBorder="1" applyAlignment="1">
      <alignment wrapText="1"/>
    </xf>
    <xf numFmtId="0" fontId="0" fillId="41" borderId="16" xfId="0" applyFill="1" applyBorder="1" applyAlignment="1">
      <alignment wrapText="1"/>
    </xf>
    <xf numFmtId="0" fontId="0" fillId="41" borderId="0" xfId="0" applyFill="1" applyBorder="1" applyAlignment="1">
      <alignment wrapText="1"/>
    </xf>
    <xf numFmtId="0" fontId="0" fillId="41" borderId="18" xfId="0" applyFill="1" applyBorder="1" applyAlignment="1">
      <alignment wrapText="1"/>
    </xf>
    <xf numFmtId="0" fontId="0" fillId="41" borderId="20" xfId="0" applyFill="1" applyBorder="1" applyAlignment="1">
      <alignment wrapText="1"/>
    </xf>
    <xf numFmtId="0" fontId="0" fillId="41" borderId="21" xfId="0" applyFill="1" applyBorder="1" applyAlignment="1">
      <alignment wrapText="1"/>
    </xf>
    <xf numFmtId="0" fontId="27" fillId="40" borderId="23" xfId="0" applyFont="1" applyFill="1" applyBorder="1"/>
    <xf numFmtId="0" fontId="24" fillId="40" borderId="44" xfId="0" applyFont="1" applyFill="1" applyBorder="1" applyAlignment="1">
      <alignment horizontal="center" vertical="center"/>
    </xf>
    <xf numFmtId="0" fontId="40" fillId="40" borderId="23" xfId="0" applyFont="1" applyFill="1" applyBorder="1"/>
    <xf numFmtId="0" fontId="0" fillId="40" borderId="22" xfId="0" applyFill="1" applyBorder="1"/>
    <xf numFmtId="0" fontId="27" fillId="40" borderId="59" xfId="0" applyFont="1" applyFill="1" applyBorder="1" applyAlignment="1">
      <alignment vertical="center"/>
    </xf>
    <xf numFmtId="0" fontId="27" fillId="40" borderId="46" xfId="0" applyFont="1" applyFill="1" applyBorder="1" applyAlignment="1">
      <alignment vertical="center"/>
    </xf>
    <xf numFmtId="0" fontId="27" fillId="40" borderId="46" xfId="0" applyFont="1" applyFill="1" applyBorder="1" applyAlignment="1">
      <alignment wrapText="1"/>
    </xf>
    <xf numFmtId="0" fontId="33" fillId="40" borderId="46" xfId="0" applyFont="1" applyFill="1" applyBorder="1" applyAlignment="1">
      <alignment vertical="center"/>
    </xf>
    <xf numFmtId="0" fontId="26" fillId="40" borderId="46" xfId="0" applyFont="1" applyFill="1" applyBorder="1" applyAlignment="1">
      <alignment horizontal="right" wrapText="1"/>
    </xf>
    <xf numFmtId="0" fontId="27" fillId="40" borderId="44" xfId="0" applyFont="1" applyFill="1" applyBorder="1"/>
    <xf numFmtId="0" fontId="27" fillId="40" borderId="46" xfId="0" applyFont="1" applyFill="1" applyBorder="1"/>
    <xf numFmtId="0" fontId="27" fillId="40" borderId="45" xfId="0" applyFont="1" applyFill="1" applyBorder="1"/>
    <xf numFmtId="0" fontId="27" fillId="40" borderId="45" xfId="0" applyFont="1" applyFill="1" applyBorder="1" applyAlignment="1">
      <alignment wrapText="1"/>
    </xf>
    <xf numFmtId="0" fontId="41" fillId="35" borderId="0" xfId="0" applyFont="1" applyFill="1" applyBorder="1" applyAlignment="1">
      <alignment vertical="center"/>
    </xf>
    <xf numFmtId="0" fontId="41" fillId="35" borderId="23" xfId="0" applyFont="1" applyFill="1" applyBorder="1" applyAlignment="1">
      <alignment vertical="center"/>
    </xf>
    <xf numFmtId="0" fontId="41" fillId="35" borderId="94" xfId="0" applyFont="1" applyFill="1" applyBorder="1" applyAlignment="1">
      <alignment wrapText="1"/>
    </xf>
    <xf numFmtId="0" fontId="41" fillId="35" borderId="23" xfId="0" applyFont="1" applyFill="1" applyBorder="1" applyAlignment="1">
      <alignment wrapText="1"/>
    </xf>
    <xf numFmtId="0" fontId="63" fillId="35" borderId="23" xfId="0" applyFont="1" applyFill="1" applyBorder="1" applyAlignment="1">
      <alignment vertical="center"/>
    </xf>
    <xf numFmtId="0" fontId="41" fillId="35" borderId="23" xfId="0" applyFont="1" applyFill="1" applyBorder="1" applyAlignment="1">
      <alignment horizontal="right" wrapText="1"/>
    </xf>
    <xf numFmtId="0" fontId="36" fillId="35" borderId="94" xfId="0" applyFont="1" applyFill="1" applyBorder="1"/>
    <xf numFmtId="0" fontId="41" fillId="35" borderId="17" xfId="0" applyFont="1" applyFill="1" applyBorder="1"/>
    <xf numFmtId="0" fontId="41" fillId="35" borderId="94" xfId="0" applyFont="1" applyFill="1" applyBorder="1"/>
    <xf numFmtId="0" fontId="41" fillId="35" borderId="17" xfId="0" applyFont="1" applyFill="1" applyBorder="1" applyAlignment="1">
      <alignment wrapText="1"/>
    </xf>
    <xf numFmtId="0" fontId="36" fillId="54" borderId="60" xfId="0" applyFont="1" applyFill="1" applyBorder="1" applyAlignment="1">
      <alignment vertical="center"/>
    </xf>
    <xf numFmtId="0" fontId="36" fillId="54" borderId="48" xfId="0" applyFont="1" applyFill="1" applyBorder="1" applyAlignment="1">
      <alignment vertical="center"/>
    </xf>
    <xf numFmtId="0" fontId="36" fillId="54" borderId="48" xfId="0" applyFont="1" applyFill="1" applyBorder="1" applyAlignment="1">
      <alignment wrapText="1"/>
    </xf>
    <xf numFmtId="0" fontId="36" fillId="54" borderId="63" xfId="0" applyFont="1" applyFill="1" applyBorder="1" applyAlignment="1">
      <alignment horizontal="right" wrapText="1"/>
    </xf>
    <xf numFmtId="0" fontId="36" fillId="54" borderId="22" xfId="0" applyFont="1" applyFill="1" applyBorder="1"/>
    <xf numFmtId="0" fontId="36" fillId="54" borderId="48" xfId="0" applyFont="1" applyFill="1" applyBorder="1"/>
    <xf numFmtId="0" fontId="36" fillId="54" borderId="47" xfId="0" applyFont="1" applyFill="1" applyBorder="1" applyAlignment="1">
      <alignment wrapText="1"/>
    </xf>
    <xf numFmtId="0" fontId="36" fillId="54" borderId="47" xfId="0" applyFont="1" applyFill="1" applyBorder="1"/>
    <xf numFmtId="0" fontId="24" fillId="41" borderId="14" xfId="0" applyFont="1" applyFill="1" applyBorder="1" applyAlignment="1">
      <alignment horizontal="center"/>
    </xf>
    <xf numFmtId="0" fontId="24" fillId="41" borderId="44" xfId="0" applyFont="1" applyFill="1" applyBorder="1" applyAlignment="1">
      <alignment horizontal="center"/>
    </xf>
    <xf numFmtId="0" fontId="24" fillId="41" borderId="15" xfId="0" applyFont="1" applyFill="1" applyBorder="1" applyAlignment="1">
      <alignment horizontal="center"/>
    </xf>
    <xf numFmtId="0" fontId="24" fillId="35" borderId="12" xfId="0" applyFont="1" applyFill="1" applyBorder="1" applyAlignment="1">
      <alignment horizontal="center" vertical="center"/>
    </xf>
    <xf numFmtId="0" fontId="69" fillId="31" borderId="0" xfId="0" applyFont="1" applyFill="1"/>
    <xf numFmtId="0" fontId="48" fillId="31" borderId="0" xfId="0" applyFont="1" applyFill="1"/>
    <xf numFmtId="0" fontId="0" fillId="52" borderId="0" xfId="0" applyFont="1" applyFill="1"/>
    <xf numFmtId="0" fontId="0" fillId="31" borderId="0" xfId="0" applyFill="1" applyAlignment="1"/>
    <xf numFmtId="0" fontId="0" fillId="31" borderId="0" xfId="0" applyFill="1"/>
    <xf numFmtId="0" fontId="27" fillId="31" borderId="0" xfId="0" applyFont="1" applyFill="1" applyAlignment="1"/>
    <xf numFmtId="0" fontId="37" fillId="52" borderId="0" xfId="0" applyFont="1" applyFill="1"/>
    <xf numFmtId="0" fontId="0" fillId="19" borderId="0" xfId="0" applyFill="1" applyAlignment="1"/>
    <xf numFmtId="0" fontId="0" fillId="0" borderId="0" xfId="0"/>
    <xf numFmtId="0" fontId="0" fillId="0" borderId="0" xfId="0"/>
    <xf numFmtId="0" fontId="0" fillId="6" borderId="26" xfId="0" applyFont="1" applyFill="1" applyBorder="1"/>
    <xf numFmtId="2" fontId="0" fillId="0" borderId="0" xfId="0" applyNumberFormat="1" applyBorder="1"/>
    <xf numFmtId="0" fontId="0" fillId="6" borderId="25" xfId="0" applyFont="1" applyFill="1" applyBorder="1"/>
    <xf numFmtId="0" fontId="0" fillId="0" borderId="0" xfId="0" applyAlignment="1">
      <alignment vertical="top"/>
    </xf>
    <xf numFmtId="0" fontId="3" fillId="25" borderId="0" xfId="0" applyFont="1" applyFill="1" applyAlignment="1">
      <alignment vertical="top"/>
    </xf>
    <xf numFmtId="0" fontId="24" fillId="0" borderId="0" xfId="0" applyFont="1" applyAlignment="1">
      <alignment vertical="top"/>
    </xf>
    <xf numFmtId="0" fontId="0" fillId="0" borderId="0" xfId="0" applyNumberFormat="1"/>
    <xf numFmtId="0" fontId="3" fillId="8" borderId="0" xfId="0" applyFont="1" applyFill="1" applyBorder="1"/>
    <xf numFmtId="0" fontId="29" fillId="8" borderId="0" xfId="0" applyFont="1" applyFill="1" applyBorder="1"/>
    <xf numFmtId="168" fontId="30" fillId="8" borderId="0" xfId="0" applyNumberFormat="1" applyFont="1" applyFill="1" applyBorder="1" applyAlignment="1">
      <alignment horizontal="left"/>
    </xf>
    <xf numFmtId="0" fontId="0" fillId="0" borderId="0" xfId="0"/>
    <xf numFmtId="0" fontId="0" fillId="4" borderId="0" xfId="0" applyFill="1"/>
    <xf numFmtId="0" fontId="0" fillId="0" borderId="0" xfId="0"/>
    <xf numFmtId="0" fontId="0" fillId="4" borderId="0" xfId="0" applyFill="1"/>
    <xf numFmtId="0" fontId="3" fillId="56" borderId="0" xfId="2" applyFont="1" applyFill="1" applyAlignment="1">
      <alignment horizontal="center"/>
    </xf>
    <xf numFmtId="0" fontId="3" fillId="56" borderId="0" xfId="2" applyFont="1" applyFill="1"/>
    <xf numFmtId="168" fontId="3" fillId="56" borderId="0" xfId="2" applyNumberFormat="1" applyFont="1" applyFill="1"/>
    <xf numFmtId="168" fontId="14" fillId="56" borderId="0" xfId="3" applyNumberFormat="1" applyFill="1" applyAlignment="1" applyProtection="1"/>
    <xf numFmtId="168" fontId="3" fillId="56" borderId="5" xfId="2" applyNumberFormat="1" applyFont="1" applyFill="1" applyBorder="1"/>
    <xf numFmtId="0" fontId="9" fillId="56" borderId="0" xfId="2" applyFont="1" applyFill="1"/>
    <xf numFmtId="168" fontId="9" fillId="56" borderId="0" xfId="1" applyNumberFormat="1" applyFont="1" applyFill="1"/>
    <xf numFmtId="0" fontId="12" fillId="56" borderId="0" xfId="2" applyFont="1" applyFill="1"/>
    <xf numFmtId="168" fontId="17" fillId="56" borderId="0" xfId="1" applyNumberFormat="1" applyFont="1" applyFill="1"/>
    <xf numFmtId="168" fontId="10" fillId="56" borderId="0" xfId="1" applyNumberFormat="1" applyFont="1" applyFill="1"/>
    <xf numFmtId="0" fontId="10" fillId="56" borderId="0" xfId="2" applyFont="1" applyFill="1"/>
    <xf numFmtId="168" fontId="8" fillId="56" borderId="0" xfId="1" applyNumberFormat="1" applyFont="1" applyFill="1"/>
    <xf numFmtId="0" fontId="0" fillId="54" borderId="0" xfId="0" applyFill="1"/>
    <xf numFmtId="0" fontId="0" fillId="57" borderId="0" xfId="0" applyFill="1"/>
    <xf numFmtId="0" fontId="71" fillId="57" borderId="0" xfId="0" applyFont="1" applyFill="1"/>
    <xf numFmtId="0" fontId="0" fillId="54" borderId="0" xfId="0" quotePrefix="1" applyFill="1"/>
    <xf numFmtId="0" fontId="0" fillId="58" borderId="0" xfId="0" applyFill="1"/>
    <xf numFmtId="0" fontId="9" fillId="56" borderId="0" xfId="2" applyFont="1" applyFill="1" applyAlignment="1">
      <alignment horizontal="center"/>
    </xf>
    <xf numFmtId="0" fontId="0" fillId="56" borderId="0" xfId="0" applyFill="1"/>
    <xf numFmtId="168" fontId="3" fillId="35" borderId="16" xfId="1" applyNumberFormat="1" applyFont="1" applyFill="1" applyBorder="1" applyAlignment="1">
      <alignment horizontal="right" readingOrder="2"/>
    </xf>
    <xf numFmtId="168" fontId="9" fillId="56" borderId="0" xfId="1" applyNumberFormat="1" applyFont="1" applyFill="1" applyAlignment="1"/>
    <xf numFmtId="0" fontId="0" fillId="56" borderId="14" xfId="0" applyFill="1" applyBorder="1" applyAlignment="1">
      <alignment readingOrder="2"/>
    </xf>
    <xf numFmtId="0" fontId="0" fillId="56" borderId="16" xfId="0" applyFill="1" applyBorder="1" applyAlignment="1">
      <alignment readingOrder="2"/>
    </xf>
    <xf numFmtId="168" fontId="9" fillId="56" borderId="19" xfId="1" applyNumberFormat="1" applyFont="1" applyFill="1" applyBorder="1" applyAlignment="1"/>
    <xf numFmtId="168" fontId="3" fillId="35" borderId="21" xfId="1" applyNumberFormat="1" applyFont="1" applyFill="1" applyBorder="1"/>
    <xf numFmtId="0" fontId="0" fillId="35" borderId="14" xfId="0" applyFill="1" applyBorder="1" applyAlignment="1">
      <alignment horizontal="right" readingOrder="2"/>
    </xf>
    <xf numFmtId="168" fontId="33" fillId="56" borderId="0" xfId="1" applyNumberFormat="1" applyFont="1" applyFill="1"/>
    <xf numFmtId="0" fontId="33" fillId="56" borderId="0" xfId="2" applyFont="1" applyFill="1"/>
    <xf numFmtId="0" fontId="27" fillId="54" borderId="0" xfId="0" applyFont="1" applyFill="1"/>
    <xf numFmtId="0" fontId="9" fillId="56" borderId="0" xfId="2" applyFont="1" applyFill="1" applyAlignment="1">
      <alignment horizontal="right" readingOrder="2"/>
    </xf>
    <xf numFmtId="0" fontId="9" fillId="56" borderId="0" xfId="2" applyFont="1" applyFill="1" applyAlignment="1">
      <alignment horizontal="right"/>
    </xf>
    <xf numFmtId="168" fontId="0" fillId="35" borderId="19" xfId="0" applyNumberFormat="1" applyFill="1" applyBorder="1"/>
    <xf numFmtId="168" fontId="0" fillId="56" borderId="21" xfId="0" applyNumberFormat="1" applyFill="1" applyBorder="1" applyAlignment="1">
      <alignment readingOrder="1"/>
    </xf>
    <xf numFmtId="0" fontId="27" fillId="53" borderId="44" xfId="0" applyFont="1" applyFill="1" applyBorder="1" applyAlignment="1">
      <alignment horizontal="center" vertical="center" textRotation="255"/>
    </xf>
    <xf numFmtId="0" fontId="27" fillId="53" borderId="23" xfId="0" applyFont="1" applyFill="1" applyBorder="1" applyAlignment="1">
      <alignment horizontal="center" vertical="center" textRotation="255"/>
    </xf>
    <xf numFmtId="0" fontId="27" fillId="53" borderId="22" xfId="0" applyFont="1" applyFill="1" applyBorder="1" applyAlignment="1">
      <alignment horizontal="center" vertical="center" textRotation="255"/>
    </xf>
    <xf numFmtId="0" fontId="0" fillId="0" borderId="0" xfId="0"/>
    <xf numFmtId="0" fontId="24" fillId="31" borderId="23" xfId="0" applyFont="1" applyFill="1" applyBorder="1" applyAlignment="1">
      <alignment horizontal="center" vertical="center"/>
    </xf>
    <xf numFmtId="0" fontId="36" fillId="49" borderId="23" xfId="0" applyFont="1" applyFill="1" applyBorder="1"/>
    <xf numFmtId="0" fontId="36" fillId="49" borderId="63" xfId="0" applyFont="1" applyFill="1" applyBorder="1"/>
    <xf numFmtId="0" fontId="36" fillId="49" borderId="63" xfId="0" applyFont="1" applyFill="1" applyBorder="1" applyAlignment="1">
      <alignment wrapText="1"/>
    </xf>
    <xf numFmtId="0" fontId="0" fillId="31" borderId="14" xfId="0" applyFill="1" applyBorder="1"/>
    <xf numFmtId="0" fontId="0" fillId="31" borderId="16" xfId="0" applyFill="1" applyBorder="1"/>
    <xf numFmtId="0" fontId="0" fillId="31" borderId="17" xfId="0" applyFill="1" applyBorder="1"/>
    <xf numFmtId="0" fontId="0" fillId="31" borderId="18" xfId="0" applyFill="1" applyBorder="1"/>
    <xf numFmtId="0" fontId="0" fillId="31" borderId="19" xfId="0" applyFill="1" applyBorder="1"/>
    <xf numFmtId="0" fontId="0" fillId="31" borderId="21" xfId="0" applyFill="1" applyBorder="1"/>
    <xf numFmtId="0" fontId="0" fillId="31" borderId="0" xfId="0" applyFill="1" applyBorder="1" applyAlignment="1">
      <alignment horizontal="center"/>
    </xf>
    <xf numFmtId="0" fontId="26" fillId="31" borderId="15" xfId="0" applyFont="1" applyFill="1" applyBorder="1" applyAlignment="1">
      <alignment horizontal="center"/>
    </xf>
    <xf numFmtId="0" fontId="0" fillId="31" borderId="20" xfId="0" applyFill="1" applyBorder="1" applyAlignment="1">
      <alignment horizontal="center"/>
    </xf>
    <xf numFmtId="0" fontId="0" fillId="23" borderId="17" xfId="0" applyFill="1" applyBorder="1"/>
    <xf numFmtId="0" fontId="0" fillId="23" borderId="14" xfId="0" applyFill="1" applyBorder="1"/>
    <xf numFmtId="0" fontId="26" fillId="23" borderId="15" xfId="0" applyFont="1" applyFill="1" applyBorder="1" applyAlignment="1">
      <alignment horizontal="center"/>
    </xf>
    <xf numFmtId="0" fontId="0" fillId="23" borderId="16" xfId="0" applyFill="1" applyBorder="1"/>
    <xf numFmtId="0" fontId="0" fillId="23" borderId="0" xfId="0" applyFill="1" applyBorder="1" applyAlignment="1">
      <alignment horizontal="center"/>
    </xf>
    <xf numFmtId="0" fontId="0" fillId="23" borderId="18" xfId="0" applyFill="1" applyBorder="1"/>
    <xf numFmtId="0" fontId="0" fillId="23" borderId="19" xfId="0" applyFill="1" applyBorder="1"/>
    <xf numFmtId="0" fontId="0" fillId="23" borderId="20" xfId="0" applyFill="1" applyBorder="1" applyAlignment="1">
      <alignment horizontal="center"/>
    </xf>
    <xf numFmtId="0" fontId="0" fillId="23" borderId="21" xfId="0" applyFill="1" applyBorder="1"/>
    <xf numFmtId="0" fontId="0" fillId="40" borderId="14" xfId="0" applyFill="1" applyBorder="1"/>
    <xf numFmtId="0" fontId="26" fillId="40" borderId="15" xfId="0" applyFont="1" applyFill="1" applyBorder="1" applyAlignment="1">
      <alignment horizontal="center"/>
    </xf>
    <xf numFmtId="0" fontId="0" fillId="40" borderId="16" xfId="0" applyFill="1" applyBorder="1"/>
    <xf numFmtId="0" fontId="0" fillId="40" borderId="17" xfId="0" applyFill="1" applyBorder="1"/>
    <xf numFmtId="0" fontId="0" fillId="40" borderId="0" xfId="0" applyFill="1" applyBorder="1" applyAlignment="1">
      <alignment horizontal="center"/>
    </xf>
    <xf numFmtId="0" fontId="0" fillId="40" borderId="18" xfId="0" applyFill="1" applyBorder="1"/>
    <xf numFmtId="0" fontId="0" fillId="40" borderId="19" xfId="0" applyFill="1" applyBorder="1"/>
    <xf numFmtId="0" fontId="0" fillId="40" borderId="20" xfId="0" applyFill="1" applyBorder="1" applyAlignment="1">
      <alignment horizontal="center"/>
    </xf>
    <xf numFmtId="0" fontId="0" fillId="40" borderId="21" xfId="0" applyFill="1" applyBorder="1"/>
    <xf numFmtId="0" fontId="27" fillId="19" borderId="0" xfId="0" applyFont="1" applyFill="1" applyBorder="1" applyAlignment="1">
      <alignment horizontal="center" vertical="center" textRotation="255"/>
    </xf>
    <xf numFmtId="0" fontId="26" fillId="53" borderId="23" xfId="0" applyFont="1" applyFill="1" applyBorder="1" applyAlignment="1">
      <alignment horizontal="center" vertical="center" textRotation="255"/>
    </xf>
    <xf numFmtId="0" fontId="27" fillId="43" borderId="23" xfId="0" applyFont="1" applyFill="1" applyBorder="1" applyAlignment="1">
      <alignment horizontal="center" vertical="center" textRotation="255"/>
    </xf>
    <xf numFmtId="0" fontId="27" fillId="43" borderId="44" xfId="0" applyFont="1" applyFill="1" applyBorder="1" applyAlignment="1">
      <alignment horizontal="center" vertical="center" textRotation="255"/>
    </xf>
    <xf numFmtId="0" fontId="26" fillId="43" borderId="23" xfId="0" applyFont="1" applyFill="1" applyBorder="1" applyAlignment="1">
      <alignment horizontal="center" vertical="center" textRotation="255"/>
    </xf>
    <xf numFmtId="0" fontId="27" fillId="43" borderId="22" xfId="0" applyFont="1" applyFill="1" applyBorder="1" applyAlignment="1">
      <alignment horizontal="center" vertical="center" textRotation="255"/>
    </xf>
    <xf numFmtId="0" fontId="24" fillId="21" borderId="15" xfId="0" applyFont="1" applyFill="1" applyBorder="1"/>
    <xf numFmtId="0" fontId="24" fillId="21" borderId="14" xfId="0" applyFont="1" applyFill="1" applyBorder="1" applyAlignment="1">
      <alignment horizontal="center"/>
    </xf>
    <xf numFmtId="0" fontId="24" fillId="21" borderId="44" xfId="0" applyFont="1" applyFill="1" applyBorder="1" applyAlignment="1">
      <alignment horizontal="center"/>
    </xf>
    <xf numFmtId="0" fontId="24" fillId="21" borderId="15" xfId="0" applyFont="1" applyFill="1" applyBorder="1" applyAlignment="1">
      <alignment horizontal="center"/>
    </xf>
    <xf numFmtId="0" fontId="41" fillId="21" borderId="0" xfId="0" applyFont="1" applyFill="1" applyBorder="1" applyAlignment="1">
      <alignment vertical="center"/>
    </xf>
    <xf numFmtId="0" fontId="41" fillId="21" borderId="23" xfId="0" applyFont="1" applyFill="1" applyBorder="1" applyAlignment="1">
      <alignment vertical="center"/>
    </xf>
    <xf numFmtId="0" fontId="41" fillId="21" borderId="94" xfId="0" applyFont="1" applyFill="1" applyBorder="1" applyAlignment="1">
      <alignment wrapText="1"/>
    </xf>
    <xf numFmtId="0" fontId="27" fillId="19" borderId="59" xfId="0" applyFont="1" applyFill="1" applyBorder="1" applyAlignment="1">
      <alignment vertical="center"/>
    </xf>
    <xf numFmtId="0" fontId="27" fillId="19" borderId="46" xfId="0" applyFont="1" applyFill="1" applyBorder="1" applyAlignment="1">
      <alignment vertical="center"/>
    </xf>
    <xf numFmtId="0" fontId="27" fillId="19" borderId="46" xfId="0" applyFont="1" applyFill="1" applyBorder="1" applyAlignment="1">
      <alignment wrapText="1"/>
    </xf>
    <xf numFmtId="0" fontId="36" fillId="43" borderId="60" xfId="0" applyFont="1" applyFill="1" applyBorder="1" applyAlignment="1">
      <alignment vertical="center"/>
    </xf>
    <xf numFmtId="0" fontId="36" fillId="43" borderId="48" xfId="0" applyFont="1" applyFill="1" applyBorder="1" applyAlignment="1">
      <alignment vertical="center"/>
    </xf>
    <xf numFmtId="0" fontId="36" fillId="43" borderId="48" xfId="0" applyFont="1" applyFill="1" applyBorder="1" applyAlignment="1">
      <alignment wrapText="1"/>
    </xf>
    <xf numFmtId="0" fontId="41" fillId="21" borderId="23" xfId="0" applyFont="1" applyFill="1" applyBorder="1" applyAlignment="1">
      <alignment wrapText="1"/>
    </xf>
    <xf numFmtId="0" fontId="33" fillId="19" borderId="46" xfId="0" applyFont="1" applyFill="1" applyBorder="1" applyAlignment="1">
      <alignment vertical="center"/>
    </xf>
    <xf numFmtId="0" fontId="26" fillId="19" borderId="46" xfId="0" applyFont="1" applyFill="1" applyBorder="1" applyAlignment="1">
      <alignment horizontal="right" wrapText="1"/>
    </xf>
    <xf numFmtId="0" fontId="63" fillId="21" borderId="23" xfId="0" applyFont="1" applyFill="1" applyBorder="1" applyAlignment="1">
      <alignment vertical="center"/>
    </xf>
    <xf numFmtId="0" fontId="41" fillId="21" borderId="23" xfId="0" applyFont="1" applyFill="1" applyBorder="1" applyAlignment="1">
      <alignment horizontal="right" wrapText="1"/>
    </xf>
    <xf numFmtId="0" fontId="36" fillId="43" borderId="63" xfId="0" applyFont="1" applyFill="1" applyBorder="1" applyAlignment="1">
      <alignment horizontal="right" wrapText="1"/>
    </xf>
    <xf numFmtId="0" fontId="27" fillId="19" borderId="44" xfId="0" applyFont="1" applyFill="1" applyBorder="1"/>
    <xf numFmtId="0" fontId="27" fillId="19" borderId="46" xfId="0" applyFont="1" applyFill="1" applyBorder="1"/>
    <xf numFmtId="0" fontId="36" fillId="21" borderId="94" xfId="0" applyFont="1" applyFill="1" applyBorder="1"/>
    <xf numFmtId="0" fontId="36" fillId="43" borderId="22" xfId="0" applyFont="1" applyFill="1" applyBorder="1"/>
    <xf numFmtId="0" fontId="36" fillId="43" borderId="48" xfId="0" applyFont="1" applyFill="1" applyBorder="1"/>
    <xf numFmtId="0" fontId="26" fillId="43" borderId="15" xfId="0" applyFont="1" applyFill="1" applyBorder="1" applyAlignment="1">
      <alignment horizontal="center"/>
    </xf>
    <xf numFmtId="0" fontId="0" fillId="43" borderId="0" xfId="0" applyFill="1" applyBorder="1" applyAlignment="1">
      <alignment horizontal="center"/>
    </xf>
    <xf numFmtId="0" fontId="0" fillId="43" borderId="20" xfId="0" applyFill="1" applyBorder="1" applyAlignment="1">
      <alignment horizontal="center"/>
    </xf>
    <xf numFmtId="0" fontId="0" fillId="21" borderId="15" xfId="0" applyFill="1" applyBorder="1" applyAlignment="1">
      <alignment wrapText="1"/>
    </xf>
    <xf numFmtId="0" fontId="0" fillId="21" borderId="16" xfId="0" applyFill="1" applyBorder="1" applyAlignment="1">
      <alignment wrapText="1"/>
    </xf>
    <xf numFmtId="0" fontId="0" fillId="21" borderId="0" xfId="0" applyFill="1" applyBorder="1" applyAlignment="1">
      <alignment wrapText="1"/>
    </xf>
    <xf numFmtId="0" fontId="0" fillId="21" borderId="18" xfId="0" applyFill="1" applyBorder="1" applyAlignment="1">
      <alignment wrapText="1"/>
    </xf>
    <xf numFmtId="0" fontId="0" fillId="21" borderId="20" xfId="0" applyFill="1" applyBorder="1" applyAlignment="1">
      <alignment wrapText="1"/>
    </xf>
    <xf numFmtId="0" fontId="0" fillId="21" borderId="21" xfId="0" applyFill="1" applyBorder="1" applyAlignment="1">
      <alignment wrapText="1"/>
    </xf>
    <xf numFmtId="0" fontId="0" fillId="21" borderId="14" xfId="0" applyFill="1" applyBorder="1"/>
    <xf numFmtId="0" fontId="0" fillId="21" borderId="16" xfId="0" applyFill="1" applyBorder="1"/>
    <xf numFmtId="0" fontId="0" fillId="21" borderId="17" xfId="0" applyFill="1" applyBorder="1"/>
    <xf numFmtId="0" fontId="0" fillId="21" borderId="18" xfId="0" applyFill="1" applyBorder="1"/>
    <xf numFmtId="0" fontId="24" fillId="21" borderId="12" xfId="0" applyFont="1" applyFill="1" applyBorder="1" applyAlignment="1">
      <alignment horizontal="center" vertical="center"/>
    </xf>
    <xf numFmtId="0" fontId="24" fillId="21" borderId="44" xfId="0" applyFont="1" applyFill="1" applyBorder="1" applyAlignment="1">
      <alignment horizontal="center" vertical="center"/>
    </xf>
    <xf numFmtId="0" fontId="27" fillId="21" borderId="23" xfId="0" applyFont="1" applyFill="1" applyBorder="1"/>
    <xf numFmtId="0" fontId="41" fillId="21" borderId="17" xfId="0" applyFont="1" applyFill="1" applyBorder="1"/>
    <xf numFmtId="0" fontId="40" fillId="21" borderId="23" xfId="0" applyFont="1" applyFill="1" applyBorder="1"/>
    <xf numFmtId="0" fontId="0" fillId="21" borderId="22" xfId="0" applyFill="1" applyBorder="1"/>
    <xf numFmtId="0" fontId="41" fillId="21" borderId="94" xfId="0" applyFont="1" applyFill="1" applyBorder="1"/>
    <xf numFmtId="0" fontId="41" fillId="21" borderId="17" xfId="0" applyFont="1" applyFill="1" applyBorder="1" applyAlignment="1">
      <alignment wrapText="1"/>
    </xf>
    <xf numFmtId="0" fontId="36" fillId="43" borderId="47" xfId="0" applyFont="1" applyFill="1" applyBorder="1" applyAlignment="1">
      <alignment wrapText="1"/>
    </xf>
    <xf numFmtId="0" fontId="27" fillId="19" borderId="45" xfId="0" applyFont="1" applyFill="1" applyBorder="1" applyAlignment="1">
      <alignment wrapText="1"/>
    </xf>
    <xf numFmtId="0" fontId="27" fillId="19" borderId="45" xfId="0" applyFont="1" applyFill="1" applyBorder="1"/>
    <xf numFmtId="0" fontId="36" fillId="43" borderId="47" xfId="0" applyFont="1" applyFill="1" applyBorder="1"/>
    <xf numFmtId="0" fontId="24" fillId="51" borderId="11" xfId="0" applyFont="1" applyFill="1" applyBorder="1" applyAlignment="1">
      <alignment horizontal="center" vertical="center"/>
    </xf>
    <xf numFmtId="0" fontId="24" fillId="41" borderId="11" xfId="0" applyFont="1" applyFill="1" applyBorder="1"/>
    <xf numFmtId="0" fontId="27" fillId="59" borderId="44" xfId="0" applyFont="1" applyFill="1" applyBorder="1" applyAlignment="1">
      <alignment horizontal="center" vertical="center" textRotation="255"/>
    </xf>
    <xf numFmtId="0" fontId="27" fillId="59" borderId="23" xfId="0" applyFont="1" applyFill="1" applyBorder="1" applyAlignment="1">
      <alignment horizontal="center" vertical="center" textRotation="255"/>
    </xf>
    <xf numFmtId="0" fontId="26" fillId="59" borderId="23" xfId="0" applyFont="1" applyFill="1" applyBorder="1" applyAlignment="1">
      <alignment horizontal="center" vertical="center" textRotation="255"/>
    </xf>
    <xf numFmtId="0" fontId="27" fillId="59" borderId="22" xfId="0" applyFont="1" applyFill="1" applyBorder="1" applyAlignment="1">
      <alignment horizontal="center" vertical="center" textRotation="255"/>
    </xf>
    <xf numFmtId="0" fontId="24" fillId="59" borderId="11" xfId="0" applyFont="1" applyFill="1" applyBorder="1"/>
    <xf numFmtId="0" fontId="24" fillId="59" borderId="14" xfId="0" applyFont="1" applyFill="1" applyBorder="1" applyAlignment="1">
      <alignment horizontal="center"/>
    </xf>
    <xf numFmtId="0" fontId="24" fillId="59" borderId="44" xfId="0" applyFont="1" applyFill="1" applyBorder="1" applyAlignment="1">
      <alignment horizontal="center"/>
    </xf>
    <xf numFmtId="0" fontId="24" fillId="59" borderId="15" xfId="0" applyFont="1" applyFill="1" applyBorder="1" applyAlignment="1">
      <alignment horizontal="center"/>
    </xf>
    <xf numFmtId="0" fontId="27" fillId="60" borderId="59" xfId="0" applyFont="1" applyFill="1" applyBorder="1" applyAlignment="1">
      <alignment vertical="center"/>
    </xf>
    <xf numFmtId="0" fontId="27" fillId="60" borderId="46" xfId="0" applyFont="1" applyFill="1" applyBorder="1" applyAlignment="1">
      <alignment vertical="center"/>
    </xf>
    <xf numFmtId="0" fontId="27" fillId="60" borderId="46" xfId="0" applyFont="1" applyFill="1" applyBorder="1" applyAlignment="1">
      <alignment wrapText="1"/>
    </xf>
    <xf numFmtId="0" fontId="0" fillId="60" borderId="15" xfId="0" applyFill="1" applyBorder="1" applyAlignment="1">
      <alignment wrapText="1"/>
    </xf>
    <xf numFmtId="0" fontId="0" fillId="60" borderId="16" xfId="0" applyFill="1" applyBorder="1" applyAlignment="1">
      <alignment wrapText="1"/>
    </xf>
    <xf numFmtId="0" fontId="41" fillId="60" borderId="0" xfId="0" applyFont="1" applyFill="1" applyBorder="1" applyAlignment="1">
      <alignment vertical="center"/>
    </xf>
    <xf numFmtId="0" fontId="41" fillId="60" borderId="23" xfId="0" applyFont="1" applyFill="1" applyBorder="1" applyAlignment="1">
      <alignment vertical="center"/>
    </xf>
    <xf numFmtId="0" fontId="41" fillId="60" borderId="94" xfId="0" applyFont="1" applyFill="1" applyBorder="1" applyAlignment="1">
      <alignment wrapText="1"/>
    </xf>
    <xf numFmtId="0" fontId="0" fillId="60" borderId="0" xfId="0" applyFill="1" applyBorder="1" applyAlignment="1">
      <alignment wrapText="1"/>
    </xf>
    <xf numFmtId="0" fontId="0" fillId="60" borderId="18" xfId="0" applyFill="1" applyBorder="1" applyAlignment="1">
      <alignment wrapText="1"/>
    </xf>
    <xf numFmtId="0" fontId="36" fillId="60" borderId="60" xfId="0" applyFont="1" applyFill="1" applyBorder="1" applyAlignment="1">
      <alignment vertical="center"/>
    </xf>
    <xf numFmtId="0" fontId="36" fillId="60" borderId="48" xfId="0" applyFont="1" applyFill="1" applyBorder="1" applyAlignment="1">
      <alignment vertical="center"/>
    </xf>
    <xf numFmtId="0" fontId="36" fillId="60" borderId="48" xfId="0" applyFont="1" applyFill="1" applyBorder="1" applyAlignment="1">
      <alignment wrapText="1"/>
    </xf>
    <xf numFmtId="0" fontId="0" fillId="60" borderId="20" xfId="0" applyFill="1" applyBorder="1" applyAlignment="1">
      <alignment wrapText="1"/>
    </xf>
    <xf numFmtId="0" fontId="0" fillId="60" borderId="21" xfId="0" applyFill="1" applyBorder="1" applyAlignment="1">
      <alignment wrapText="1"/>
    </xf>
    <xf numFmtId="0" fontId="27" fillId="59" borderId="59" xfId="0" applyFont="1" applyFill="1" applyBorder="1" applyAlignment="1">
      <alignment vertical="center"/>
    </xf>
    <xf numFmtId="0" fontId="27" fillId="59" borderId="46" xfId="0" applyFont="1" applyFill="1" applyBorder="1" applyAlignment="1">
      <alignment vertical="center"/>
    </xf>
    <xf numFmtId="0" fontId="27" fillId="59" borderId="46" xfId="0" applyFont="1" applyFill="1" applyBorder="1" applyAlignment="1">
      <alignment wrapText="1"/>
    </xf>
    <xf numFmtId="0" fontId="41" fillId="59" borderId="0" xfId="0" applyFont="1" applyFill="1" applyBorder="1" applyAlignment="1">
      <alignment vertical="center"/>
    </xf>
    <xf numFmtId="0" fontId="41" fillId="59" borderId="23" xfId="0" applyFont="1" applyFill="1" applyBorder="1" applyAlignment="1">
      <alignment vertical="center"/>
    </xf>
    <xf numFmtId="0" fontId="41" fillId="59" borderId="23" xfId="0" applyFont="1" applyFill="1" applyBorder="1" applyAlignment="1">
      <alignment wrapText="1"/>
    </xf>
    <xf numFmtId="0" fontId="36" fillId="59" borderId="60" xfId="0" applyFont="1" applyFill="1" applyBorder="1" applyAlignment="1">
      <alignment vertical="center"/>
    </xf>
    <xf numFmtId="0" fontId="36" fillId="59" borderId="48" xfId="0" applyFont="1" applyFill="1" applyBorder="1" applyAlignment="1">
      <alignment vertical="center"/>
    </xf>
    <xf numFmtId="0" fontId="36" fillId="59" borderId="48" xfId="0" applyFont="1" applyFill="1" applyBorder="1" applyAlignment="1">
      <alignment wrapText="1"/>
    </xf>
    <xf numFmtId="0" fontId="33" fillId="60" borderId="46" xfId="0" applyFont="1" applyFill="1" applyBorder="1" applyAlignment="1">
      <alignment vertical="center"/>
    </xf>
    <xf numFmtId="0" fontId="26" fillId="60" borderId="46" xfId="0" applyFont="1" applyFill="1" applyBorder="1" applyAlignment="1">
      <alignment horizontal="right" wrapText="1"/>
    </xf>
    <xf numFmtId="0" fontId="63" fillId="60" borderId="23" xfId="0" applyFont="1" applyFill="1" applyBorder="1" applyAlignment="1">
      <alignment vertical="center"/>
    </xf>
    <xf numFmtId="0" fontId="41" fillId="60" borderId="23" xfId="0" applyFont="1" applyFill="1" applyBorder="1" applyAlignment="1">
      <alignment horizontal="right" wrapText="1"/>
    </xf>
    <xf numFmtId="0" fontId="36" fillId="60" borderId="63" xfId="0" applyFont="1" applyFill="1" applyBorder="1" applyAlignment="1">
      <alignment horizontal="right" wrapText="1"/>
    </xf>
    <xf numFmtId="0" fontId="27" fillId="59" borderId="44" xfId="0" applyFont="1" applyFill="1" applyBorder="1"/>
    <xf numFmtId="0" fontId="27" fillId="59" borderId="46" xfId="0" applyFont="1" applyFill="1" applyBorder="1"/>
    <xf numFmtId="0" fontId="36" fillId="59" borderId="94" xfId="0" applyFont="1" applyFill="1" applyBorder="1"/>
    <xf numFmtId="0" fontId="36" fillId="59" borderId="22" xfId="0" applyFont="1" applyFill="1" applyBorder="1"/>
    <xf numFmtId="0" fontId="36" fillId="59" borderId="48" xfId="0" applyFont="1" applyFill="1" applyBorder="1"/>
    <xf numFmtId="0" fontId="0" fillId="60" borderId="14" xfId="0" applyFill="1" applyBorder="1"/>
    <xf numFmtId="0" fontId="0" fillId="60" borderId="16" xfId="0" applyFill="1" applyBorder="1"/>
    <xf numFmtId="0" fontId="26" fillId="60" borderId="15" xfId="0" applyFont="1" applyFill="1" applyBorder="1" applyAlignment="1">
      <alignment horizontal="center"/>
    </xf>
    <xf numFmtId="0" fontId="0" fillId="60" borderId="17" xfId="0" applyFill="1" applyBorder="1"/>
    <xf numFmtId="0" fontId="0" fillId="60" borderId="18" xfId="0" applyFill="1" applyBorder="1"/>
    <xf numFmtId="0" fontId="0" fillId="60" borderId="0" xfId="0" applyFill="1" applyBorder="1" applyAlignment="1">
      <alignment horizontal="center"/>
    </xf>
    <xf numFmtId="0" fontId="0" fillId="60" borderId="19" xfId="0" applyFill="1" applyBorder="1"/>
    <xf numFmtId="0" fontId="0" fillId="60" borderId="20" xfId="0" applyFill="1" applyBorder="1" applyAlignment="1">
      <alignment horizontal="center"/>
    </xf>
    <xf numFmtId="0" fontId="0" fillId="60" borderId="21" xfId="0" applyFill="1" applyBorder="1"/>
    <xf numFmtId="0" fontId="24" fillId="59" borderId="12" xfId="0" applyFont="1" applyFill="1" applyBorder="1" applyAlignment="1">
      <alignment horizontal="center" vertical="center"/>
    </xf>
    <xf numFmtId="0" fontId="24" fillId="59" borderId="44" xfId="0" applyFont="1" applyFill="1" applyBorder="1" applyAlignment="1">
      <alignment horizontal="center" vertical="center"/>
    </xf>
    <xf numFmtId="0" fontId="27" fillId="59" borderId="45" xfId="0" applyFont="1" applyFill="1" applyBorder="1" applyAlignment="1">
      <alignment wrapText="1"/>
    </xf>
    <xf numFmtId="0" fontId="27" fillId="59" borderId="45" xfId="0" applyFont="1" applyFill="1" applyBorder="1"/>
    <xf numFmtId="0" fontId="27" fillId="59" borderId="23" xfId="0" applyFont="1" applyFill="1" applyBorder="1"/>
    <xf numFmtId="0" fontId="41" fillId="59" borderId="94" xfId="0" applyFont="1" applyFill="1" applyBorder="1"/>
    <xf numFmtId="0" fontId="41" fillId="59" borderId="17" xfId="0" applyFont="1" applyFill="1" applyBorder="1" applyAlignment="1">
      <alignment wrapText="1"/>
    </xf>
    <xf numFmtId="0" fontId="41" fillId="59" borderId="17" xfId="0" applyFont="1" applyFill="1" applyBorder="1"/>
    <xf numFmtId="0" fontId="40" fillId="59" borderId="23" xfId="0" applyFont="1" applyFill="1" applyBorder="1"/>
    <xf numFmtId="0" fontId="36" fillId="59" borderId="47" xfId="0" applyFont="1" applyFill="1" applyBorder="1" applyAlignment="1">
      <alignment wrapText="1"/>
    </xf>
    <xf numFmtId="0" fontId="36" fillId="59" borderId="47" xfId="0" applyFont="1" applyFill="1" applyBorder="1"/>
    <xf numFmtId="0" fontId="0" fillId="59" borderId="22" xfId="0" applyFill="1" applyBorder="1"/>
    <xf numFmtId="0" fontId="0" fillId="55" borderId="15" xfId="0" applyFill="1" applyBorder="1" applyAlignment="1"/>
    <xf numFmtId="0" fontId="0" fillId="55" borderId="16" xfId="0" applyFill="1" applyBorder="1" applyAlignment="1"/>
    <xf numFmtId="0" fontId="0" fillId="55" borderId="17" xfId="0" applyFill="1" applyBorder="1" applyAlignment="1"/>
    <xf numFmtId="0" fontId="0" fillId="55" borderId="0" xfId="0" applyFill="1" applyBorder="1" applyAlignment="1"/>
    <xf numFmtId="0" fontId="0" fillId="55" borderId="18" xfId="0" applyFill="1" applyBorder="1" applyAlignment="1"/>
    <xf numFmtId="0" fontId="0" fillId="55" borderId="19" xfId="0" applyFill="1" applyBorder="1" applyAlignment="1"/>
    <xf numFmtId="0" fontId="0" fillId="55" borderId="20" xfId="0" applyFill="1" applyBorder="1" applyAlignment="1"/>
    <xf numFmtId="0" fontId="0" fillId="55" borderId="21" xfId="0" applyFill="1" applyBorder="1" applyAlignment="1"/>
    <xf numFmtId="0" fontId="0" fillId="37" borderId="103" xfId="0" applyFill="1" applyBorder="1"/>
    <xf numFmtId="0" fontId="24" fillId="37" borderId="104" xfId="0" applyFont="1" applyFill="1" applyBorder="1" applyAlignment="1">
      <alignment horizontal="center"/>
    </xf>
    <xf numFmtId="0" fontId="24" fillId="40" borderId="103" xfId="0" applyFont="1" applyFill="1" applyBorder="1" applyAlignment="1">
      <alignment horizontal="right"/>
    </xf>
    <xf numFmtId="0" fontId="24" fillId="40" borderId="105" xfId="0" applyFont="1" applyFill="1" applyBorder="1" applyAlignment="1">
      <alignment horizontal="right"/>
    </xf>
    <xf numFmtId="0" fontId="24" fillId="37" borderId="103" xfId="0" applyFont="1" applyFill="1" applyBorder="1" applyAlignment="1">
      <alignment horizontal="right"/>
    </xf>
    <xf numFmtId="170" fontId="24" fillId="37" borderId="105" xfId="0" applyNumberFormat="1" applyFont="1" applyFill="1" applyBorder="1" applyAlignment="1">
      <alignment horizontal="right"/>
    </xf>
    <xf numFmtId="170" fontId="24" fillId="40" borderId="105" xfId="0" applyNumberFormat="1" applyFont="1" applyFill="1" applyBorder="1" applyAlignment="1">
      <alignment horizontal="right"/>
    </xf>
    <xf numFmtId="0" fontId="24" fillId="40" borderId="106" xfId="0" applyFont="1" applyFill="1" applyBorder="1" applyAlignment="1">
      <alignment horizontal="right"/>
    </xf>
    <xf numFmtId="170" fontId="24" fillId="40" borderId="107" xfId="4" applyNumberFormat="1" applyFont="1" applyFill="1" applyBorder="1"/>
    <xf numFmtId="170" fontId="24" fillId="40" borderId="108" xfId="0" applyNumberFormat="1" applyFont="1" applyFill="1" applyBorder="1" applyAlignment="1">
      <alignment horizontal="right"/>
    </xf>
    <xf numFmtId="0" fontId="24" fillId="41" borderId="14" xfId="0" applyFont="1" applyFill="1" applyBorder="1" applyAlignment="1">
      <alignment horizontal="left"/>
    </xf>
    <xf numFmtId="0" fontId="24" fillId="41" borderId="16" xfId="0" applyFont="1" applyFill="1" applyBorder="1" applyAlignment="1">
      <alignment horizontal="center"/>
    </xf>
    <xf numFmtId="0" fontId="24" fillId="60" borderId="44" xfId="0" applyFont="1" applyFill="1" applyBorder="1" applyAlignment="1">
      <alignment horizontal="center" vertical="center"/>
    </xf>
    <xf numFmtId="0" fontId="24" fillId="60" borderId="23" xfId="0" applyFont="1" applyFill="1" applyBorder="1" applyAlignment="1">
      <alignment horizontal="center" vertical="center"/>
    </xf>
    <xf numFmtId="0" fontId="24" fillId="60" borderId="22" xfId="0" applyFont="1" applyFill="1" applyBorder="1" applyAlignment="1">
      <alignment horizontal="center" vertical="center"/>
    </xf>
    <xf numFmtId="0" fontId="60" fillId="19" borderId="0" xfId="0" applyFont="1" applyFill="1"/>
    <xf numFmtId="0" fontId="0" fillId="22" borderId="0" xfId="0" applyFill="1"/>
    <xf numFmtId="49" fontId="3" fillId="18" borderId="0" xfId="1" applyNumberFormat="1" applyFont="1" applyFill="1" applyBorder="1" applyAlignment="1">
      <alignment horizontal="fill" vertical="top" wrapText="1"/>
    </xf>
    <xf numFmtId="0" fontId="3" fillId="61" borderId="0" xfId="2" applyFont="1" applyFill="1" applyAlignment="1">
      <alignment horizontal="center"/>
    </xf>
    <xf numFmtId="0" fontId="0" fillId="61" borderId="0" xfId="0" applyFill="1" applyAlignment="1"/>
    <xf numFmtId="168" fontId="15" fillId="61" borderId="0" xfId="1" applyNumberFormat="1" applyFont="1" applyFill="1" applyBorder="1"/>
    <xf numFmtId="168" fontId="3" fillId="61" borderId="0" xfId="2" applyNumberFormat="1" applyFont="1" applyFill="1" applyBorder="1"/>
    <xf numFmtId="0" fontId="3" fillId="61" borderId="0" xfId="2" applyFont="1" applyFill="1" applyBorder="1"/>
    <xf numFmtId="0" fontId="13" fillId="61" borderId="0" xfId="2" applyFont="1" applyFill="1"/>
    <xf numFmtId="0" fontId="3" fillId="61" borderId="0" xfId="2" applyFont="1" applyFill="1"/>
    <xf numFmtId="0" fontId="0" fillId="0" borderId="0" xfId="0"/>
    <xf numFmtId="0" fontId="27" fillId="49" borderId="14" xfId="0" applyFont="1" applyFill="1" applyBorder="1" applyAlignment="1"/>
    <xf numFmtId="0" fontId="0" fillId="0" borderId="16" xfId="0" applyBorder="1" applyAlignment="1"/>
    <xf numFmtId="0" fontId="0" fillId="0" borderId="17" xfId="0" applyBorder="1" applyAlignment="1"/>
    <xf numFmtId="0" fontId="0" fillId="0" borderId="18" xfId="0" applyBorder="1" applyAlignment="1"/>
    <xf numFmtId="164" fontId="0" fillId="46" borderId="44" xfId="0" applyNumberFormat="1" applyFill="1" applyBorder="1" applyAlignment="1">
      <alignment horizontal="center"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27" fillId="50" borderId="14" xfId="0" applyFont="1" applyFill="1" applyBorder="1" applyAlignment="1"/>
    <xf numFmtId="0" fontId="27" fillId="50" borderId="16" xfId="0" applyFont="1" applyFill="1" applyBorder="1" applyAlignment="1"/>
    <xf numFmtId="0" fontId="27" fillId="50" borderId="17" xfId="0" applyFont="1" applyFill="1" applyBorder="1" applyAlignment="1"/>
    <xf numFmtId="0" fontId="27" fillId="50" borderId="18" xfId="0" applyFont="1" applyFill="1" applyBorder="1" applyAlignment="1"/>
    <xf numFmtId="0" fontId="27" fillId="50" borderId="19" xfId="0" applyFont="1" applyFill="1" applyBorder="1" applyAlignment="1"/>
    <xf numFmtId="0" fontId="27" fillId="50" borderId="21" xfId="0" applyFont="1" applyFill="1" applyBorder="1" applyAlignment="1"/>
    <xf numFmtId="164" fontId="48" fillId="24" borderId="44" xfId="0" applyNumberFormat="1" applyFont="1" applyFill="1" applyBorder="1" applyAlignment="1">
      <alignment horizontal="center" vertical="top" wrapText="1" shrinkToFit="1"/>
    </xf>
    <xf numFmtId="164" fontId="48" fillId="24" borderId="23" xfId="0" applyNumberFormat="1" applyFont="1" applyFill="1" applyBorder="1" applyAlignment="1">
      <alignment horizontal="center" vertical="top" wrapText="1" shrinkToFit="1"/>
    </xf>
    <xf numFmtId="164" fontId="48" fillId="24" borderId="22" xfId="0" applyNumberFormat="1" applyFont="1" applyFill="1" applyBorder="1" applyAlignment="1">
      <alignment horizontal="center" vertical="top" wrapText="1" shrinkToFit="1"/>
    </xf>
    <xf numFmtId="0" fontId="24" fillId="24" borderId="14" xfId="0" applyFont="1" applyFill="1" applyBorder="1" applyAlignment="1">
      <alignment horizontal="center" vertical="center"/>
    </xf>
    <xf numFmtId="0" fontId="24" fillId="24" borderId="16" xfId="0" applyFont="1" applyFill="1" applyBorder="1" applyAlignment="1">
      <alignment horizontal="center" vertical="center"/>
    </xf>
    <xf numFmtId="0" fontId="24" fillId="24" borderId="17" xfId="0" applyFont="1" applyFill="1" applyBorder="1" applyAlignment="1">
      <alignment horizontal="center" vertical="center"/>
    </xf>
    <xf numFmtId="0" fontId="24" fillId="24" borderId="18" xfId="0" applyFont="1" applyFill="1" applyBorder="1" applyAlignment="1">
      <alignment horizontal="center" vertical="center"/>
    </xf>
    <xf numFmtId="0" fontId="24" fillId="24" borderId="19" xfId="0" applyFont="1" applyFill="1" applyBorder="1" applyAlignment="1">
      <alignment horizontal="center" vertical="center"/>
    </xf>
    <xf numFmtId="0" fontId="24" fillId="24" borderId="21" xfId="0" applyFont="1" applyFill="1" applyBorder="1" applyAlignment="1">
      <alignment horizontal="center" vertical="center"/>
    </xf>
    <xf numFmtId="0" fontId="24" fillId="45" borderId="44" xfId="0" applyFont="1" applyFill="1" applyBorder="1" applyAlignment="1">
      <alignment horizontal="center" vertical="center" wrapText="1"/>
    </xf>
    <xf numFmtId="0" fontId="24" fillId="45" borderId="23" xfId="0" applyFont="1" applyFill="1" applyBorder="1" applyAlignment="1">
      <alignment horizontal="center" vertical="center" wrapText="1"/>
    </xf>
    <xf numFmtId="0" fontId="24" fillId="45" borderId="22" xfId="0" applyFont="1" applyFill="1" applyBorder="1" applyAlignment="1">
      <alignment horizontal="center" vertical="center" wrapText="1"/>
    </xf>
    <xf numFmtId="0" fontId="0" fillId="0" borderId="12" xfId="0" applyBorder="1" applyAlignment="1">
      <alignment horizontal="center"/>
    </xf>
    <xf numFmtId="0" fontId="0" fillId="0" borderId="58" xfId="0" applyBorder="1" applyAlignment="1">
      <alignment horizontal="center"/>
    </xf>
    <xf numFmtId="0" fontId="0" fillId="0" borderId="13" xfId="0" applyBorder="1" applyAlignment="1">
      <alignment horizontal="center"/>
    </xf>
    <xf numFmtId="0" fontId="24" fillId="23" borderId="44" xfId="0" applyFont="1" applyFill="1" applyBorder="1" applyAlignment="1">
      <alignment horizontal="center" vertical="center"/>
    </xf>
    <xf numFmtId="0" fontId="24" fillId="23" borderId="23" xfId="0" applyFont="1" applyFill="1" applyBorder="1" applyAlignment="1">
      <alignment horizontal="center" vertical="center"/>
    </xf>
    <xf numFmtId="0" fontId="24" fillId="23" borderId="22" xfId="0" applyFont="1" applyFill="1" applyBorder="1" applyAlignment="1">
      <alignment horizontal="center" vertical="center"/>
    </xf>
    <xf numFmtId="0" fontId="0" fillId="46" borderId="44" xfId="0" applyFill="1" applyBorder="1" applyAlignment="1">
      <alignment horizontal="center" vertical="center" wrapText="1"/>
    </xf>
    <xf numFmtId="0" fontId="0" fillId="46" borderId="23" xfId="0" applyFill="1" applyBorder="1" applyAlignment="1">
      <alignment horizontal="center" vertical="center" wrapText="1"/>
    </xf>
    <xf numFmtId="0" fontId="0" fillId="46" borderId="22" xfId="0" applyFill="1" applyBorder="1" applyAlignment="1">
      <alignment horizontal="center" vertical="center" wrapText="1"/>
    </xf>
    <xf numFmtId="4" fontId="0" fillId="46" borderId="44" xfId="0" applyNumberFormat="1" applyFill="1" applyBorder="1" applyAlignment="1">
      <alignment horizontal="center" vertical="center"/>
    </xf>
    <xf numFmtId="4" fontId="0" fillId="46" borderId="23" xfId="0" applyNumberFormat="1" applyFill="1" applyBorder="1" applyAlignment="1">
      <alignment horizontal="center" vertical="center"/>
    </xf>
    <xf numFmtId="4" fontId="0" fillId="46" borderId="22" xfId="0" applyNumberFormat="1" applyFill="1" applyBorder="1" applyAlignment="1">
      <alignment horizontal="center" vertical="center"/>
    </xf>
    <xf numFmtId="0" fontId="24" fillId="46" borderId="14" xfId="0" applyFont="1" applyFill="1" applyBorder="1" applyAlignment="1">
      <alignment horizontal="center" vertical="center"/>
    </xf>
    <xf numFmtId="0" fontId="24" fillId="46" borderId="16" xfId="0" applyFont="1" applyFill="1" applyBorder="1" applyAlignment="1">
      <alignment horizontal="center" vertical="center"/>
    </xf>
    <xf numFmtId="0" fontId="24" fillId="46" borderId="17" xfId="0" applyFont="1" applyFill="1" applyBorder="1" applyAlignment="1">
      <alignment horizontal="center" vertical="center"/>
    </xf>
    <xf numFmtId="0" fontId="24" fillId="46" borderId="18" xfId="0" applyFont="1" applyFill="1" applyBorder="1" applyAlignment="1">
      <alignment horizontal="center" vertical="center"/>
    </xf>
    <xf numFmtId="0" fontId="24" fillId="46" borderId="19" xfId="0" applyFont="1" applyFill="1" applyBorder="1" applyAlignment="1">
      <alignment horizontal="center" vertical="center"/>
    </xf>
    <xf numFmtId="0" fontId="24" fillId="46" borderId="21" xfId="0" applyFont="1" applyFill="1" applyBorder="1" applyAlignment="1">
      <alignment horizontal="center" vertical="center"/>
    </xf>
    <xf numFmtId="0" fontId="24" fillId="9" borderId="44" xfId="0" applyFont="1" applyFill="1" applyBorder="1" applyAlignment="1">
      <alignment horizontal="center" vertical="center" wrapText="1"/>
    </xf>
    <xf numFmtId="0" fontId="24" fillId="9" borderId="23" xfId="0" applyFont="1" applyFill="1" applyBorder="1" applyAlignment="1">
      <alignment horizontal="center" vertical="center" wrapText="1"/>
    </xf>
    <xf numFmtId="0" fontId="24" fillId="9" borderId="22" xfId="0" applyFont="1" applyFill="1" applyBorder="1" applyAlignment="1">
      <alignment horizontal="center" vertical="center" wrapText="1"/>
    </xf>
    <xf numFmtId="0" fontId="24" fillId="10" borderId="44" xfId="0" applyFont="1" applyFill="1" applyBorder="1" applyAlignment="1">
      <alignment horizontal="center" vertical="center" wrapText="1"/>
    </xf>
    <xf numFmtId="0" fontId="24" fillId="10" borderId="23" xfId="0" applyFont="1" applyFill="1" applyBorder="1" applyAlignment="1">
      <alignment horizontal="center" vertical="center" wrapText="1"/>
    </xf>
    <xf numFmtId="0" fontId="24" fillId="10" borderId="22" xfId="0" applyFont="1" applyFill="1" applyBorder="1" applyAlignment="1">
      <alignment horizontal="center" vertical="center" wrapText="1"/>
    </xf>
    <xf numFmtId="0" fontId="24" fillId="23" borderId="44" xfId="0" applyFont="1" applyFill="1" applyBorder="1" applyAlignment="1">
      <alignment horizontal="center" vertical="center" wrapText="1"/>
    </xf>
    <xf numFmtId="0" fontId="24" fillId="23" borderId="23" xfId="0" applyFont="1" applyFill="1" applyBorder="1" applyAlignment="1">
      <alignment horizontal="center" vertical="center" wrapText="1"/>
    </xf>
    <xf numFmtId="0" fontId="24" fillId="23" borderId="22" xfId="0" applyFont="1" applyFill="1" applyBorder="1" applyAlignment="1">
      <alignment horizontal="center" vertical="center" wrapText="1"/>
    </xf>
    <xf numFmtId="0" fontId="24" fillId="31" borderId="44" xfId="0" applyFont="1" applyFill="1" applyBorder="1" applyAlignment="1">
      <alignment horizontal="center" vertical="center" wrapText="1"/>
    </xf>
    <xf numFmtId="0" fontId="24" fillId="31" borderId="23" xfId="0" applyFont="1" applyFill="1" applyBorder="1" applyAlignment="1">
      <alignment horizontal="center" vertical="center" wrapText="1"/>
    </xf>
    <xf numFmtId="0" fontId="24" fillId="31" borderId="22" xfId="0" applyFont="1" applyFill="1" applyBorder="1" applyAlignment="1">
      <alignment horizontal="center" vertical="center" wrapText="1"/>
    </xf>
    <xf numFmtId="169" fontId="0" fillId="46" borderId="44" xfId="0" applyNumberFormat="1" applyFill="1" applyBorder="1" applyAlignment="1">
      <alignment horizontal="center" vertical="center" shrinkToFit="1"/>
    </xf>
    <xf numFmtId="169" fontId="0" fillId="46" borderId="23" xfId="0" applyNumberFormat="1" applyFill="1" applyBorder="1" applyAlignment="1">
      <alignment horizontal="center" vertical="center" shrinkToFit="1"/>
    </xf>
    <xf numFmtId="169" fontId="0" fillId="46" borderId="22" xfId="0" applyNumberFormat="1" applyFill="1" applyBorder="1" applyAlignment="1">
      <alignment horizontal="center" vertical="center" shrinkToFit="1"/>
    </xf>
    <xf numFmtId="166" fontId="0" fillId="24" borderId="44" xfId="0" applyNumberFormat="1" applyFill="1" applyBorder="1" applyAlignment="1">
      <alignment horizontal="center" vertical="center"/>
    </xf>
    <xf numFmtId="166" fontId="0" fillId="24" borderId="23" xfId="0" applyNumberFormat="1" applyFill="1" applyBorder="1" applyAlignment="1">
      <alignment horizontal="center" vertical="center"/>
    </xf>
    <xf numFmtId="166" fontId="0" fillId="24" borderId="22" xfId="0" applyNumberFormat="1" applyFill="1" applyBorder="1" applyAlignment="1">
      <alignment horizontal="center" vertical="center"/>
    </xf>
    <xf numFmtId="164" fontId="0" fillId="24" borderId="44" xfId="0" applyNumberFormat="1" applyFill="1" applyBorder="1" applyAlignment="1">
      <alignment horizontal="center" vertical="center" wrapText="1"/>
    </xf>
    <xf numFmtId="164" fontId="0" fillId="24" borderId="23" xfId="0" applyNumberFormat="1" applyFill="1" applyBorder="1" applyAlignment="1">
      <alignment horizontal="center" vertical="center" wrapText="1"/>
    </xf>
    <xf numFmtId="164" fontId="0" fillId="24" borderId="22" xfId="0" applyNumberFormat="1" applyFill="1" applyBorder="1" applyAlignment="1">
      <alignment horizontal="center" vertical="center" wrapText="1"/>
    </xf>
    <xf numFmtId="0" fontId="0" fillId="35" borderId="12" xfId="0" applyFill="1" applyBorder="1" applyAlignment="1">
      <alignment horizontal="center"/>
    </xf>
    <xf numFmtId="0" fontId="0" fillId="35" borderId="58" xfId="0" applyFill="1" applyBorder="1" applyAlignment="1">
      <alignment horizontal="center"/>
    </xf>
    <xf numFmtId="0" fontId="0" fillId="35" borderId="13" xfId="0" applyFill="1" applyBorder="1" applyAlignment="1">
      <alignment horizontal="center"/>
    </xf>
    <xf numFmtId="0" fontId="24" fillId="35" borderId="44"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2" xfId="0" applyFont="1" applyFill="1" applyBorder="1" applyAlignment="1">
      <alignment horizontal="center" vertical="center" wrapText="1"/>
    </xf>
    <xf numFmtId="0" fontId="0" fillId="45" borderId="12" xfId="0" applyFill="1" applyBorder="1" applyAlignment="1">
      <alignment horizontal="center"/>
    </xf>
    <xf numFmtId="0" fontId="0" fillId="45" borderId="58" xfId="0" applyFill="1" applyBorder="1" applyAlignment="1">
      <alignment horizontal="center"/>
    </xf>
    <xf numFmtId="0" fontId="0" fillId="45" borderId="13" xfId="0" applyFill="1" applyBorder="1" applyAlignment="1">
      <alignment horizontal="center"/>
    </xf>
    <xf numFmtId="0" fontId="24" fillId="60" borderId="44" xfId="0" applyFont="1" applyFill="1" applyBorder="1" applyAlignment="1">
      <alignment horizontal="center" vertical="center" wrapText="1"/>
    </xf>
    <xf numFmtId="0" fontId="26" fillId="21" borderId="0" xfId="0" applyFont="1" applyFill="1" applyAlignment="1">
      <alignment horizontal="center"/>
    </xf>
    <xf numFmtId="0" fontId="27" fillId="10" borderId="14" xfId="0" applyFont="1" applyFill="1" applyBorder="1" applyAlignment="1">
      <alignment horizontal="center" vertical="center" wrapText="1"/>
    </xf>
    <xf numFmtId="0" fontId="27" fillId="10" borderId="16" xfId="0" applyFont="1" applyFill="1" applyBorder="1" applyAlignment="1">
      <alignment horizontal="center" vertical="center" wrapText="1"/>
    </xf>
    <xf numFmtId="0" fontId="27" fillId="10" borderId="17"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7" fillId="10" borderId="19" xfId="0" applyFont="1" applyFill="1" applyBorder="1" applyAlignment="1">
      <alignment horizontal="center" vertical="center" wrapText="1"/>
    </xf>
    <xf numFmtId="0" fontId="27" fillId="10" borderId="21" xfId="0" applyFont="1" applyFill="1" applyBorder="1" applyAlignment="1">
      <alignment horizontal="center" vertical="center" wrapText="1"/>
    </xf>
    <xf numFmtId="0" fontId="24" fillId="46" borderId="12" xfId="0" applyFont="1" applyFill="1" applyBorder="1" applyAlignment="1">
      <alignment horizontal="center"/>
    </xf>
    <xf numFmtId="0" fontId="24" fillId="46" borderId="13" xfId="0" applyFont="1" applyFill="1" applyBorder="1" applyAlignment="1">
      <alignment horizontal="center"/>
    </xf>
    <xf numFmtId="0" fontId="24" fillId="23" borderId="12" xfId="0" applyFont="1" applyFill="1" applyBorder="1" applyAlignment="1">
      <alignment horizontal="center"/>
    </xf>
    <xf numFmtId="0" fontId="24" fillId="23" borderId="13" xfId="0" applyFont="1" applyFill="1" applyBorder="1" applyAlignment="1">
      <alignment horizontal="center"/>
    </xf>
    <xf numFmtId="0" fontId="24" fillId="22" borderId="12" xfId="0" applyFont="1" applyFill="1" applyBorder="1" applyAlignment="1">
      <alignment horizontal="center"/>
    </xf>
    <xf numFmtId="0" fontId="24" fillId="22" borderId="13" xfId="0" applyFont="1" applyFill="1" applyBorder="1" applyAlignment="1">
      <alignment horizontal="center"/>
    </xf>
    <xf numFmtId="0" fontId="27" fillId="12" borderId="44" xfId="0" applyFont="1" applyFill="1" applyBorder="1" applyAlignment="1">
      <alignment horizontal="center" vertical="center" textRotation="255"/>
    </xf>
    <xf numFmtId="0" fontId="27" fillId="12" borderId="23" xfId="0" applyFont="1" applyFill="1" applyBorder="1" applyAlignment="1">
      <alignment horizontal="center" vertical="center" textRotation="255"/>
    </xf>
    <xf numFmtId="0" fontId="27" fillId="12" borderId="22" xfId="0" applyFont="1" applyFill="1" applyBorder="1" applyAlignment="1">
      <alignment horizontal="center" vertical="center" textRotation="255"/>
    </xf>
    <xf numFmtId="0" fontId="68" fillId="9" borderId="14" xfId="0" applyFont="1" applyFill="1" applyBorder="1" applyAlignment="1">
      <alignment horizontal="center" vertical="center" wrapText="1"/>
    </xf>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21" xfId="0" applyFill="1" applyBorder="1" applyAlignment="1">
      <alignment horizontal="center" vertical="center" wrapText="1"/>
    </xf>
    <xf numFmtId="0" fontId="0" fillId="22" borderId="14" xfId="0" applyFill="1" applyBorder="1" applyAlignment="1">
      <alignment horizontal="center" wrapText="1"/>
    </xf>
    <xf numFmtId="0" fontId="0" fillId="22" borderId="16" xfId="0" applyFill="1" applyBorder="1" applyAlignment="1">
      <alignment horizontal="center" wrapText="1"/>
    </xf>
    <xf numFmtId="0" fontId="0" fillId="22" borderId="17" xfId="0" applyFill="1" applyBorder="1" applyAlignment="1">
      <alignment horizontal="center" wrapText="1"/>
    </xf>
    <xf numFmtId="0" fontId="0" fillId="22" borderId="18" xfId="0" applyFill="1" applyBorder="1" applyAlignment="1">
      <alignment horizontal="center" wrapText="1"/>
    </xf>
    <xf numFmtId="0" fontId="0" fillId="22" borderId="19" xfId="0" applyFill="1" applyBorder="1" applyAlignment="1">
      <alignment horizontal="center" wrapText="1"/>
    </xf>
    <xf numFmtId="0" fontId="0" fillId="22" borderId="21" xfId="0" applyFill="1" applyBorder="1" applyAlignment="1">
      <alignment horizontal="center" wrapText="1"/>
    </xf>
    <xf numFmtId="0" fontId="27" fillId="8" borderId="44" xfId="0" applyFont="1" applyFill="1" applyBorder="1" applyAlignment="1">
      <alignment horizontal="center" vertical="center" textRotation="255"/>
    </xf>
    <xf numFmtId="0" fontId="27" fillId="8" borderId="23" xfId="0" applyFont="1" applyFill="1" applyBorder="1" applyAlignment="1">
      <alignment horizontal="center" vertical="center" textRotation="255"/>
    </xf>
    <xf numFmtId="0" fontId="27" fillId="8" borderId="17" xfId="0" applyFont="1" applyFill="1" applyBorder="1" applyAlignment="1">
      <alignment horizontal="center" vertical="center" textRotation="255"/>
    </xf>
    <xf numFmtId="0" fontId="27" fillId="8" borderId="22" xfId="0" applyFont="1" applyFill="1" applyBorder="1" applyAlignment="1">
      <alignment horizontal="center" vertical="center" textRotation="255"/>
    </xf>
    <xf numFmtId="0" fontId="0" fillId="23" borderId="14" xfId="0" applyFill="1" applyBorder="1" applyAlignment="1">
      <alignment horizontal="center" wrapText="1"/>
    </xf>
    <xf numFmtId="0" fontId="0" fillId="23" borderId="16" xfId="0" applyFill="1" applyBorder="1" applyAlignment="1">
      <alignment horizontal="center" wrapText="1"/>
    </xf>
    <xf numFmtId="0" fontId="0" fillId="23" borderId="17" xfId="0" applyFill="1" applyBorder="1" applyAlignment="1">
      <alignment horizontal="center" wrapText="1"/>
    </xf>
    <xf numFmtId="0" fontId="0" fillId="23" borderId="18" xfId="0" applyFill="1" applyBorder="1" applyAlignment="1">
      <alignment horizontal="center" wrapText="1"/>
    </xf>
    <xf numFmtId="0" fontId="0" fillId="23" borderId="19" xfId="0" applyFill="1" applyBorder="1" applyAlignment="1">
      <alignment horizontal="center" wrapText="1"/>
    </xf>
    <xf numFmtId="0" fontId="0" fillId="23" borderId="21" xfId="0" applyFill="1" applyBorder="1" applyAlignment="1">
      <alignment horizontal="center" wrapText="1"/>
    </xf>
    <xf numFmtId="0" fontId="24" fillId="22" borderId="44" xfId="0" applyFont="1" applyFill="1" applyBorder="1" applyAlignment="1">
      <alignment horizontal="center" vertical="center" wrapText="1"/>
    </xf>
    <xf numFmtId="0" fontId="24" fillId="22" borderId="23" xfId="0" applyFont="1" applyFill="1" applyBorder="1" applyAlignment="1">
      <alignment horizontal="center" vertical="center" wrapText="1"/>
    </xf>
    <xf numFmtId="0" fontId="24" fillId="22" borderId="22" xfId="0" applyFont="1" applyFill="1" applyBorder="1" applyAlignment="1">
      <alignment horizontal="center" vertical="center" wrapText="1"/>
    </xf>
    <xf numFmtId="0" fontId="24" fillId="22" borderId="44" xfId="0" applyFont="1" applyFill="1" applyBorder="1" applyAlignment="1">
      <alignment horizontal="center" vertical="center"/>
    </xf>
    <xf numFmtId="0" fontId="24" fillId="0" borderId="23" xfId="0" applyFont="1" applyBorder="1" applyAlignment="1">
      <alignment horizontal="center" vertical="center"/>
    </xf>
    <xf numFmtId="0" fontId="24" fillId="0" borderId="22" xfId="0" applyFont="1" applyBorder="1" applyAlignment="1">
      <alignment horizontal="center" vertical="center"/>
    </xf>
    <xf numFmtId="0" fontId="24" fillId="40" borderId="44" xfId="0" applyFont="1" applyFill="1" applyBorder="1" applyAlignment="1">
      <alignment horizontal="center" vertical="center"/>
    </xf>
    <xf numFmtId="0" fontId="24" fillId="40" borderId="23" xfId="0" applyFont="1" applyFill="1" applyBorder="1" applyAlignment="1">
      <alignment horizontal="center" vertical="center"/>
    </xf>
    <xf numFmtId="0" fontId="24" fillId="40" borderId="22" xfId="0" applyFont="1" applyFill="1" applyBorder="1" applyAlignment="1">
      <alignment horizontal="center" vertical="center"/>
    </xf>
    <xf numFmtId="0" fontId="0" fillId="40" borderId="12" xfId="0" applyFill="1" applyBorder="1" applyAlignment="1">
      <alignment horizontal="center"/>
    </xf>
    <xf numFmtId="0" fontId="0" fillId="40" borderId="58" xfId="0" applyFill="1" applyBorder="1" applyAlignment="1">
      <alignment horizontal="center"/>
    </xf>
    <xf numFmtId="0" fontId="0" fillId="40" borderId="13" xfId="0" applyFill="1" applyBorder="1" applyAlignment="1">
      <alignment horizontal="center"/>
    </xf>
    <xf numFmtId="0" fontId="24" fillId="41" borderId="12" xfId="0" applyFont="1" applyFill="1" applyBorder="1" applyAlignment="1">
      <alignment horizontal="center"/>
    </xf>
    <xf numFmtId="0" fontId="24" fillId="41" borderId="13" xfId="0" applyFont="1" applyFill="1" applyBorder="1" applyAlignment="1">
      <alignment horizontal="center"/>
    </xf>
    <xf numFmtId="0" fontId="24" fillId="41" borderId="44" xfId="0" applyFont="1" applyFill="1" applyBorder="1" applyAlignment="1">
      <alignment horizontal="center" vertical="center" wrapText="1"/>
    </xf>
    <xf numFmtId="0" fontId="24" fillId="41" borderId="23" xfId="0" applyFont="1" applyFill="1" applyBorder="1" applyAlignment="1">
      <alignment horizontal="center" vertical="center" wrapText="1"/>
    </xf>
    <xf numFmtId="0" fontId="24" fillId="41" borderId="22" xfId="0" applyFont="1" applyFill="1" applyBorder="1" applyAlignment="1">
      <alignment horizontal="center" vertical="center" wrapText="1"/>
    </xf>
    <xf numFmtId="0" fontId="27" fillId="40" borderId="14" xfId="0" applyFont="1" applyFill="1" applyBorder="1" applyAlignment="1">
      <alignment horizontal="center" vertical="center" wrapText="1"/>
    </xf>
    <xf numFmtId="0" fontId="0" fillId="40" borderId="16" xfId="0" applyFill="1" applyBorder="1" applyAlignment="1">
      <alignment horizontal="center" vertical="center" wrapText="1"/>
    </xf>
    <xf numFmtId="0" fontId="0" fillId="40" borderId="17" xfId="0" applyFill="1" applyBorder="1" applyAlignment="1">
      <alignment horizontal="center" vertical="center" wrapText="1"/>
    </xf>
    <xf numFmtId="0" fontId="0" fillId="40" borderId="18" xfId="0" applyFill="1" applyBorder="1" applyAlignment="1">
      <alignment horizontal="center" vertical="center" wrapText="1"/>
    </xf>
    <xf numFmtId="0" fontId="0" fillId="40" borderId="19" xfId="0" applyFill="1" applyBorder="1" applyAlignment="1">
      <alignment horizontal="center" vertical="center" wrapText="1"/>
    </xf>
    <xf numFmtId="0" fontId="0" fillId="40" borderId="21" xfId="0" applyFill="1" applyBorder="1" applyAlignment="1">
      <alignment horizontal="center" vertical="center" wrapText="1"/>
    </xf>
    <xf numFmtId="0" fontId="0" fillId="41" borderId="14" xfId="0" applyFill="1" applyBorder="1" applyAlignment="1">
      <alignment horizontal="center" wrapText="1"/>
    </xf>
    <xf numFmtId="0" fontId="0" fillId="41" borderId="16" xfId="0" applyFill="1" applyBorder="1" applyAlignment="1">
      <alignment horizontal="center" wrapText="1"/>
    </xf>
    <xf numFmtId="0" fontId="0" fillId="41" borderId="17" xfId="0" applyFill="1" applyBorder="1" applyAlignment="1">
      <alignment horizontal="center" wrapText="1"/>
    </xf>
    <xf numFmtId="0" fontId="0" fillId="41" borderId="18" xfId="0" applyFill="1" applyBorder="1" applyAlignment="1">
      <alignment horizontal="center" wrapText="1"/>
    </xf>
    <xf numFmtId="0" fontId="0" fillId="41" borderId="19" xfId="0" applyFill="1" applyBorder="1" applyAlignment="1">
      <alignment horizontal="center" wrapText="1"/>
    </xf>
    <xf numFmtId="0" fontId="0" fillId="41" borderId="21" xfId="0" applyFill="1" applyBorder="1" applyAlignment="1">
      <alignment horizontal="center" wrapText="1"/>
    </xf>
    <xf numFmtId="0" fontId="27" fillId="40" borderId="14" xfId="0" applyFont="1" applyFill="1" applyBorder="1" applyAlignment="1"/>
    <xf numFmtId="0" fontId="0" fillId="40" borderId="16" xfId="0" applyFill="1" applyBorder="1" applyAlignment="1"/>
    <xf numFmtId="0" fontId="0" fillId="40" borderId="17" xfId="0" applyFill="1" applyBorder="1" applyAlignment="1"/>
    <xf numFmtId="0" fontId="0" fillId="40" borderId="18" xfId="0" applyFill="1" applyBorder="1" applyAlignment="1"/>
    <xf numFmtId="0" fontId="0" fillId="40" borderId="19" xfId="0" applyFill="1" applyBorder="1" applyAlignment="1"/>
    <xf numFmtId="0" fontId="0" fillId="40" borderId="21" xfId="0" applyFill="1" applyBorder="1" applyAlignment="1"/>
    <xf numFmtId="0" fontId="24" fillId="48" borderId="44" xfId="0" applyFont="1" applyFill="1" applyBorder="1" applyAlignment="1">
      <alignment horizontal="center" vertical="center" wrapText="1"/>
    </xf>
    <xf numFmtId="0" fontId="24" fillId="48" borderId="23" xfId="0" applyFont="1" applyFill="1" applyBorder="1" applyAlignment="1">
      <alignment horizontal="center" vertical="center" wrapText="1"/>
    </xf>
    <xf numFmtId="0" fontId="24" fillId="48" borderId="22" xfId="0" applyFont="1" applyFill="1" applyBorder="1" applyAlignment="1">
      <alignment horizontal="center" vertical="center" wrapText="1"/>
    </xf>
    <xf numFmtId="0" fontId="0" fillId="51" borderId="12" xfId="0" applyFill="1" applyBorder="1" applyAlignment="1">
      <alignment horizontal="center"/>
    </xf>
    <xf numFmtId="0" fontId="0" fillId="51" borderId="58" xfId="0" applyFill="1" applyBorder="1" applyAlignment="1">
      <alignment horizontal="center"/>
    </xf>
    <xf numFmtId="0" fontId="0" fillId="51" borderId="13" xfId="0" applyFill="1" applyBorder="1" applyAlignment="1">
      <alignment horizontal="center"/>
    </xf>
    <xf numFmtId="0" fontId="24" fillId="55" borderId="14" xfId="0" applyFont="1" applyFill="1" applyBorder="1" applyAlignment="1">
      <alignment wrapText="1"/>
    </xf>
    <xf numFmtId="0" fontId="24" fillId="55" borderId="15" xfId="0" applyFont="1" applyFill="1" applyBorder="1" applyAlignment="1">
      <alignment wrapText="1"/>
    </xf>
    <xf numFmtId="0" fontId="0" fillId="60" borderId="12" xfId="0" applyFill="1" applyBorder="1" applyAlignment="1">
      <alignment horizontal="center" wrapText="1"/>
    </xf>
    <xf numFmtId="0" fontId="0" fillId="0" borderId="58" xfId="0" applyBorder="1" applyAlignment="1">
      <alignment horizontal="center" wrapText="1"/>
    </xf>
    <xf numFmtId="0" fontId="0" fillId="0" borderId="13" xfId="0" applyBorder="1" applyAlignment="1">
      <alignment horizontal="center" wrapText="1"/>
    </xf>
    <xf numFmtId="0" fontId="0" fillId="59" borderId="12" xfId="0" applyFill="1" applyBorder="1" applyAlignment="1">
      <alignment horizontal="center" wrapText="1"/>
    </xf>
    <xf numFmtId="0" fontId="24" fillId="59" borderId="44" xfId="0" applyFont="1" applyFill="1" applyBorder="1" applyAlignment="1">
      <alignment horizontal="center" vertical="center" wrapText="1"/>
    </xf>
    <xf numFmtId="0" fontId="24" fillId="34" borderId="44" xfId="0" applyFont="1" applyFill="1" applyBorder="1" applyAlignment="1">
      <alignment horizontal="center" vertical="center" wrapText="1"/>
    </xf>
    <xf numFmtId="0" fontId="24" fillId="34" borderId="23" xfId="0" applyFont="1" applyFill="1" applyBorder="1" applyAlignment="1">
      <alignment horizontal="center" vertical="center" wrapText="1"/>
    </xf>
    <xf numFmtId="0" fontId="24" fillId="34" borderId="22" xfId="0" applyFont="1" applyFill="1" applyBorder="1" applyAlignment="1">
      <alignment horizontal="center" vertical="center" wrapText="1"/>
    </xf>
    <xf numFmtId="0" fontId="0" fillId="21" borderId="12" xfId="0" applyFill="1" applyBorder="1" applyAlignment="1">
      <alignment horizontal="center"/>
    </xf>
    <xf numFmtId="0" fontId="0" fillId="21" borderId="58" xfId="0" applyFill="1" applyBorder="1" applyAlignment="1">
      <alignment horizontal="center"/>
    </xf>
    <xf numFmtId="0" fontId="0" fillId="21" borderId="13" xfId="0" applyFill="1" applyBorder="1" applyAlignment="1">
      <alignment horizontal="center"/>
    </xf>
    <xf numFmtId="0" fontId="24" fillId="21" borderId="44" xfId="0" applyFont="1" applyFill="1" applyBorder="1" applyAlignment="1">
      <alignment horizontal="center" vertical="center"/>
    </xf>
    <xf numFmtId="0" fontId="24" fillId="21" borderId="23" xfId="0" applyFont="1" applyFill="1" applyBorder="1" applyAlignment="1">
      <alignment horizontal="center" vertical="center"/>
    </xf>
    <xf numFmtId="0" fontId="24" fillId="21" borderId="22" xfId="0" applyFont="1" applyFill="1" applyBorder="1" applyAlignment="1">
      <alignment horizontal="center" vertical="center"/>
    </xf>
    <xf numFmtId="0" fontId="27" fillId="21" borderId="14" xfId="0" applyFont="1" applyFill="1" applyBorder="1" applyAlignment="1">
      <alignment horizontal="center" vertical="center" wrapText="1"/>
    </xf>
    <xf numFmtId="0" fontId="27" fillId="21" borderId="16" xfId="0" applyFont="1" applyFill="1" applyBorder="1" applyAlignment="1">
      <alignment horizontal="center" vertical="center" wrapText="1"/>
    </xf>
    <xf numFmtId="0" fontId="27" fillId="21" borderId="17" xfId="0" applyFont="1" applyFill="1" applyBorder="1" applyAlignment="1">
      <alignment horizontal="center" vertical="center" wrapText="1"/>
    </xf>
    <xf numFmtId="0" fontId="27" fillId="21" borderId="18" xfId="0" applyFont="1" applyFill="1" applyBorder="1" applyAlignment="1">
      <alignment horizontal="center" vertical="center" wrapText="1"/>
    </xf>
    <xf numFmtId="0" fontId="27" fillId="21" borderId="19" xfId="0" applyFont="1" applyFill="1" applyBorder="1" applyAlignment="1">
      <alignment horizontal="center" vertical="center" wrapText="1"/>
    </xf>
    <xf numFmtId="0" fontId="27" fillId="21" borderId="21" xfId="0" applyFont="1" applyFill="1" applyBorder="1" applyAlignment="1">
      <alignment horizontal="center" vertical="center" wrapText="1"/>
    </xf>
    <xf numFmtId="0" fontId="24" fillId="21" borderId="44" xfId="0" applyFont="1" applyFill="1" applyBorder="1" applyAlignment="1">
      <alignment horizontal="center" vertical="center" wrapText="1"/>
    </xf>
    <xf numFmtId="0" fontId="24" fillId="21" borderId="23" xfId="0" applyFont="1" applyFill="1" applyBorder="1" applyAlignment="1">
      <alignment horizontal="center" vertical="center" wrapText="1"/>
    </xf>
    <xf numFmtId="0" fontId="24" fillId="21" borderId="22" xfId="0" applyFont="1" applyFill="1" applyBorder="1" applyAlignment="1">
      <alignment horizontal="center" vertical="center" wrapText="1"/>
    </xf>
    <xf numFmtId="0" fontId="0" fillId="21" borderId="14" xfId="0" applyFill="1" applyBorder="1" applyAlignment="1">
      <alignment horizontal="center" wrapText="1"/>
    </xf>
    <xf numFmtId="0" fontId="0" fillId="21" borderId="16" xfId="0" applyFill="1" applyBorder="1" applyAlignment="1">
      <alignment horizontal="center" wrapText="1"/>
    </xf>
    <xf numFmtId="0" fontId="0" fillId="21" borderId="17" xfId="0" applyFill="1" applyBorder="1" applyAlignment="1">
      <alignment horizontal="center" wrapText="1"/>
    </xf>
    <xf numFmtId="0" fontId="0" fillId="21" borderId="18" xfId="0" applyFill="1" applyBorder="1" applyAlignment="1">
      <alignment horizontal="center" wrapText="1"/>
    </xf>
    <xf numFmtId="0" fontId="0" fillId="21" borderId="19" xfId="0" applyFill="1" applyBorder="1" applyAlignment="1">
      <alignment horizontal="center" wrapText="1"/>
    </xf>
    <xf numFmtId="0" fontId="0" fillId="21" borderId="21" xfId="0" applyFill="1" applyBorder="1" applyAlignment="1">
      <alignment horizontal="center" wrapText="1"/>
    </xf>
    <xf numFmtId="0" fontId="72" fillId="19" borderId="0" xfId="0" applyFont="1" applyFill="1" applyAlignment="1">
      <alignment wrapText="1"/>
    </xf>
    <xf numFmtId="0" fontId="0" fillId="0" borderId="0" xfId="0" applyAlignment="1">
      <alignment wrapText="1"/>
    </xf>
    <xf numFmtId="0" fontId="27" fillId="59" borderId="14" xfId="0" applyFont="1" applyFill="1" applyBorder="1" applyAlignment="1"/>
    <xf numFmtId="0" fontId="27" fillId="59" borderId="16" xfId="0" applyFont="1" applyFill="1" applyBorder="1" applyAlignment="1"/>
    <xf numFmtId="0" fontId="27" fillId="59" borderId="17" xfId="0" applyFont="1" applyFill="1" applyBorder="1" applyAlignment="1"/>
    <xf numFmtId="0" fontId="27" fillId="59" borderId="18" xfId="0" applyFont="1" applyFill="1" applyBorder="1" applyAlignment="1"/>
    <xf numFmtId="0" fontId="27" fillId="59" borderId="19" xfId="0" applyFont="1" applyFill="1" applyBorder="1" applyAlignment="1"/>
    <xf numFmtId="0" fontId="27" fillId="59" borderId="21" xfId="0" applyFont="1" applyFill="1" applyBorder="1" applyAlignment="1"/>
    <xf numFmtId="0" fontId="0" fillId="60" borderId="14" xfId="0" applyFill="1" applyBorder="1" applyAlignment="1">
      <alignment horizontal="center" wrapText="1"/>
    </xf>
    <xf numFmtId="0" fontId="0" fillId="60" borderId="16" xfId="0" applyFill="1" applyBorder="1" applyAlignment="1">
      <alignment horizontal="center" wrapText="1"/>
    </xf>
    <xf numFmtId="0" fontId="0" fillId="60" borderId="17" xfId="0" applyFill="1" applyBorder="1" applyAlignment="1">
      <alignment horizontal="center" wrapText="1"/>
    </xf>
    <xf numFmtId="0" fontId="0" fillId="60" borderId="18" xfId="0" applyFill="1" applyBorder="1" applyAlignment="1">
      <alignment horizontal="center" wrapText="1"/>
    </xf>
    <xf numFmtId="0" fontId="0" fillId="60" borderId="19" xfId="0" applyFill="1" applyBorder="1" applyAlignment="1">
      <alignment horizontal="center" wrapText="1"/>
    </xf>
    <xf numFmtId="0" fontId="0" fillId="60" borderId="21" xfId="0" applyFill="1" applyBorder="1" applyAlignment="1">
      <alignment horizontal="center" wrapText="1"/>
    </xf>
    <xf numFmtId="0" fontId="27" fillId="59" borderId="14" xfId="0" applyFont="1" applyFill="1" applyBorder="1" applyAlignment="1">
      <alignment horizontal="center" vertical="center" wrapText="1"/>
    </xf>
    <xf numFmtId="0" fontId="27" fillId="59" borderId="16" xfId="0" applyFont="1" applyFill="1" applyBorder="1" applyAlignment="1">
      <alignment horizontal="center" vertical="center" wrapText="1"/>
    </xf>
    <xf numFmtId="0" fontId="27" fillId="59" borderId="17" xfId="0" applyFont="1" applyFill="1" applyBorder="1" applyAlignment="1">
      <alignment horizontal="center" vertical="center" wrapText="1"/>
    </xf>
    <xf numFmtId="0" fontId="27" fillId="59" borderId="18" xfId="0" applyFont="1" applyFill="1" applyBorder="1" applyAlignment="1">
      <alignment horizontal="center" vertical="center" wrapText="1"/>
    </xf>
    <xf numFmtId="0" fontId="27" fillId="59" borderId="19" xfId="0" applyFont="1" applyFill="1" applyBorder="1" applyAlignment="1">
      <alignment horizontal="center" vertical="center" wrapText="1"/>
    </xf>
    <xf numFmtId="0" fontId="27" fillId="59" borderId="21" xfId="0" applyFont="1" applyFill="1" applyBorder="1" applyAlignment="1">
      <alignment horizontal="center" vertical="center" wrapText="1"/>
    </xf>
    <xf numFmtId="0" fontId="24" fillId="59" borderId="12" xfId="0" applyFont="1" applyFill="1" applyBorder="1" applyAlignment="1">
      <alignment horizontal="center"/>
    </xf>
    <xf numFmtId="0" fontId="24" fillId="59" borderId="13" xfId="0" applyFont="1" applyFill="1" applyBorder="1" applyAlignment="1">
      <alignment horizontal="center"/>
    </xf>
    <xf numFmtId="0" fontId="27" fillId="21" borderId="14" xfId="0" applyFont="1" applyFill="1" applyBorder="1" applyAlignment="1"/>
    <xf numFmtId="0" fontId="27" fillId="21" borderId="16" xfId="0" applyFont="1" applyFill="1" applyBorder="1" applyAlignment="1"/>
    <xf numFmtId="0" fontId="27" fillId="21" borderId="17" xfId="0" applyFont="1" applyFill="1" applyBorder="1" applyAlignment="1"/>
    <xf numFmtId="0" fontId="27" fillId="21" borderId="18" xfId="0" applyFont="1" applyFill="1" applyBorder="1" applyAlignment="1"/>
    <xf numFmtId="0" fontId="27" fillId="21" borderId="19" xfId="0" applyFont="1" applyFill="1" applyBorder="1" applyAlignment="1"/>
    <xf numFmtId="0" fontId="27" fillId="21" borderId="21" xfId="0" applyFont="1" applyFill="1" applyBorder="1" applyAlignment="1"/>
    <xf numFmtId="0" fontId="24" fillId="21" borderId="12" xfId="0" applyFont="1" applyFill="1" applyBorder="1" applyAlignment="1">
      <alignment horizontal="center"/>
    </xf>
    <xf numFmtId="0" fontId="24" fillId="21" borderId="13" xfId="0" applyFont="1" applyFill="1" applyBorder="1" applyAlignment="1">
      <alignment horizontal="center"/>
    </xf>
    <xf numFmtId="164" fontId="48" fillId="46" borderId="44" xfId="0" applyNumberFormat="1" applyFont="1" applyFill="1" applyBorder="1" applyAlignment="1">
      <alignment horizontal="center" vertical="center" wrapText="1" shrinkToFit="1"/>
    </xf>
    <xf numFmtId="164" fontId="48" fillId="46" borderId="23" xfId="0" applyNumberFormat="1" applyFont="1" applyFill="1" applyBorder="1" applyAlignment="1">
      <alignment horizontal="center" vertical="center" wrapText="1" shrinkToFit="1"/>
    </xf>
    <xf numFmtId="164" fontId="48" fillId="46" borderId="22" xfId="0" applyNumberFormat="1" applyFont="1" applyFill="1" applyBorder="1" applyAlignment="1">
      <alignment horizontal="center" vertical="center" wrapText="1" shrinkToFit="1"/>
    </xf>
    <xf numFmtId="0" fontId="55" fillId="21" borderId="80" xfId="0" applyFont="1" applyFill="1" applyBorder="1" applyAlignment="1">
      <alignment horizontal="center" wrapText="1"/>
    </xf>
    <xf numFmtId="0" fontId="55" fillId="21" borderId="15" xfId="0" applyFont="1" applyFill="1" applyBorder="1" applyAlignment="1">
      <alignment horizontal="center" wrapText="1"/>
    </xf>
    <xf numFmtId="0" fontId="55" fillId="21" borderId="16" xfId="0" applyFont="1" applyFill="1" applyBorder="1" applyAlignment="1">
      <alignment horizontal="center" wrapText="1"/>
    </xf>
    <xf numFmtId="0" fontId="55" fillId="0" borderId="81" xfId="0" applyFont="1" applyBorder="1" applyAlignment="1">
      <alignment horizontal="center" wrapText="1"/>
    </xf>
    <xf numFmtId="0" fontId="55" fillId="0" borderId="0" xfId="0" applyFont="1" applyAlignment="1">
      <alignment horizontal="center" wrapText="1"/>
    </xf>
    <xf numFmtId="0" fontId="55" fillId="0" borderId="18" xfId="0" applyFont="1" applyBorder="1" applyAlignment="1">
      <alignment horizontal="center" wrapText="1"/>
    </xf>
    <xf numFmtId="0" fontId="55" fillId="0" borderId="82" xfId="0" applyFont="1" applyBorder="1" applyAlignment="1">
      <alignment horizontal="center" wrapText="1"/>
    </xf>
    <xf numFmtId="0" fontId="55" fillId="0" borderId="20" xfId="0" applyFont="1" applyBorder="1" applyAlignment="1">
      <alignment horizontal="center" wrapText="1"/>
    </xf>
    <xf numFmtId="0" fontId="55" fillId="0" borderId="21" xfId="0" applyFont="1" applyBorder="1" applyAlignment="1">
      <alignment horizontal="center" wrapText="1"/>
    </xf>
    <xf numFmtId="0" fontId="40" fillId="21" borderId="75" xfId="0" applyFont="1" applyFill="1" applyBorder="1" applyAlignment="1">
      <alignment vertical="center" textRotation="255"/>
    </xf>
    <xf numFmtId="0" fontId="40" fillId="0" borderId="76" xfId="0" applyFont="1" applyBorder="1" applyAlignment="1">
      <alignment vertical="center" textRotation="255"/>
    </xf>
    <xf numFmtId="0" fontId="40" fillId="0" borderId="17" xfId="0" applyFont="1" applyBorder="1" applyAlignment="1">
      <alignment vertical="center" textRotation="255"/>
    </xf>
    <xf numFmtId="0" fontId="40" fillId="0" borderId="77" xfId="0" applyFont="1" applyBorder="1" applyAlignment="1">
      <alignment vertical="center" textRotation="255"/>
    </xf>
    <xf numFmtId="0" fontId="40" fillId="0" borderId="74" xfId="0" applyFont="1" applyBorder="1" applyAlignment="1">
      <alignment vertical="center" textRotation="255"/>
    </xf>
    <xf numFmtId="0" fontId="40" fillId="0" borderId="78" xfId="0" applyFont="1" applyBorder="1" applyAlignment="1">
      <alignment vertical="center" textRotation="255"/>
    </xf>
    <xf numFmtId="0" fontId="53" fillId="21" borderId="75" xfId="0" applyFont="1" applyFill="1" applyBorder="1" applyAlignment="1">
      <alignment vertical="center" textRotation="255"/>
    </xf>
    <xf numFmtId="0" fontId="53" fillId="0" borderId="76" xfId="0" applyFont="1" applyBorder="1" applyAlignment="1">
      <alignment vertical="center" textRotation="255"/>
    </xf>
    <xf numFmtId="0" fontId="53" fillId="0" borderId="17" xfId="0" applyFont="1" applyBorder="1" applyAlignment="1">
      <alignment vertical="center" textRotation="255"/>
    </xf>
    <xf numFmtId="0" fontId="53" fillId="0" borderId="77" xfId="0" applyFont="1" applyBorder="1" applyAlignment="1">
      <alignment vertical="center" textRotation="255"/>
    </xf>
    <xf numFmtId="0" fontId="53" fillId="0" borderId="74" xfId="0" applyFont="1" applyBorder="1" applyAlignment="1">
      <alignment vertical="center" textRotation="255"/>
    </xf>
    <xf numFmtId="0" fontId="53" fillId="0" borderId="78" xfId="0" applyFont="1" applyBorder="1" applyAlignment="1">
      <alignment vertical="center" textRotation="255"/>
    </xf>
    <xf numFmtId="0" fontId="40" fillId="21" borderId="75" xfId="0" applyFont="1" applyFill="1" applyBorder="1" applyAlignment="1">
      <alignment vertical="center" textRotation="255" wrapText="1"/>
    </xf>
    <xf numFmtId="0" fontId="40" fillId="0" borderId="76" xfId="0" applyFont="1" applyBorder="1" applyAlignment="1">
      <alignment vertical="center" textRotation="255" wrapText="1"/>
    </xf>
    <xf numFmtId="0" fontId="40" fillId="0" borderId="17" xfId="0" applyFont="1" applyBorder="1" applyAlignment="1">
      <alignment vertical="center" textRotation="255" wrapText="1"/>
    </xf>
    <xf numFmtId="0" fontId="40" fillId="0" borderId="77" xfId="0" applyFont="1" applyBorder="1" applyAlignment="1">
      <alignment vertical="center" textRotation="255" wrapText="1"/>
    </xf>
    <xf numFmtId="0" fontId="40" fillId="0" borderId="74" xfId="0" applyFont="1" applyBorder="1" applyAlignment="1">
      <alignment vertical="center" textRotation="255" wrapText="1"/>
    </xf>
    <xf numFmtId="0" fontId="40" fillId="0" borderId="78" xfId="0" applyFont="1" applyBorder="1" applyAlignment="1">
      <alignment vertical="center" textRotation="255" wrapText="1"/>
    </xf>
    <xf numFmtId="0" fontId="40" fillId="21" borderId="14" xfId="0" applyFont="1" applyFill="1" applyBorder="1" applyAlignment="1">
      <alignment vertical="center" textRotation="255"/>
    </xf>
    <xf numFmtId="0" fontId="40" fillId="0" borderId="79" xfId="0" applyFont="1" applyBorder="1" applyAlignment="1">
      <alignment vertical="center" textRotation="255"/>
    </xf>
    <xf numFmtId="0" fontId="54" fillId="21" borderId="14" xfId="0" applyFont="1" applyFill="1" applyBorder="1" applyAlignment="1">
      <alignment horizontal="center"/>
    </xf>
    <xf numFmtId="0" fontId="54" fillId="21" borderId="15" xfId="0" applyFont="1" applyFill="1" applyBorder="1" applyAlignment="1">
      <alignment horizontal="center"/>
    </xf>
    <xf numFmtId="0" fontId="54" fillId="21" borderId="16" xfId="0" applyFont="1" applyFill="1" applyBorder="1" applyAlignment="1">
      <alignment horizontal="center"/>
    </xf>
    <xf numFmtId="0" fontId="54" fillId="21" borderId="19" xfId="0" applyFont="1" applyFill="1" applyBorder="1" applyAlignment="1">
      <alignment horizontal="center"/>
    </xf>
    <xf numFmtId="0" fontId="54" fillId="21" borderId="20" xfId="0" applyFont="1" applyFill="1" applyBorder="1" applyAlignment="1">
      <alignment horizontal="center"/>
    </xf>
    <xf numFmtId="0" fontId="54" fillId="21" borderId="21" xfId="0" applyFont="1" applyFill="1" applyBorder="1" applyAlignment="1">
      <alignment horizontal="center"/>
    </xf>
    <xf numFmtId="0" fontId="0" fillId="0" borderId="0" xfId="0" applyAlignment="1">
      <alignment horizontal="center"/>
    </xf>
    <xf numFmtId="0" fontId="0" fillId="36" borderId="15" xfId="0" applyFill="1" applyBorder="1" applyAlignment="1">
      <alignment horizontal="center"/>
    </xf>
    <xf numFmtId="0" fontId="15" fillId="9" borderId="0" xfId="2" applyFont="1" applyFill="1" applyAlignment="1">
      <alignment horizontal="center"/>
    </xf>
    <xf numFmtId="0" fontId="0" fillId="19" borderId="0" xfId="0" applyFill="1" applyAlignment="1">
      <alignment horizontal="center"/>
    </xf>
    <xf numFmtId="0" fontId="42" fillId="34" borderId="0" xfId="0" applyFont="1" applyFill="1" applyAlignment="1">
      <alignment horizontal="center" vertical="center"/>
    </xf>
    <xf numFmtId="0" fontId="43" fillId="34" borderId="15" xfId="0" applyFont="1" applyFill="1" applyBorder="1" applyAlignment="1">
      <alignment horizontal="center"/>
    </xf>
    <xf numFmtId="0" fontId="43" fillId="34" borderId="0" xfId="0" applyFont="1" applyFill="1" applyAlignment="1">
      <alignment horizontal="center"/>
    </xf>
    <xf numFmtId="0" fontId="5" fillId="13" borderId="9" xfId="0" applyFont="1" applyFill="1" applyBorder="1" applyAlignment="1">
      <alignment horizontal="center"/>
    </xf>
    <xf numFmtId="0" fontId="5" fillId="13" borderId="1" xfId="0" applyFont="1" applyFill="1" applyBorder="1" applyAlignment="1">
      <alignment horizontal="center"/>
    </xf>
    <xf numFmtId="0" fontId="5" fillId="13" borderId="10" xfId="0" applyFont="1" applyFill="1" applyBorder="1" applyAlignment="1">
      <alignment horizontal="center"/>
    </xf>
    <xf numFmtId="0" fontId="0" fillId="14" borderId="20" xfId="0" applyFill="1" applyBorder="1"/>
    <xf numFmtId="0" fontId="0" fillId="14" borderId="0" xfId="0" applyFill="1"/>
    <xf numFmtId="0" fontId="24" fillId="14" borderId="15" xfId="0" applyFont="1" applyFill="1" applyBorder="1"/>
    <xf numFmtId="0" fontId="7" fillId="8" borderId="9" xfId="0" applyFont="1" applyFill="1" applyBorder="1" applyAlignment="1">
      <alignment horizontal="center"/>
    </xf>
    <xf numFmtId="0" fontId="7" fillId="8" borderId="1" xfId="0" applyFont="1" applyFill="1" applyBorder="1" applyAlignment="1">
      <alignment horizontal="center"/>
    </xf>
    <xf numFmtId="0" fontId="7" fillId="8" borderId="10" xfId="0" applyFont="1" applyFill="1" applyBorder="1" applyAlignment="1">
      <alignment horizontal="center"/>
    </xf>
    <xf numFmtId="0" fontId="5" fillId="16" borderId="9" xfId="0" applyFont="1" applyFill="1" applyBorder="1" applyAlignment="1">
      <alignment horizontal="center"/>
    </xf>
    <xf numFmtId="0" fontId="5" fillId="16" borderId="1" xfId="0" applyFont="1" applyFill="1" applyBorder="1" applyAlignment="1">
      <alignment horizontal="center"/>
    </xf>
    <xf numFmtId="0" fontId="5" fillId="16" borderId="10" xfId="0" applyFont="1" applyFill="1" applyBorder="1" applyAlignment="1">
      <alignment horizontal="center"/>
    </xf>
    <xf numFmtId="0" fontId="47" fillId="8" borderId="0" xfId="0" applyFont="1" applyFill="1" applyAlignment="1">
      <alignment horizontal="left"/>
    </xf>
    <xf numFmtId="0" fontId="24" fillId="4" borderId="33" xfId="0" applyFont="1" applyFill="1" applyBorder="1" applyAlignment="1">
      <alignment horizontal="center"/>
    </xf>
    <xf numFmtId="0" fontId="24" fillId="4" borderId="72" xfId="0" applyFont="1" applyFill="1" applyBorder="1" applyAlignment="1">
      <alignment horizontal="center"/>
    </xf>
    <xf numFmtId="0" fontId="24" fillId="4" borderId="32" xfId="0" applyFont="1" applyFill="1" applyBorder="1" applyAlignment="1">
      <alignment horizontal="center"/>
    </xf>
    <xf numFmtId="0" fontId="0" fillId="4" borderId="52" xfId="0" applyFill="1" applyBorder="1" applyAlignment="1">
      <alignment horizontal="center"/>
    </xf>
    <xf numFmtId="0" fontId="0" fillId="4" borderId="0" xfId="0" applyFill="1" applyAlignment="1">
      <alignment horizontal="center"/>
    </xf>
    <xf numFmtId="0" fontId="0" fillId="4" borderId="73" xfId="0" applyFill="1" applyBorder="1" applyAlignment="1">
      <alignment horizontal="center"/>
    </xf>
    <xf numFmtId="0" fontId="0" fillId="4" borderId="0" xfId="0" applyFill="1" applyBorder="1" applyAlignment="1">
      <alignment horizontal="center"/>
    </xf>
    <xf numFmtId="0" fontId="7" fillId="17" borderId="9" xfId="0" applyFont="1" applyFill="1" applyBorder="1" applyAlignment="1">
      <alignment horizontal="center"/>
    </xf>
    <xf numFmtId="0" fontId="7" fillId="17" borderId="1" xfId="0" applyFont="1" applyFill="1" applyBorder="1" applyAlignment="1">
      <alignment horizontal="center"/>
    </xf>
    <xf numFmtId="0" fontId="7" fillId="17" borderId="10" xfId="0" applyFont="1" applyFill="1" applyBorder="1" applyAlignment="1">
      <alignment horizontal="center"/>
    </xf>
    <xf numFmtId="0" fontId="0" fillId="52" borderId="0" xfId="0" applyFill="1" applyAlignment="1">
      <alignment horizontal="left" wrapText="1"/>
    </xf>
    <xf numFmtId="0" fontId="0" fillId="8" borderId="0" xfId="0" applyFill="1" applyAlignment="1">
      <alignment horizontal="center"/>
    </xf>
    <xf numFmtId="0" fontId="6" fillId="8" borderId="9" xfId="0" applyFont="1" applyFill="1" applyBorder="1" applyAlignment="1">
      <alignment horizontal="center"/>
    </xf>
    <xf numFmtId="0" fontId="6" fillId="8" borderId="1" xfId="0" applyFont="1" applyFill="1" applyBorder="1" applyAlignment="1">
      <alignment horizontal="center"/>
    </xf>
    <xf numFmtId="0" fontId="6" fillId="8" borderId="10" xfId="0" applyFont="1" applyFill="1" applyBorder="1" applyAlignment="1">
      <alignment horizontal="center"/>
    </xf>
    <xf numFmtId="0" fontId="27" fillId="0" borderId="0" xfId="0" applyFont="1" applyAlignment="1">
      <alignment vertical="top" wrapText="1"/>
    </xf>
    <xf numFmtId="0" fontId="0" fillId="0" borderId="0" xfId="0" applyAlignment="1">
      <alignment vertical="top" wrapText="1"/>
    </xf>
    <xf numFmtId="168" fontId="3" fillId="15" borderId="0" xfId="1" applyNumberFormat="1" applyFont="1" applyFill="1" applyAlignment="1">
      <alignment vertical="top" wrapText="1"/>
    </xf>
    <xf numFmtId="0" fontId="6" fillId="57" borderId="9" xfId="0" applyFont="1" applyFill="1" applyBorder="1" applyAlignment="1">
      <alignment horizontal="center"/>
    </xf>
    <xf numFmtId="0" fontId="6" fillId="57" borderId="1" xfId="0" applyFont="1" applyFill="1" applyBorder="1" applyAlignment="1">
      <alignment horizontal="center"/>
    </xf>
    <xf numFmtId="0" fontId="6" fillId="57" borderId="10" xfId="0" applyFont="1" applyFill="1" applyBorder="1" applyAlignment="1">
      <alignment horizontal="center"/>
    </xf>
    <xf numFmtId="0" fontId="3" fillId="56" borderId="5" xfId="2" applyFont="1" applyFill="1" applyBorder="1" applyAlignment="1">
      <alignment horizontal="center"/>
    </xf>
    <xf numFmtId="0" fontId="0" fillId="0" borderId="5" xfId="0" applyBorder="1" applyAlignment="1"/>
    <xf numFmtId="0" fontId="3" fillId="56" borderId="0" xfId="2" applyFont="1" applyFill="1" applyAlignment="1">
      <alignment horizontal="right" readingOrder="2"/>
    </xf>
    <xf numFmtId="0" fontId="0" fillId="0" borderId="18" xfId="0" applyBorder="1" applyAlignment="1">
      <alignment horizontal="right" readingOrder="2"/>
    </xf>
    <xf numFmtId="168" fontId="73" fillId="18" borderId="0" xfId="1" applyNumberFormat="1" applyFont="1" applyFill="1" applyBorder="1" applyAlignment="1">
      <alignment wrapText="1"/>
    </xf>
    <xf numFmtId="0" fontId="22" fillId="11" borderId="9" xfId="0" applyFont="1" applyFill="1" applyBorder="1" applyAlignment="1">
      <alignment horizontal="center"/>
    </xf>
    <xf numFmtId="0" fontId="22" fillId="11" borderId="1" xfId="0" applyFont="1" applyFill="1" applyBorder="1" applyAlignment="1">
      <alignment horizontal="center"/>
    </xf>
    <xf numFmtId="0" fontId="22" fillId="11" borderId="10" xfId="0" applyFont="1" applyFill="1" applyBorder="1" applyAlignment="1">
      <alignment horizontal="center"/>
    </xf>
    <xf numFmtId="49" fontId="16" fillId="18" borderId="0" xfId="1" applyNumberFormat="1" applyFont="1" applyFill="1" applyBorder="1" applyAlignment="1">
      <alignment horizontal="fill" vertical="top" wrapText="1"/>
    </xf>
    <xf numFmtId="49" fontId="3" fillId="18" borderId="0" xfId="1" applyNumberFormat="1" applyFont="1" applyFill="1" applyBorder="1" applyAlignment="1">
      <alignment horizontal="fill" vertical="top" wrapText="1"/>
    </xf>
    <xf numFmtId="0" fontId="37" fillId="31" borderId="0" xfId="0" applyFont="1" applyFill="1" applyAlignment="1">
      <alignment wrapText="1"/>
    </xf>
    <xf numFmtId="0" fontId="0" fillId="0" borderId="0" xfId="0" applyAlignment="1">
      <alignment horizontal="left"/>
    </xf>
    <xf numFmtId="0" fontId="61" fillId="36" borderId="81" xfId="0" applyFont="1" applyFill="1" applyBorder="1" applyAlignment="1">
      <alignment horizontal="center"/>
    </xf>
    <xf numFmtId="0" fontId="61" fillId="36" borderId="0" xfId="0" applyFont="1" applyFill="1" applyAlignment="1">
      <alignment horizontal="center"/>
    </xf>
    <xf numFmtId="0" fontId="61" fillId="36" borderId="77" xfId="0" applyFont="1" applyFill="1" applyBorder="1" applyAlignment="1">
      <alignment horizontal="center"/>
    </xf>
    <xf numFmtId="0" fontId="60" fillId="36" borderId="0" xfId="0" applyFont="1" applyFill="1" applyAlignment="1">
      <alignment horizontal="center" vertical="center"/>
    </xf>
    <xf numFmtId="0" fontId="57" fillId="36" borderId="81" xfId="0" applyFont="1" applyFill="1" applyBorder="1" applyAlignment="1">
      <alignment horizontal="center"/>
    </xf>
    <xf numFmtId="0" fontId="57" fillId="36" borderId="0" xfId="0" applyFont="1" applyFill="1" applyAlignment="1">
      <alignment horizontal="center"/>
    </xf>
    <xf numFmtId="0" fontId="61" fillId="36" borderId="90" xfId="0" applyFont="1" applyFill="1" applyBorder="1" applyAlignment="1">
      <alignment horizontal="center"/>
    </xf>
    <xf numFmtId="0" fontId="61" fillId="36" borderId="91" xfId="0" applyFont="1" applyFill="1" applyBorder="1" applyAlignment="1">
      <alignment horizontal="center"/>
    </xf>
    <xf numFmtId="0" fontId="61" fillId="36" borderId="76" xfId="0" applyFont="1" applyFill="1" applyBorder="1" applyAlignment="1">
      <alignment horizontal="center"/>
    </xf>
    <xf numFmtId="0" fontId="0" fillId="35" borderId="0" xfId="0" applyFill="1" applyAlignment="1">
      <alignment horizontal="center"/>
    </xf>
    <xf numFmtId="0" fontId="37" fillId="9" borderId="35" xfId="0" applyFont="1" applyFill="1" applyBorder="1" applyAlignment="1">
      <alignment horizontal="center" vertical="center" wrapText="1"/>
    </xf>
    <xf numFmtId="0" fontId="37" fillId="9" borderId="57"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25" borderId="27" xfId="0" applyFont="1" applyFill="1" applyBorder="1" applyAlignment="1">
      <alignment horizontal="center" vertical="center" wrapText="1"/>
    </xf>
    <xf numFmtId="0" fontId="37" fillId="25" borderId="35" xfId="0" applyFont="1" applyFill="1" applyBorder="1" applyAlignment="1">
      <alignment horizontal="center" vertical="center"/>
    </xf>
    <xf numFmtId="0" fontId="37" fillId="25" borderId="57" xfId="0" applyFont="1" applyFill="1" applyBorder="1" applyAlignment="1">
      <alignment horizontal="center" vertical="center"/>
    </xf>
    <xf numFmtId="0" fontId="37" fillId="25" borderId="34" xfId="0" applyFont="1" applyFill="1" applyBorder="1" applyAlignment="1">
      <alignment horizontal="center" vertical="center"/>
    </xf>
    <xf numFmtId="0" fontId="47" fillId="35" borderId="0" xfId="0" applyFont="1" applyFill="1" applyAlignment="1">
      <alignment horizontal="left" vertical="top" wrapText="1"/>
    </xf>
    <xf numFmtId="0" fontId="0" fillId="35" borderId="0" xfId="0" applyFill="1" applyAlignment="1">
      <alignment horizontal="left" vertical="top" wrapText="1"/>
    </xf>
    <xf numFmtId="0" fontId="53" fillId="42" borderId="33" xfId="0" applyFont="1" applyFill="1" applyBorder="1" applyAlignment="1">
      <alignment horizontal="center" vertical="top"/>
    </xf>
    <xf numFmtId="0" fontId="53" fillId="42" borderId="72" xfId="0" applyFont="1" applyFill="1" applyBorder="1" applyAlignment="1">
      <alignment horizontal="center" vertical="top"/>
    </xf>
    <xf numFmtId="0" fontId="53" fillId="42" borderId="32" xfId="0" applyFont="1" applyFill="1" applyBorder="1" applyAlignment="1">
      <alignment horizontal="center" vertical="top"/>
    </xf>
    <xf numFmtId="0" fontId="45" fillId="35" borderId="0" xfId="0" applyFont="1" applyFill="1" applyAlignment="1">
      <alignment horizontal="center" vertical="center"/>
    </xf>
    <xf numFmtId="0" fontId="24" fillId="36" borderId="29" xfId="0" applyFont="1" applyFill="1" applyBorder="1" applyAlignment="1">
      <alignment horizontal="center"/>
    </xf>
    <xf numFmtId="0" fontId="24" fillId="36" borderId="28" xfId="0" applyFont="1" applyFill="1" applyBorder="1" applyAlignment="1">
      <alignment horizontal="center"/>
    </xf>
    <xf numFmtId="167" fontId="24" fillId="25" borderId="29" xfId="4" applyFont="1" applyFill="1" applyBorder="1" applyAlignment="1">
      <alignment horizontal="center"/>
    </xf>
    <xf numFmtId="167" fontId="24" fillId="25" borderId="28" xfId="4" applyFont="1" applyFill="1" applyBorder="1" applyAlignment="1">
      <alignment horizontal="center"/>
    </xf>
    <xf numFmtId="0" fontId="37" fillId="9" borderId="27" xfId="0" applyFont="1" applyFill="1" applyBorder="1" applyAlignment="1">
      <alignment horizontal="center" vertical="center"/>
    </xf>
    <xf numFmtId="0" fontId="37" fillId="25" borderId="27" xfId="0" applyFont="1" applyFill="1" applyBorder="1" applyAlignment="1">
      <alignment horizontal="center" vertical="center"/>
    </xf>
    <xf numFmtId="0" fontId="37" fillId="9" borderId="27" xfId="0" applyFont="1" applyFill="1" applyBorder="1" applyAlignment="1">
      <alignment horizontal="center" vertical="center" wrapText="1"/>
    </xf>
    <xf numFmtId="0" fontId="0" fillId="29" borderId="61" xfId="0" applyFill="1" applyBorder="1" applyAlignment="1">
      <alignment horizontal="center"/>
    </xf>
    <xf numFmtId="0" fontId="0" fillId="29" borderId="0" xfId="0" applyFill="1" applyAlignment="1">
      <alignment horizontal="center"/>
    </xf>
    <xf numFmtId="0" fontId="0" fillId="29" borderId="2" xfId="0" applyFill="1" applyBorder="1" applyAlignment="1">
      <alignment horizontal="center"/>
    </xf>
    <xf numFmtId="0" fontId="0" fillId="29" borderId="7" xfId="0" applyFill="1" applyBorder="1" applyAlignment="1">
      <alignment horizontal="center"/>
    </xf>
    <xf numFmtId="0" fontId="0" fillId="29" borderId="3" xfId="0" applyFill="1" applyBorder="1" applyAlignment="1">
      <alignment horizontal="center"/>
    </xf>
    <xf numFmtId="0" fontId="0" fillId="29" borderId="8" xfId="0" applyFill="1" applyBorder="1" applyAlignment="1">
      <alignment horizontal="center"/>
    </xf>
    <xf numFmtId="0" fontId="56" fillId="29" borderId="4" xfId="0" applyFont="1" applyFill="1" applyBorder="1" applyAlignment="1">
      <alignment horizontal="center"/>
    </xf>
    <xf numFmtId="0" fontId="56" fillId="29" borderId="5" xfId="0" applyFont="1" applyFill="1" applyBorder="1" applyAlignment="1">
      <alignment horizontal="center"/>
    </xf>
    <xf numFmtId="0" fontId="56" fillId="29" borderId="6" xfId="0" applyFont="1" applyFill="1" applyBorder="1" applyAlignment="1">
      <alignment horizontal="center"/>
    </xf>
    <xf numFmtId="0" fontId="56" fillId="29" borderId="61" xfId="0" applyFont="1" applyFill="1" applyBorder="1" applyAlignment="1">
      <alignment horizontal="center"/>
    </xf>
    <xf numFmtId="0" fontId="56" fillId="29" borderId="0" xfId="0" applyFont="1" applyFill="1" applyAlignment="1">
      <alignment horizontal="center"/>
    </xf>
    <xf numFmtId="0" fontId="56" fillId="29" borderId="2" xfId="0" applyFont="1" applyFill="1" applyBorder="1" applyAlignment="1">
      <alignment horizontal="center"/>
    </xf>
    <xf numFmtId="0" fontId="25" fillId="29" borderId="4" xfId="0" applyFont="1" applyFill="1" applyBorder="1" applyAlignment="1">
      <alignment horizontal="center"/>
    </xf>
    <xf numFmtId="0" fontId="25" fillId="29" borderId="5" xfId="0" applyFont="1" applyFill="1" applyBorder="1" applyAlignment="1">
      <alignment horizontal="center"/>
    </xf>
    <xf numFmtId="0" fontId="25" fillId="29" borderId="6" xfId="0" applyFont="1" applyFill="1" applyBorder="1" applyAlignment="1">
      <alignment horizontal="center"/>
    </xf>
    <xf numFmtId="0" fontId="25" fillId="29" borderId="61" xfId="0" applyFont="1" applyFill="1" applyBorder="1" applyAlignment="1">
      <alignment horizontal="center"/>
    </xf>
    <xf numFmtId="0" fontId="25" fillId="29" borderId="0" xfId="0" applyFont="1" applyFill="1" applyAlignment="1">
      <alignment horizontal="center"/>
    </xf>
    <xf numFmtId="0" fontId="25" fillId="29" borderId="2" xfId="0" applyFont="1" applyFill="1" applyBorder="1" applyAlignment="1">
      <alignment horizontal="center"/>
    </xf>
    <xf numFmtId="0" fontId="27" fillId="29" borderId="4"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2" fillId="29" borderId="5" xfId="0" applyFont="1" applyFill="1" applyBorder="1" applyAlignment="1">
      <alignment horizontal="center"/>
    </xf>
    <xf numFmtId="0" fontId="0" fillId="29" borderId="5" xfId="0" applyFill="1" applyBorder="1" applyAlignment="1">
      <alignment horizontal="center"/>
    </xf>
    <xf numFmtId="0" fontId="6" fillId="29" borderId="5" xfId="0" applyFont="1" applyFill="1" applyBorder="1" applyAlignment="1">
      <alignment horizontal="center"/>
    </xf>
    <xf numFmtId="0" fontId="6" fillId="29" borderId="0" xfId="0" applyFont="1" applyFill="1" applyAlignment="1">
      <alignment horizontal="center"/>
    </xf>
    <xf numFmtId="0" fontId="40" fillId="29" borderId="64" xfId="0" applyFont="1" applyFill="1" applyBorder="1" applyAlignment="1">
      <alignment horizontal="center"/>
    </xf>
    <xf numFmtId="0" fontId="40" fillId="29" borderId="65" xfId="0" applyFont="1" applyFill="1" applyBorder="1" applyAlignment="1">
      <alignment horizontal="center"/>
    </xf>
    <xf numFmtId="0" fontId="40" fillId="29" borderId="66" xfId="0" applyFont="1" applyFill="1" applyBorder="1" applyAlignment="1">
      <alignment horizontal="center"/>
    </xf>
    <xf numFmtId="0" fontId="0" fillId="29" borderId="67" xfId="0" applyFill="1" applyBorder="1" applyAlignment="1">
      <alignment horizontal="center"/>
    </xf>
    <xf numFmtId="0" fontId="0" fillId="29" borderId="68" xfId="0" applyFill="1" applyBorder="1" applyAlignment="1">
      <alignment horizontal="center"/>
    </xf>
    <xf numFmtId="164" fontId="37" fillId="29" borderId="67" xfId="0" applyNumberFormat="1" applyFont="1" applyFill="1" applyBorder="1" applyAlignment="1">
      <alignment horizontal="center"/>
    </xf>
    <xf numFmtId="164" fontId="37" fillId="29" borderId="0" xfId="0" applyNumberFormat="1" applyFont="1" applyFill="1" applyAlignment="1">
      <alignment horizontal="center"/>
    </xf>
    <xf numFmtId="164" fontId="37" fillId="29" borderId="68" xfId="0" applyNumberFormat="1" applyFont="1" applyFill="1" applyBorder="1" applyAlignment="1">
      <alignment horizontal="center"/>
    </xf>
    <xf numFmtId="0" fontId="0" fillId="29" borderId="64" xfId="0" applyFill="1" applyBorder="1" applyAlignment="1">
      <alignment horizontal="center"/>
    </xf>
    <xf numFmtId="0" fontId="0" fillId="29" borderId="65" xfId="0" applyFill="1" applyBorder="1" applyAlignment="1">
      <alignment horizontal="center"/>
    </xf>
    <xf numFmtId="0" fontId="0" fillId="29" borderId="66" xfId="0" applyFill="1" applyBorder="1" applyAlignment="1">
      <alignment horizontal="center"/>
    </xf>
    <xf numFmtId="0" fontId="0" fillId="29" borderId="69" xfId="0" applyFill="1" applyBorder="1" applyAlignment="1">
      <alignment horizontal="center"/>
    </xf>
    <xf numFmtId="0" fontId="0" fillId="29" borderId="70" xfId="0" applyFill="1" applyBorder="1" applyAlignment="1">
      <alignment horizontal="center"/>
    </xf>
    <xf numFmtId="0" fontId="0" fillId="29" borderId="71" xfId="0" applyFill="1" applyBorder="1" applyAlignment="1">
      <alignment horizontal="center"/>
    </xf>
    <xf numFmtId="0" fontId="52" fillId="29" borderId="4" xfId="0" applyFont="1" applyFill="1" applyBorder="1" applyAlignment="1">
      <alignment horizontal="center"/>
    </xf>
    <xf numFmtId="0" fontId="0" fillId="0" borderId="2" xfId="0" applyBorder="1" applyAlignment="1">
      <alignment horizontal="center"/>
    </xf>
    <xf numFmtId="0" fontId="0" fillId="29" borderId="61" xfId="0" applyFill="1" applyBorder="1"/>
    <xf numFmtId="0" fontId="0" fillId="0" borderId="0" xfId="0"/>
    <xf numFmtId="0" fontId="0" fillId="0" borderId="2" xfId="0" applyBorder="1"/>
    <xf numFmtId="0" fontId="0" fillId="29" borderId="83" xfId="0" applyFill="1" applyBorder="1" applyAlignment="1">
      <alignment horizontal="left"/>
    </xf>
    <xf numFmtId="0" fontId="0" fillId="0" borderId="84" xfId="0" applyBorder="1" applyAlignment="1">
      <alignment horizontal="left"/>
    </xf>
    <xf numFmtId="0" fontId="0" fillId="0" borderId="85" xfId="0" applyBorder="1" applyAlignment="1">
      <alignment horizontal="left"/>
    </xf>
    <xf numFmtId="0" fontId="24" fillId="29" borderId="3" xfId="0" applyFont="1" applyFill="1" applyBorder="1" applyAlignment="1">
      <alignment horizontal="center"/>
    </xf>
    <xf numFmtId="0" fontId="0" fillId="29" borderId="83" xfId="0" applyFill="1" applyBorder="1"/>
    <xf numFmtId="0" fontId="0" fillId="0" borderId="84" xfId="0" applyBorder="1"/>
    <xf numFmtId="0" fontId="0" fillId="0" borderId="85" xfId="0" applyBorder="1"/>
    <xf numFmtId="0" fontId="0" fillId="29" borderId="86" xfId="0" applyFill="1" applyBorder="1"/>
    <xf numFmtId="0" fontId="0" fillId="0" borderId="87" xfId="0" applyBorder="1"/>
    <xf numFmtId="0" fontId="0" fillId="0" borderId="88" xfId="0" applyBorder="1"/>
    <xf numFmtId="0" fontId="24" fillId="27" borderId="29" xfId="0" applyFont="1" applyFill="1" applyBorder="1" applyAlignment="1">
      <alignment horizontal="center"/>
    </xf>
    <xf numFmtId="0" fontId="24" fillId="27" borderId="56" xfId="0" applyFont="1" applyFill="1" applyBorder="1" applyAlignment="1">
      <alignment horizontal="center"/>
    </xf>
    <xf numFmtId="0" fontId="24" fillId="27" borderId="28" xfId="0" applyFont="1" applyFill="1" applyBorder="1" applyAlignment="1">
      <alignment horizontal="center"/>
    </xf>
    <xf numFmtId="0" fontId="37" fillId="9" borderId="35" xfId="0" applyFont="1" applyFill="1" applyBorder="1" applyAlignment="1">
      <alignment horizontal="center" vertical="center"/>
    </xf>
    <xf numFmtId="0" fontId="37" fillId="9" borderId="57" xfId="0" applyFont="1" applyFill="1" applyBorder="1" applyAlignment="1">
      <alignment horizontal="center" vertical="center"/>
    </xf>
    <xf numFmtId="0" fontId="37" fillId="29" borderId="33" xfId="0" applyFont="1" applyFill="1" applyBorder="1" applyAlignment="1">
      <alignment horizontal="center" vertical="center"/>
    </xf>
    <xf numFmtId="0" fontId="37" fillId="29" borderId="31" xfId="0" applyFont="1" applyFill="1" applyBorder="1" applyAlignment="1">
      <alignment horizontal="center" vertical="center"/>
    </xf>
    <xf numFmtId="0" fontId="24" fillId="24" borderId="12" xfId="0" applyFont="1" applyFill="1" applyBorder="1" applyAlignment="1">
      <alignment horizontal="center"/>
    </xf>
    <xf numFmtId="0" fontId="24" fillId="24" borderId="58" xfId="0" applyFont="1" applyFill="1" applyBorder="1" applyAlignment="1">
      <alignment horizontal="center"/>
    </xf>
    <xf numFmtId="0" fontId="24" fillId="24" borderId="13" xfId="0" applyFont="1" applyFill="1" applyBorder="1" applyAlignment="1">
      <alignment horizontal="center"/>
    </xf>
  </cellXfs>
  <cellStyles count="5">
    <cellStyle name="Currency" xfId="4" builtinId="4"/>
    <cellStyle name="Good" xfId="1" builtinId="26"/>
    <cellStyle name="Hyperlink" xfId="3" builtinId="8"/>
    <cellStyle name="Neutral" xfId="2" builtinId="28"/>
    <cellStyle name="Normal" xfId="0" builtinId="0"/>
  </cellStyles>
  <dxfs count="163">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bottom style="thin">
          <color theme="0"/>
        </bottom>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0"/>
        </left>
        <right style="thin">
          <color theme="0"/>
        </right>
        <top/>
        <bottom/>
      </border>
    </dxf>
    <dxf>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5" tint="0.79998168889431442"/>
        </patternFill>
      </fill>
      <border diagonalUp="0" diagonalDown="0" outline="0">
        <left style="thin">
          <color indexed="64"/>
        </left>
        <right style="thin">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theme="0"/>
        </left>
      </border>
    </dxf>
    <dxf>
      <border outline="0">
        <left style="thin">
          <color theme="0"/>
        </left>
      </border>
    </dxf>
    <dxf>
      <border outline="0">
        <left style="thin">
          <color theme="0"/>
        </left>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5" tint="0.79998168889431442"/>
        </patternFill>
      </fill>
      <border diagonalUp="0" diagonalDown="0" outline="0">
        <left style="thin">
          <color indexed="64"/>
        </left>
        <right style="thin">
          <color indexed="64"/>
        </right>
        <top/>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theme="0"/>
        </left>
      </border>
    </dxf>
    <dxf>
      <font>
        <strike val="0"/>
        <outline val="0"/>
        <shadow val="0"/>
        <u val="none"/>
        <vertAlign val="baseline"/>
        <sz val="11"/>
        <color theme="1"/>
        <name val="Calibri"/>
        <scheme val="minor"/>
      </font>
      <numFmt numFmtId="30" formatCode="@"/>
    </dxf>
    <dxf>
      <font>
        <strike val="0"/>
        <outline val="0"/>
        <shadow val="0"/>
        <u val="none"/>
        <vertAlign val="baseline"/>
        <sz val="11"/>
        <color theme="1"/>
        <name val="Calibri"/>
        <scheme val="minor"/>
      </font>
      <numFmt numFmtId="30" formatCode="@"/>
    </dxf>
    <dxf>
      <font>
        <strike val="0"/>
        <outline val="0"/>
        <shadow val="0"/>
        <u val="none"/>
        <vertAlign val="baseline"/>
        <sz val="11"/>
        <color theme="1"/>
        <name val="Calibri"/>
        <scheme val="minor"/>
      </font>
      <numFmt numFmtId="30" formatCode="@"/>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numFmt numFmtId="30" formatCode="@"/>
    </dxf>
    <dxf>
      <numFmt numFmtId="0" formatCode="General"/>
    </dxf>
    <dxf>
      <protection locked="0" hidden="0"/>
    </dxf>
    <dxf>
      <numFmt numFmtId="171" formatCode="#,##0_);[Red]\(#,##0\)"/>
    </dxf>
    <dxf>
      <border outline="0">
        <left style="thin">
          <color theme="0"/>
        </left>
      </border>
    </dxf>
    <dxf>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theme="5" tint="0.79998168889431442"/>
        </patternFill>
      </fill>
      <border diagonalUp="0" diagonalDown="0" outline="0">
        <left style="thin">
          <color indexed="64"/>
        </left>
        <right style="thin">
          <color indexed="64"/>
        </right>
        <top/>
        <bottom/>
      </border>
    </dxf>
    <dxf>
      <border outline="0">
        <left style="thin">
          <color rgb="FFFFFFFF"/>
        </left>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scheme val="none"/>
      </font>
    </dxf>
    <dxf>
      <border outline="0">
        <bottom style="thin">
          <color rgb="FF000000"/>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rgb="FFFFFFFF"/>
        </left>
      </border>
    </dxf>
    <dxf>
      <border outline="0">
        <left style="thin">
          <color rgb="FFFFFFFF"/>
        </left>
      </border>
    </dxf>
    <dxf>
      <numFmt numFmtId="2" formatCode="0.00"/>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theme="5"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left style="thin">
          <color rgb="FFFFFFFF"/>
        </left>
      </border>
    </dxf>
    <dxf>
      <border outline="0">
        <left style="thin">
          <color rgb="FFFFFFFF"/>
        </left>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left style="thin">
          <color rgb="FFFFFFFF"/>
        </left>
      </border>
    </dxf>
    <dxf>
      <border outline="0">
        <left style="thin">
          <color rgb="FFFFFFFF"/>
        </left>
      </border>
    </dxf>
    <dxf>
      <numFmt numFmtId="2" formatCode="0.00"/>
    </dxf>
    <dxf>
      <numFmt numFmtId="2" formatCode="0.00"/>
    </dxf>
    <dxf>
      <numFmt numFmtId="2" formatCode="0.00"/>
    </dxf>
    <dxf>
      <numFmt numFmtId="2" formatCode="0.00"/>
    </dxf>
    <dxf>
      <numFmt numFmtId="2" formatCode="0.00"/>
    </dxf>
    <dxf>
      <numFmt numFmtId="2" formatCode="0.00"/>
    </dxf>
    <dxf>
      <border outline="0">
        <left style="thin">
          <color rgb="FFFFFFFF"/>
        </left>
      </border>
    </dxf>
    <dxf>
      <numFmt numFmtId="2" formatCode="0.00"/>
    </dxf>
    <dxf>
      <numFmt numFmtId="2" formatCode="0.00"/>
    </dxf>
    <dxf>
      <numFmt numFmtId="2" formatCode="0.00"/>
    </dxf>
    <dxf>
      <numFmt numFmtId="2" formatCode="0.00"/>
    </dxf>
    <dxf>
      <numFmt numFmtId="2" formatCode="0.00"/>
    </dxf>
    <dxf>
      <numFmt numFmtId="2" formatCode="0.00"/>
    </dxf>
    <dxf>
      <border outline="0">
        <left style="thin">
          <color rgb="FFFFFFFF"/>
        </left>
      </border>
    </dxf>
    <dxf>
      <numFmt numFmtId="2" formatCode="0.00"/>
    </dxf>
    <dxf>
      <numFmt numFmtId="2" formatCode="0.00"/>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left style="thin">
          <color rgb="FFFFFFFF"/>
        </left>
      </border>
    </dxf>
    <dxf>
      <numFmt numFmtId="2" formatCode="0.00"/>
    </dxf>
    <dxf>
      <border outline="0">
        <left style="thin">
          <color rgb="FFFFFFFF"/>
        </left>
      </border>
    </dxf>
    <dxf>
      <numFmt numFmtId="4" formatCode="#,##0.00"/>
    </dxf>
    <dxf>
      <numFmt numFmtId="4" formatCode="#,##0.00"/>
    </dxf>
    <dxf>
      <numFmt numFmtId="4" formatCode="#,##0.00"/>
    </dxf>
    <dxf>
      <numFmt numFmtId="4" formatCode="#,##0.0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0"/>
        </left>
        <right style="thin">
          <color theme="0"/>
        </right>
        <top/>
        <bottom/>
      </border>
    </dxf>
    <dxf>
      <numFmt numFmtId="168" formatCode="&quot;$&quot;#,##0.0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quot;$&quot;#,##0.00"/>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quot;$&quot;#,##0.00"/>
    </dxf>
    <dxf>
      <alignment horizontal="center" vertical="center" textRotation="0" wrapText="0" indent="0" justifyLastLine="0" shrinkToFit="0" readingOrder="0"/>
    </dxf>
    <dxf>
      <numFmt numFmtId="168" formatCode="&quot;$&quot;#,##0.00"/>
    </dxf>
    <dxf>
      <numFmt numFmtId="3" formatCode="#,##0"/>
      <alignment horizontal="center" vertical="center" textRotation="0" wrapText="0" indent="0" justifyLastLine="0" shrinkToFit="0" readingOrder="0"/>
    </dxf>
    <dxf>
      <alignment horizontal="center" vertical="bottom" textRotation="0" wrapText="0" indent="0" justifyLastLine="0" shrinkToFit="0" readingOrder="0"/>
    </dxf>
    <dxf>
      <numFmt numFmtId="168" formatCode="&quot;$&quot;#,##0.0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font>
        <color theme="4" tint="0.79998168889431442"/>
      </font>
    </dxf>
    <dxf>
      <fill>
        <patternFill>
          <bgColor theme="4" tint="0.79998168889431442"/>
        </patternFill>
      </fill>
    </dxf>
    <dxf>
      <font>
        <color theme="4" tint="0.79998168889431442"/>
      </font>
    </dxf>
    <dxf>
      <font>
        <b val="0"/>
        <i val="0"/>
        <strike val="0"/>
        <condense val="0"/>
        <extend val="0"/>
        <outline val="0"/>
        <shadow val="0"/>
        <u val="none"/>
        <vertAlign val="baseline"/>
        <sz val="11"/>
        <color theme="1"/>
        <name val="Calibri"/>
        <scheme val="minor"/>
      </font>
      <numFmt numFmtId="2" formatCode="0.00"/>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outline="0">
        <left style="thin">
          <color rgb="FFFFFFFF"/>
        </left>
      </border>
    </dxf>
    <dxf>
      <border outline="0">
        <left style="thin">
          <color rgb="FFFFFFFF"/>
        </left>
      </border>
    </dxf>
    <dxf>
      <border outline="0">
        <left style="thin">
          <color rgb="FFFFFFFF"/>
        </left>
      </border>
    </dxf>
    <dxf>
      <border outline="0">
        <left style="thin">
          <color rgb="FFFFFFFF"/>
        </left>
      </border>
    </dxf>
    <dxf>
      <fill>
        <patternFill patternType="solid">
          <fgColor indexed="64"/>
          <bgColor theme="5"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theme="5" tint="0.39997558519241921"/>
        </patternFill>
      </fill>
      <border diagonalUp="0" diagonalDown="0" outline="0">
        <left style="thin">
          <color indexed="64"/>
        </left>
        <right style="thin">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font>
        <strike val="0"/>
        <outline val="0"/>
        <shadow val="0"/>
        <u val="none"/>
        <vertAlign val="baseline"/>
        <sz val="11"/>
        <color auto="1"/>
        <name val="Calibri"/>
        <scheme val="minor"/>
      </font>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scheme val="none"/>
      </font>
    </dxf>
    <dxf>
      <border outline="0">
        <bottom style="thin">
          <color rgb="FF000000"/>
        </bottom>
      </border>
    </dxf>
    <dxf>
      <font>
        <strike val="0"/>
        <outline val="0"/>
        <shadow val="0"/>
        <u val="none"/>
        <vertAlign val="baseline"/>
        <sz val="11"/>
        <color auto="1"/>
        <name val="Calibri"/>
        <scheme val="minor"/>
      </font>
      <fill>
        <patternFill patternType="solid">
          <fgColor indexed="64"/>
          <bgColor theme="4" tint="0.79998168889431442"/>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9933"/>
      <color rgb="FFED912B"/>
      <color rgb="FFFF9225"/>
      <color rgb="FF89B5EB"/>
      <color rgb="FFB4DAF2"/>
      <color rgb="FFD4E5F8"/>
      <color rgb="FFCDE8EF"/>
      <color rgb="FFD6F8E9"/>
      <color rgb="FFBDE1E9"/>
      <color rgb="FFE782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trlProps/ctrlProp1.xml><?xml version="1.0" encoding="utf-8"?>
<formControlPr xmlns="http://schemas.microsoft.com/office/spreadsheetml/2009/9/main" objectType="Drop" dropLines="6" dropStyle="combo" dx="16" fmlaLink="Directv!$I$4" fmlaRange="Directv!$C$24:$C$32" noThreeD="1" sel="3" val="2"/>
</file>

<file path=xl/ctrlProps/ctrlProp10.xml><?xml version="1.0" encoding="utf-8"?>
<formControlPr xmlns="http://schemas.microsoft.com/office/spreadsheetml/2009/9/main" objectType="CheckBox" fmlaLink="Directv!$N$25" lockText="1" noThreeD="1"/>
</file>

<file path=xl/ctrlProps/ctrlProp100.xml><?xml version="1.0" encoding="utf-8"?>
<formControlPr xmlns="http://schemas.microsoft.com/office/spreadsheetml/2009/9/main" objectType="Drop" dropLines="5" dropStyle="combo" dx="16" fmlaLink="SuddenLink!$Q$7" fmlaRange="SuddenLink!$C$26:$C$29" noThreeD="1" sel="1" val="0"/>
</file>

<file path=xl/ctrlProps/ctrlProp101.xml><?xml version="1.0" encoding="utf-8"?>
<formControlPr xmlns="http://schemas.microsoft.com/office/spreadsheetml/2009/9/main" objectType="Drop" dropStyle="combo" dx="16" fmlaLink="SuddenLink!$Q$4" fmlaRange="SuddenLink!$M$4:$M$10" noThreeD="1" sel="4" val="0"/>
</file>

<file path=xl/ctrlProps/ctrlProp102.xml><?xml version="1.0" encoding="utf-8"?>
<formControlPr xmlns="http://schemas.microsoft.com/office/spreadsheetml/2009/9/main" objectType="CheckBox" fmlaLink="SuddenLink!$N$55" lockText="1" noThreeD="1"/>
</file>

<file path=xl/ctrlProps/ctrlProp103.xml><?xml version="1.0" encoding="utf-8"?>
<formControlPr xmlns="http://schemas.microsoft.com/office/spreadsheetml/2009/9/main" objectType="CheckBox" fmlaLink="SuddenLink!$N$48" lockText="1" noThreeD="1"/>
</file>

<file path=xl/ctrlProps/ctrlProp104.xml><?xml version="1.0" encoding="utf-8"?>
<formControlPr xmlns="http://schemas.microsoft.com/office/spreadsheetml/2009/9/main" objectType="CheckBox" fmlaLink="SuddenLink!$N$50" lockText="1" noThreeD="1"/>
</file>

<file path=xl/ctrlProps/ctrlProp105.xml><?xml version="1.0" encoding="utf-8"?>
<formControlPr xmlns="http://schemas.microsoft.com/office/spreadsheetml/2009/9/main" objectType="CheckBox" fmlaLink="SuddenLink!$N$52" lockText="1" noThreeD="1"/>
</file>

<file path=xl/ctrlProps/ctrlProp106.xml><?xml version="1.0" encoding="utf-8"?>
<formControlPr xmlns="http://schemas.microsoft.com/office/spreadsheetml/2009/9/main" objectType="CheckBox" fmlaLink="SuddenLink!$N$53" lockText="1" noThreeD="1"/>
</file>

<file path=xl/ctrlProps/ctrlProp107.xml><?xml version="1.0" encoding="utf-8"?>
<formControlPr xmlns="http://schemas.microsoft.com/office/spreadsheetml/2009/9/main" objectType="CheckBox" fmlaLink="SuddenLink!$N$49" lockText="1" noThreeD="1"/>
</file>

<file path=xl/ctrlProps/ctrlProp108.xml><?xml version="1.0" encoding="utf-8"?>
<formControlPr xmlns="http://schemas.microsoft.com/office/spreadsheetml/2009/9/main" objectType="CheckBox" fmlaLink="SuddenLink!$N$51" lockText="1" noThreeD="1"/>
</file>

<file path=xl/ctrlProps/ctrlProp109.xml><?xml version="1.0" encoding="utf-8"?>
<formControlPr xmlns="http://schemas.microsoft.com/office/spreadsheetml/2009/9/main" objectType="CheckBox" fmlaLink="SuddenLink!$N$54" lockText="1" noThreeD="1"/>
</file>

<file path=xl/ctrlProps/ctrlProp11.xml><?xml version="1.0" encoding="utf-8"?>
<formControlPr xmlns="http://schemas.microsoft.com/office/spreadsheetml/2009/9/main" objectType="Drop" dropStyle="combo" dx="16" fmlaLink="Grande!$N$3" fmlaRange="Grande!$J$3:$J$9" noThreeD="1" sel="4" val="0"/>
</file>

<file path=xl/ctrlProps/ctrlProp110.xml><?xml version="1.0" encoding="utf-8"?>
<formControlPr xmlns="http://schemas.microsoft.com/office/spreadsheetml/2009/9/main" objectType="Drop" dropStyle="combo" dx="16" fmlaLink="SuddenLink!$E$47" fmlaRange="SuddenLink!$B$48:$B$55" noThreeD="1" sel="1" val="0"/>
</file>

<file path=xl/ctrlProps/ctrlProp111.xml><?xml version="1.0" encoding="utf-8"?>
<formControlPr xmlns="http://schemas.microsoft.com/office/spreadsheetml/2009/9/main" objectType="Drop" dropStyle="combo" dx="16" fmlaLink="SuddenLink!$H$46" fmlaRange="SuddenLink!$G$48:$G$55" noThreeD="1" sel="4" val="0"/>
</file>

<file path=xl/ctrlProps/ctrlProp12.xml><?xml version="1.0" encoding="utf-8"?>
<formControlPr xmlns="http://schemas.microsoft.com/office/spreadsheetml/2009/9/main" objectType="Drop" dropLines="9" dropStyle="combo" dx="16" fmlaLink="Grande!$E$42" fmlaRange="Grande!$B$43:$B$51" noThreeD="1" sel="1" val="0"/>
</file>

<file path=xl/ctrlProps/ctrlProp13.xml><?xml version="1.0" encoding="utf-8"?>
<formControlPr xmlns="http://schemas.microsoft.com/office/spreadsheetml/2009/9/main" objectType="Drop" dropStyle="combo" dx="16" fmlaLink="Grande!$J$27" fmlaRange="Grande!$J$24:$J$25" noThreeD="1" sel="2" val="0"/>
</file>

<file path=xl/ctrlProps/ctrlProp14.xml><?xml version="1.0" encoding="utf-8"?>
<formControlPr xmlns="http://schemas.microsoft.com/office/spreadsheetml/2009/9/main" objectType="Drop" dropStyle="combo" dx="16" fmlaLink="Grande!$N$9" fmlaRange="Grande!$C$32:$C$35" noThreeD="1" sel="3" val="0"/>
</file>

<file path=xl/ctrlProps/ctrlProp15.xml><?xml version="1.0" encoding="utf-8"?>
<formControlPr xmlns="http://schemas.microsoft.com/office/spreadsheetml/2009/9/main" objectType="Drop" dropStyle="combo" dx="16" fmlaLink="Grande!$N$6" fmlaRange="Grande!$C$23:$C$25" noThreeD="1" sel="1" val="0"/>
</file>

<file path=xl/ctrlProps/ctrlProp16.xml><?xml version="1.0" encoding="utf-8"?>
<formControlPr xmlns="http://schemas.microsoft.com/office/spreadsheetml/2009/9/main" objectType="CheckBox" fmlaLink="Directv!$O$24" lockText="1" noThreeD="1"/>
</file>

<file path=xl/ctrlProps/ctrlProp17.xml><?xml version="1.0" encoding="utf-8"?>
<formControlPr xmlns="http://schemas.microsoft.com/office/spreadsheetml/2009/9/main" objectType="CheckBox" fmlaLink="Dish!$H$24" lockText="1"/>
</file>

<file path=xl/ctrlProps/ctrlProp18.xml><?xml version="1.0" encoding="utf-8"?>
<formControlPr xmlns="http://schemas.microsoft.com/office/spreadsheetml/2009/9/main" objectType="Drop" dropLines="7" dropStyle="combo" dx="16" fmlaLink="Comcast!$R$8" fmlaRange="Comcast!$N$8:$N$13" noThreeD="1" sel="4" val="0"/>
</file>

<file path=xl/ctrlProps/ctrlProp19.xml><?xml version="1.0" encoding="utf-8"?>
<formControlPr xmlns="http://schemas.microsoft.com/office/spreadsheetml/2009/9/main" objectType="Drop" dropStyle="combo" dx="16" fmlaLink="Comcast!$E$54" fmlaRange="Comcast!$B$56:$B$62" noThreeD="1" sel="0" val="0"/>
</file>

<file path=xl/ctrlProps/ctrlProp2.xml><?xml version="1.0" encoding="utf-8"?>
<formControlPr xmlns="http://schemas.microsoft.com/office/spreadsheetml/2009/9/main" objectType="Drop" dropLines="12" dropStyle="combo" dx="16" fmlaLink="Directv!$B$17" fmlaRange="Directv!$D$4:$D$12" noThreeD="1" sel="1" val="0"/>
</file>

<file path=xl/ctrlProps/ctrlProp20.xml><?xml version="1.0" encoding="utf-8"?>
<formControlPr xmlns="http://schemas.microsoft.com/office/spreadsheetml/2009/9/main" objectType="Drop" dropStyle="combo" dx="16" fmlaLink="Comcast!$R$14" fmlaRange="Comcast!$C$44:$C$50" noThreeD="1" sel="6" val="0"/>
</file>

<file path=xl/ctrlProps/ctrlProp21.xml><?xml version="1.0" encoding="utf-8"?>
<formControlPr xmlns="http://schemas.microsoft.com/office/spreadsheetml/2009/9/main" objectType="Drop" dropStyle="combo" dx="16" fmlaLink="Comcast!$R$11" fmlaRange="Comcast!$C$20:$C$26" noThreeD="1" sel="1" val="0"/>
</file>

<file path=xl/ctrlProps/ctrlProp22.xml><?xml version="1.0" encoding="utf-8"?>
<formControlPr xmlns="http://schemas.microsoft.com/office/spreadsheetml/2009/9/main" objectType="CheckBox" fmlaLink="Comcast!$K$59" lockText="1" noThreeD="1"/>
</file>

<file path=xl/ctrlProps/ctrlProp23.xml><?xml version="1.0" encoding="utf-8"?>
<formControlPr xmlns="http://schemas.microsoft.com/office/spreadsheetml/2009/9/main" objectType="CheckBox" fmlaLink="Comcast!$K$57" lockText="1" noThreeD="1"/>
</file>

<file path=xl/ctrlProps/ctrlProp24.xml><?xml version="1.0" encoding="utf-8"?>
<formControlPr xmlns="http://schemas.microsoft.com/office/spreadsheetml/2009/9/main" objectType="CheckBox" fmlaLink="Comcast!$K$58" lockText="1" noThreeD="1"/>
</file>

<file path=xl/ctrlProps/ctrlProp25.xml><?xml version="1.0" encoding="utf-8"?>
<formControlPr xmlns="http://schemas.microsoft.com/office/spreadsheetml/2009/9/main" objectType="CheckBox" fmlaLink="Comcast!$K$56" lockText="1" noThreeD="1"/>
</file>

<file path=xl/ctrlProps/ctrlProp26.xml><?xml version="1.0" encoding="utf-8"?>
<formControlPr xmlns="http://schemas.microsoft.com/office/spreadsheetml/2009/9/main" objectType="CheckBox" fmlaLink="Comcast!$E$61" lockText="1" noThreeD="1"/>
</file>

<file path=xl/ctrlProps/ctrlProp27.xml><?xml version="1.0" encoding="utf-8"?>
<formControlPr xmlns="http://schemas.microsoft.com/office/spreadsheetml/2009/9/main" objectType="CheckBox" fmlaLink="Comcast!$K$61" lockText="1" noThreeD="1"/>
</file>

<file path=xl/ctrlProps/ctrlProp28.xml><?xml version="1.0" encoding="utf-8"?>
<formControlPr xmlns="http://schemas.microsoft.com/office/spreadsheetml/2009/9/main" objectType="CheckBox" fmlaLink="Grande!$K$48" lockText="1" noThreeD="1"/>
</file>

<file path=xl/ctrlProps/ctrlProp29.xml><?xml version="1.0" encoding="utf-8"?>
<formControlPr xmlns="http://schemas.microsoft.com/office/spreadsheetml/2009/9/main" objectType="CheckBox" fmlaLink="Grande!$K$43" lockText="1" noThreeD="1"/>
</file>

<file path=xl/ctrlProps/ctrlProp3.xml><?xml version="1.0" encoding="utf-8"?>
<formControlPr xmlns="http://schemas.microsoft.com/office/spreadsheetml/2009/9/main" objectType="Drop" dropStyle="combo" dx="16" fmlaLink="Frontier!$N$4" fmlaRange="Frontier!$K$4:$K$5" noThreeD="1" sel="1" val="0"/>
</file>

<file path=xl/ctrlProps/ctrlProp30.xml><?xml version="1.0" encoding="utf-8"?>
<formControlPr xmlns="http://schemas.microsoft.com/office/spreadsheetml/2009/9/main" objectType="CheckBox" fmlaLink="Grande!$K$46" lockText="1" noThreeD="1"/>
</file>

<file path=xl/ctrlProps/ctrlProp31.xml><?xml version="1.0" encoding="utf-8"?>
<formControlPr xmlns="http://schemas.microsoft.com/office/spreadsheetml/2009/9/main" objectType="CheckBox" fmlaLink="Grande!$K$44" lockText="1" noThreeD="1"/>
</file>

<file path=xl/ctrlProps/ctrlProp32.xml><?xml version="1.0" encoding="utf-8"?>
<formControlPr xmlns="http://schemas.microsoft.com/office/spreadsheetml/2009/9/main" objectType="CheckBox" fmlaLink="Grande!$K$47" lockText="1" noThreeD="1"/>
</file>

<file path=xl/ctrlProps/ctrlProp33.xml><?xml version="1.0" encoding="utf-8"?>
<formControlPr xmlns="http://schemas.microsoft.com/office/spreadsheetml/2009/9/main" objectType="CheckBox" fmlaLink="Grande!$K$49" lockText="1" noThreeD="1"/>
</file>

<file path=xl/ctrlProps/ctrlProp34.xml><?xml version="1.0" encoding="utf-8"?>
<formControlPr xmlns="http://schemas.microsoft.com/office/spreadsheetml/2009/9/main" objectType="CheckBox" fmlaLink="Comcast!$K$60" lockText="1" noThreeD="1"/>
</file>

<file path=xl/ctrlProps/ctrlProp35.xml><?xml version="1.0" encoding="utf-8"?>
<formControlPr xmlns="http://schemas.microsoft.com/office/spreadsheetml/2009/9/main" objectType="CheckBox" fmlaLink="Comcast!$K$55" lockText="1" noThreeD="1"/>
</file>

<file path=xl/ctrlProps/ctrlProp36.xml><?xml version="1.0" encoding="utf-8"?>
<formControlPr xmlns="http://schemas.microsoft.com/office/spreadsheetml/2009/9/main" objectType="CheckBox" fmlaLink="Directv!$P$24" lockText="1" noThreeD="1"/>
</file>

<file path=xl/ctrlProps/ctrlProp37.xml><?xml version="1.0" encoding="utf-8"?>
<formControlPr xmlns="http://schemas.microsoft.com/office/spreadsheetml/2009/9/main" objectType="Drop" dropLines="12" dropStyle="combo" dx="16" fmlaLink="Directv!$H$14" fmlaRange="Directv!$F$15:$F$20" noThreeD="1" sel="1" val="0"/>
</file>

<file path=xl/ctrlProps/ctrlProp38.xml><?xml version="1.0" encoding="utf-8"?>
<formControlPr xmlns="http://schemas.microsoft.com/office/spreadsheetml/2009/9/main" objectType="CheckBox" fmlaLink="Grande!$K$51" lockText="1" noThreeD="1"/>
</file>

<file path=xl/ctrlProps/ctrlProp39.xml><?xml version="1.0" encoding="utf-8"?>
<formControlPr xmlns="http://schemas.microsoft.com/office/spreadsheetml/2009/9/main" objectType="CheckBox" fmlaLink="Grande!$K$52" lockText="1" noThreeD="1"/>
</file>

<file path=xl/ctrlProps/ctrlProp4.xml><?xml version="1.0" encoding="utf-8"?>
<formControlPr xmlns="http://schemas.microsoft.com/office/spreadsheetml/2009/9/main" objectType="Drop" dropStyle="combo" dx="16" fmlaLink="Frontier!$N$10" fmlaRange="Frontier!$C$33:$C$35" noThreeD="1" sel="1" val="0"/>
</file>

<file path=xl/ctrlProps/ctrlProp40.xml><?xml version="1.0" encoding="utf-8"?>
<formControlPr xmlns="http://schemas.microsoft.com/office/spreadsheetml/2009/9/main" objectType="CheckBox" fmlaLink="Grande!$K$54" lockText="1" noThreeD="1"/>
</file>

<file path=xl/ctrlProps/ctrlProp41.xml><?xml version="1.0" encoding="utf-8"?>
<formControlPr xmlns="http://schemas.microsoft.com/office/spreadsheetml/2009/9/main" objectType="CheckBox" fmlaLink="Grande!$K$53" lockText="1" noThreeD="1"/>
</file>

<file path=xl/ctrlProps/ctrlProp42.xml><?xml version="1.0" encoding="utf-8"?>
<formControlPr xmlns="http://schemas.microsoft.com/office/spreadsheetml/2009/9/main" objectType="Drop" dropLines="12" dropStyle="combo" dx="16" fmlaLink="Directv!$O$12" fmlaRange="Directv!$M$14:$M$18" noThreeD="1" sel="1" val="0"/>
</file>

<file path=xl/ctrlProps/ctrlProp43.xml><?xml version="1.0" encoding="utf-8"?>
<formControlPr xmlns="http://schemas.microsoft.com/office/spreadsheetml/2009/9/main" objectType="Drop" dropLines="12" dropStyle="combo" dx="16" fmlaLink="Directv!$V$43" fmlaRange="Directv!$T$45:$T$51" noThreeD="1" sel="1" val="0"/>
</file>

<file path=xl/ctrlProps/ctrlProp44.xml><?xml version="1.0" encoding="utf-8"?>
<formControlPr xmlns="http://schemas.microsoft.com/office/spreadsheetml/2009/9/main" objectType="CheckBox" fmlaLink="Directv!$W$47" lockText="1" noThreeD="1"/>
</file>

<file path=xl/ctrlProps/ctrlProp45.xml><?xml version="1.0" encoding="utf-8"?>
<formControlPr xmlns="http://schemas.microsoft.com/office/spreadsheetml/2009/9/main" objectType="CheckBox" fmlaLink="Directv!$N$10" lockText="1" noThreeD="1"/>
</file>

<file path=xl/ctrlProps/ctrlProp46.xml><?xml version="1.0" encoding="utf-8"?>
<formControlPr xmlns="http://schemas.microsoft.com/office/spreadsheetml/2009/9/main" objectType="CheckBox" fmlaLink="Directv!$X$47" lockText="1" noThreeD="1"/>
</file>

<file path=xl/ctrlProps/ctrlProp47.xml><?xml version="1.0" encoding="utf-8"?>
<formControlPr xmlns="http://schemas.microsoft.com/office/spreadsheetml/2009/9/main" objectType="Drop" dropLines="12" dropStyle="combo" dx="16" fmlaLink="Directv!$V$29" fmlaRange="Directv!$T$31:$T$35" noThreeD="1" sel="1" val="0"/>
</file>

<file path=xl/ctrlProps/ctrlProp48.xml><?xml version="1.0" encoding="utf-8"?>
<formControlPr xmlns="http://schemas.microsoft.com/office/spreadsheetml/2009/9/main" objectType="CheckBox" fmlaLink="Directv!$X$34" lockText="1" noThreeD="1"/>
</file>

<file path=xl/ctrlProps/ctrlProp49.xml><?xml version="1.0" encoding="utf-8"?>
<formControlPr xmlns="http://schemas.microsoft.com/office/spreadsheetml/2009/9/main" objectType="Drop" dropLines="6" dropStyle="combo" dx="16" fmlaLink="HughesNet!$G$5" fmlaRange="HughesNet!$C$6:$C$9" noThreeD="1" sel="3" val="0"/>
</file>

<file path=xl/ctrlProps/ctrlProp5.xml><?xml version="1.0" encoding="utf-8"?>
<formControlPr xmlns="http://schemas.microsoft.com/office/spreadsheetml/2009/9/main" objectType="Drop" dropStyle="combo" dx="16" fmlaLink="ATT!$J$7" fmlaRange="ATT!$C$20:$C$21" noThreeD="1" sel="1" val="0"/>
</file>

<file path=xl/ctrlProps/ctrlProp50.xml><?xml version="1.0" encoding="utf-8"?>
<formControlPr xmlns="http://schemas.microsoft.com/office/spreadsheetml/2009/9/main" objectType="CheckBox" fmlaLink="HughesNet!$C$15" lockText="1" noThreeD="1"/>
</file>

<file path=xl/ctrlProps/ctrlProp51.xml><?xml version="1.0" encoding="utf-8"?>
<formControlPr xmlns="http://schemas.microsoft.com/office/spreadsheetml/2009/9/main" objectType="CheckBox" fmlaLink="HughesNet!$C$22" lockText="1" noThreeD="1"/>
</file>

<file path=xl/ctrlProps/ctrlProp52.xml><?xml version="1.0" encoding="utf-8"?>
<formControlPr xmlns="http://schemas.microsoft.com/office/spreadsheetml/2009/9/main" objectType="CheckBox" fmlaLink="HughesNet!$C$26" lockText="1" noThreeD="1"/>
</file>

<file path=xl/ctrlProps/ctrlProp53.xml><?xml version="1.0" encoding="utf-8"?>
<formControlPr xmlns="http://schemas.microsoft.com/office/spreadsheetml/2009/9/main" objectType="CheckBox" fmlaLink="HughesNet!$F$26" lockText="1" noThreeD="1"/>
</file>

<file path=xl/ctrlProps/ctrlProp54.xml><?xml version="1.0" encoding="utf-8"?>
<formControlPr xmlns="http://schemas.microsoft.com/office/spreadsheetml/2009/9/main" objectType="Drop" dropLines="12" dropStyle="combo" dx="16" fmlaLink="Directv!$X$59" fmlaRange="Directv!$T$62:$T$65" noThreeD="1" sel="1" val="0"/>
</file>

<file path=xl/ctrlProps/ctrlProp55.xml><?xml version="1.0" encoding="utf-8"?>
<formControlPr xmlns="http://schemas.microsoft.com/office/spreadsheetml/2009/9/main" objectType="CheckBox" fmlaLink="Directv!$X$61" lockText="1" noThreeD="1"/>
</file>

<file path=xl/ctrlProps/ctrlProp56.xml><?xml version="1.0" encoding="utf-8"?>
<formControlPr xmlns="http://schemas.microsoft.com/office/spreadsheetml/2009/9/main" objectType="CheckBox" fmlaLink="Directv!$X$64" lockText="1" noThreeD="1"/>
</file>

<file path=xl/ctrlProps/ctrlProp57.xml><?xml version="1.0" encoding="utf-8"?>
<formControlPr xmlns="http://schemas.microsoft.com/office/spreadsheetml/2009/9/main" objectType="Drop" dropStyle="combo" dx="16" fmlaLink="Cox!$N$4" fmlaRange="Cox!$K$4:$K$10" noThreeD="1" sel="1" val="0"/>
</file>

<file path=xl/ctrlProps/ctrlProp58.xml><?xml version="1.0" encoding="utf-8"?>
<formControlPr xmlns="http://schemas.microsoft.com/office/spreadsheetml/2009/9/main" objectType="Drop" dropStyle="combo" dx="16" fmlaLink="Cox!$N$7" fmlaRange="Cox!$C$14:$C$17" noThreeD="1" sel="4" val="0"/>
</file>

<file path=xl/ctrlProps/ctrlProp59.xml><?xml version="1.0" encoding="utf-8"?>
<formControlPr xmlns="http://schemas.microsoft.com/office/spreadsheetml/2009/9/main" objectType="Drop" dropStyle="combo" dx="16" fmlaLink="Cox!$N$10" fmlaRange="Cox!$C$33:$C$38" noThreeD="1" sel="1" val="0"/>
</file>

<file path=xl/ctrlProps/ctrlProp6.xml><?xml version="1.0" encoding="utf-8"?>
<formControlPr xmlns="http://schemas.microsoft.com/office/spreadsheetml/2009/9/main" objectType="Drop" dropStyle="combo" dx="16" fmlaLink="ATT!$J$13" fmlaRange="ATT!$C$9:$C$12" noThreeD="1" sel="2" val="0"/>
</file>

<file path=xl/ctrlProps/ctrlProp60.xml><?xml version="1.0" encoding="utf-8"?>
<formControlPr xmlns="http://schemas.microsoft.com/office/spreadsheetml/2009/9/main" objectType="Drop" dropLines="9" dropStyle="combo" dx="16" fmlaLink="Cox!$E$43" fmlaRange="Cox!$B$44:$B$52" noThreeD="1" sel="1" val="0"/>
</file>

<file path=xl/ctrlProps/ctrlProp61.xml><?xml version="1.0" encoding="utf-8"?>
<formControlPr xmlns="http://schemas.microsoft.com/office/spreadsheetml/2009/9/main" objectType="Drop" dropStyle="combo" dx="16" fmlaLink="Cox!$J$28" fmlaRange="Cox!$J$25:$J$27" noThreeD="1" sel="1" val="0"/>
</file>

<file path=xl/ctrlProps/ctrlProp62.xml><?xml version="1.0" encoding="utf-8"?>
<formControlPr xmlns="http://schemas.microsoft.com/office/spreadsheetml/2009/9/main" objectType="CheckBox" fmlaLink="Cox!$K$47" lockText="1" noThreeD="1"/>
</file>

<file path=xl/ctrlProps/ctrlProp63.xml><?xml version="1.0" encoding="utf-8"?>
<formControlPr xmlns="http://schemas.microsoft.com/office/spreadsheetml/2009/9/main" objectType="CheckBox" fmlaLink="Cox!$K$48" lockText="1" noThreeD="1"/>
</file>

<file path=xl/ctrlProps/ctrlProp64.xml><?xml version="1.0" encoding="utf-8"?>
<formControlPr xmlns="http://schemas.microsoft.com/office/spreadsheetml/2009/9/main" objectType="CheckBox" fmlaLink="Cox!$K$50" lockText="1" noThreeD="1"/>
</file>

<file path=xl/ctrlProps/ctrlProp65.xml><?xml version="1.0" encoding="utf-8"?>
<formControlPr xmlns="http://schemas.microsoft.com/office/spreadsheetml/2009/9/main" objectType="CheckBox" fmlaLink="Cox!$C$53" lockText="1" noThreeD="1"/>
</file>

<file path=xl/ctrlProps/ctrlProp66.xml><?xml version="1.0" encoding="utf-8"?>
<formControlPr xmlns="http://schemas.microsoft.com/office/spreadsheetml/2009/9/main" objectType="CheckBox" fmlaLink="Cox!$K$46" lockText="1" noThreeD="1"/>
</file>

<file path=xl/ctrlProps/ctrlProp67.xml><?xml version="1.0" encoding="utf-8"?>
<formControlPr xmlns="http://schemas.microsoft.com/office/spreadsheetml/2009/9/main" objectType="CheckBox" fmlaLink="Cox!$K$45" lockText="1" noThreeD="1"/>
</file>

<file path=xl/ctrlProps/ctrlProp68.xml><?xml version="1.0" encoding="utf-8"?>
<formControlPr xmlns="http://schemas.microsoft.com/office/spreadsheetml/2009/9/main" objectType="CheckBox" fmlaLink="Cox!$K$49" lockText="1" noThreeD="1"/>
</file>

<file path=xl/ctrlProps/ctrlProp69.xml><?xml version="1.0" encoding="utf-8"?>
<formControlPr xmlns="http://schemas.microsoft.com/office/spreadsheetml/2009/9/main" objectType="CheckBox" fmlaLink="Cox!$E$55" lockText="1" noThreeD="1"/>
</file>

<file path=xl/ctrlProps/ctrlProp7.xml><?xml version="1.0" encoding="utf-8"?>
<formControlPr xmlns="http://schemas.microsoft.com/office/spreadsheetml/2009/9/main" objectType="CheckBox" fmlaLink="Directv!$K$24" lockText="1" noThreeD="1"/>
</file>

<file path=xl/ctrlProps/ctrlProp70.xml><?xml version="1.0" encoding="utf-8"?>
<formControlPr xmlns="http://schemas.microsoft.com/office/spreadsheetml/2009/9/main" objectType="CheckBox" fmlaLink="Cox!$L$24" lockText="1" noThreeD="1"/>
</file>

<file path=xl/ctrlProps/ctrlProp71.xml><?xml version="1.0" encoding="utf-8"?>
<formControlPr xmlns="http://schemas.microsoft.com/office/spreadsheetml/2009/9/main" objectType="Drop" dropLines="4" dropStyle="combo" dx="16" fmlaLink="'Rise Broadband'!$F$2" fmlaRange="'Rise Broadband'!$B$2:$B$5" noThreeD="1" sel="2" val="0"/>
</file>

<file path=xl/ctrlProps/ctrlProp72.xml><?xml version="1.0" encoding="utf-8"?>
<formControlPr xmlns="http://schemas.microsoft.com/office/spreadsheetml/2009/9/main" objectType="Drop" dropStyle="combo" dx="16" fmlaLink="Exede!$E$2" fmlaRange="Exede!$A$2:$A$8" noThreeD="1" sel="7" val="0"/>
</file>

<file path=xl/ctrlProps/ctrlProp73.xml><?xml version="1.0" encoding="utf-8"?>
<formControlPr xmlns="http://schemas.microsoft.com/office/spreadsheetml/2009/9/main" objectType="Drop" dropStyle="combo" dx="16" fmlaLink="CenturyLink!$G$7" fmlaRange="CenturyLink!$C$7:$C$12" noThreeD="1" sel="2" val="0"/>
</file>

<file path=xl/ctrlProps/ctrlProp74.xml><?xml version="1.0" encoding="utf-8"?>
<formControlPr xmlns="http://schemas.microsoft.com/office/spreadsheetml/2009/9/main" objectType="Drop" dropStyle="combo" dx="16" fmlaLink="CenturyLink!$E$2" fmlaRange="CenturyLink!$B$2:$B$2" noThreeD="1" sel="1" val="0"/>
</file>

<file path=xl/ctrlProps/ctrlProp75.xml><?xml version="1.0" encoding="utf-8"?>
<formControlPr xmlns="http://schemas.microsoft.com/office/spreadsheetml/2009/9/main" objectType="CheckBox" fmlaLink="CenturyLink!$D$2" lockText="1" noThreeD="1"/>
</file>

<file path=xl/ctrlProps/ctrlProp76.xml><?xml version="1.0" encoding="utf-8"?>
<formControlPr xmlns="http://schemas.microsoft.com/office/spreadsheetml/2009/9/main" objectType="CheckBox" fmlaLink="CenturyLink!$B$20" lockText="1" noThreeD="1"/>
</file>

<file path=xl/ctrlProps/ctrlProp77.xml><?xml version="1.0" encoding="utf-8"?>
<formControlPr xmlns="http://schemas.microsoft.com/office/spreadsheetml/2009/9/main" objectType="Drop" dropLines="6" dropStyle="combo" dx="16" fmlaLink="ATTTV!$G$4" fmlaRange="ATTTV!$C$33:$D$36" noThreeD="1" sel="1" val="0"/>
</file>

<file path=xl/ctrlProps/ctrlProp78.xml><?xml version="1.0" encoding="utf-8"?>
<formControlPr xmlns="http://schemas.microsoft.com/office/spreadsheetml/2009/9/main" objectType="Drop" dropLines="6" dropStyle="combo" dx="16" fmlaLink="ATTTV!$G$8" fmlaRange="ATTTV!$C$7:$D$11" noThreeD="1" sel="1" val="0"/>
</file>

<file path=xl/ctrlProps/ctrlProp79.xml><?xml version="1.0" encoding="utf-8"?>
<formControlPr xmlns="http://schemas.microsoft.com/office/spreadsheetml/2009/9/main" objectType="Drop" dropLines="6" dropStyle="combo" dx="16" fmlaLink="ATTTV!$G$16" fmlaRange="ATTTV!$C$26:$D$28" noThreeD="1" sel="1" val="0"/>
</file>

<file path=xl/ctrlProps/ctrlProp8.xml><?xml version="1.0" encoding="utf-8"?>
<formControlPr xmlns="http://schemas.microsoft.com/office/spreadsheetml/2009/9/main" objectType="CheckBox" fmlaLink="Directv!$L$25" lockText="1" noThreeD="1"/>
</file>

<file path=xl/ctrlProps/ctrlProp80.xml><?xml version="1.0" encoding="utf-8"?>
<formControlPr xmlns="http://schemas.microsoft.com/office/spreadsheetml/2009/9/main" objectType="Drop" dropLines="12" dropStyle="combo" dx="16" fmlaLink="ATTTV!$N$10" fmlaRange="ATTTV!$L$12:$L$15" noThreeD="1" sel="1" val="0"/>
</file>

<file path=xl/ctrlProps/ctrlProp81.xml><?xml version="1.0" encoding="utf-8"?>
<formControlPr xmlns="http://schemas.microsoft.com/office/spreadsheetml/2009/9/main" objectType="CheckBox" fmlaLink="ATTTV!$P$15" lockText="1" noThreeD="1"/>
</file>

<file path=xl/ctrlProps/ctrlProp82.xml><?xml version="1.0" encoding="utf-8"?>
<formControlPr xmlns="http://schemas.microsoft.com/office/spreadsheetml/2009/9/main" objectType="Drop" dropLines="12" dropStyle="combo" dx="16" fmlaLink="ATTTV!$N$25" fmlaRange="ATTTV!$L$27:$L$33" noThreeD="1" sel="1" val="0"/>
</file>

<file path=xl/ctrlProps/ctrlProp83.xml><?xml version="1.0" encoding="utf-8"?>
<formControlPr xmlns="http://schemas.microsoft.com/office/spreadsheetml/2009/9/main" objectType="CheckBox" fmlaLink="ATTTV!$O$29" lockText="1" noThreeD="1"/>
</file>

<file path=xl/ctrlProps/ctrlProp84.xml><?xml version="1.0" encoding="utf-8"?>
<formControlPr xmlns="http://schemas.microsoft.com/office/spreadsheetml/2009/9/main" objectType="CheckBox" fmlaLink="ATTTV!$P$29" lockText="1" noThreeD="1"/>
</file>

<file path=xl/ctrlProps/ctrlProp85.xml><?xml version="1.0" encoding="utf-8"?>
<formControlPr xmlns="http://schemas.microsoft.com/office/spreadsheetml/2009/9/main" objectType="Drop" dropLines="12" dropStyle="combo" dx="16" fmlaLink="ATTTV!$P$39" fmlaRange="ATTTV!$L$42:$L$45" noThreeD="1" sel="1" val="0"/>
</file>

<file path=xl/ctrlProps/ctrlProp86.xml><?xml version="1.0" encoding="utf-8"?>
<formControlPr xmlns="http://schemas.microsoft.com/office/spreadsheetml/2009/9/main" objectType="CheckBox" fmlaLink="ATTTV!$P$44" lockText="1" noThreeD="1"/>
</file>

<file path=xl/ctrlProps/ctrlProp87.xml><?xml version="1.0" encoding="utf-8"?>
<formControlPr xmlns="http://schemas.microsoft.com/office/spreadsheetml/2009/9/main" objectType="CheckBox" fmlaLink="ATTTV!$P$41" lockText="1" noThreeD="1"/>
</file>

<file path=xl/ctrlProps/ctrlProp88.xml><?xml version="1.0" encoding="utf-8"?>
<formControlPr xmlns="http://schemas.microsoft.com/office/spreadsheetml/2009/9/main" objectType="CheckBox" fmlaLink="Grande!$K$45" lockText="1" noThreeD="1"/>
</file>

<file path=xl/ctrlProps/ctrlProp89.xml><?xml version="1.0" encoding="utf-8"?>
<formControlPr xmlns="http://schemas.microsoft.com/office/spreadsheetml/2009/9/main" objectType="CheckBox" fmlaLink="ATTTV!$D$46" lockText="1" noThreeD="1"/>
</file>

<file path=xl/ctrlProps/ctrlProp9.xml><?xml version="1.0" encoding="utf-8"?>
<formControlPr xmlns="http://schemas.microsoft.com/office/spreadsheetml/2009/9/main" objectType="CheckBox" fmlaLink="Directv!$M$25" lockText="1" noThreeD="1"/>
</file>

<file path=xl/ctrlProps/ctrlProp90.xml><?xml version="1.0" encoding="utf-8"?>
<formControlPr xmlns="http://schemas.microsoft.com/office/spreadsheetml/2009/9/main" objectType="CheckBox" checked="Checked" fmlaLink="Directv!$R$6" lockText="1" noThreeD="1"/>
</file>

<file path=xl/ctrlProps/ctrlProp91.xml><?xml version="1.0" encoding="utf-8"?>
<formControlPr xmlns="http://schemas.microsoft.com/office/spreadsheetml/2009/9/main" objectType="CheckBox" fmlaLink="Directv!$S$6" lockText="1" noThreeD="1"/>
</file>

<file path=xl/ctrlProps/ctrlProp92.xml><?xml version="1.0" encoding="utf-8"?>
<formControlPr xmlns="http://schemas.microsoft.com/office/spreadsheetml/2009/9/main" objectType="CheckBox" fmlaLink="Directv!$T$6" lockText="1" noThreeD="1"/>
</file>

<file path=xl/ctrlProps/ctrlProp93.xml><?xml version="1.0" encoding="utf-8"?>
<formControlPr xmlns="http://schemas.microsoft.com/office/spreadsheetml/2009/9/main" objectType="CheckBox" fmlaLink="Directv!$U$6" lockText="1" noThreeD="1"/>
</file>

<file path=xl/ctrlProps/ctrlProp94.xml><?xml version="1.0" encoding="utf-8"?>
<formControlPr xmlns="http://schemas.microsoft.com/office/spreadsheetml/2009/9/main" objectType="CheckBox" fmlaLink="Directv!$V$6" lockText="1" noThreeD="1"/>
</file>

<file path=xl/ctrlProps/ctrlProp95.xml><?xml version="1.0" encoding="utf-8"?>
<formControlPr xmlns="http://schemas.microsoft.com/office/spreadsheetml/2009/9/main" objectType="CheckBox" fmlaLink="Directv!W$6" lockText="1" noThreeD="1"/>
</file>

<file path=xl/ctrlProps/ctrlProp96.xml><?xml version="1.0" encoding="utf-8"?>
<formControlPr xmlns="http://schemas.microsoft.com/office/spreadsheetml/2009/9/main" objectType="CheckBox" fmlaLink="Directv!X$6" lockText="1" noThreeD="1"/>
</file>

<file path=xl/ctrlProps/ctrlProp97.xml><?xml version="1.0" encoding="utf-8"?>
<formControlPr xmlns="http://schemas.microsoft.com/office/spreadsheetml/2009/9/main" objectType="CheckBox" fmlaLink="Directv!Y$6" lockText="1" noThreeD="1"/>
</file>

<file path=xl/ctrlProps/ctrlProp98.xml><?xml version="1.0" encoding="utf-8"?>
<formControlPr xmlns="http://schemas.microsoft.com/office/spreadsheetml/2009/9/main" objectType="CheckBox" fmlaLink="Comcast!$U$17" lockText="1" noThreeD="1"/>
</file>

<file path=xl/ctrlProps/ctrlProp99.xml><?xml version="1.0" encoding="utf-8"?>
<formControlPr xmlns="http://schemas.microsoft.com/office/spreadsheetml/2009/9/main" objectType="Drop" dropLines="5" dropStyle="combo" dx="16" fmlaLink="SuddenLink!$Q$10" fmlaRange="SuddenLink!$C$36:$C$39" noThreeD="1" sel="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2.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1.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0.jpeg"/><Relationship Id="rId5" Type="http://schemas.openxmlformats.org/officeDocument/2006/relationships/image" Target="../media/image5.jpeg"/><Relationship Id="rId10" Type="http://schemas.openxmlformats.org/officeDocument/2006/relationships/image" Target="../media/image9.png"/><Relationship Id="rId4" Type="http://schemas.openxmlformats.org/officeDocument/2006/relationships/image" Target="../media/image4.jpeg"/><Relationship Id="rId9" Type="http://schemas.openxmlformats.org/officeDocument/2006/relationships/image" Target="cid:image001.jpg@01D3C6B4.16FE3DD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5</xdr:row>
          <xdr:rowOff>228600</xdr:rowOff>
        </xdr:from>
        <xdr:to>
          <xdr:col>2</xdr:col>
          <xdr:colOff>114300</xdr:colOff>
          <xdr:row>6</xdr:row>
          <xdr:rowOff>190500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7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342900</xdr:colOff>
          <xdr:row>9</xdr:row>
          <xdr:rowOff>0</xdr:rowOff>
        </xdr:from>
        <xdr:to>
          <xdr:col>2</xdr:col>
          <xdr:colOff>1021080</xdr:colOff>
          <xdr:row>9</xdr:row>
          <xdr:rowOff>213360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7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35</xdr:row>
          <xdr:rowOff>0</xdr:rowOff>
        </xdr:from>
        <xdr:to>
          <xdr:col>2</xdr:col>
          <xdr:colOff>60960</xdr:colOff>
          <xdr:row>35</xdr:row>
          <xdr:rowOff>198120</xdr:rowOff>
        </xdr:to>
        <xdr:sp macro="" textlink="">
          <xdr:nvSpPr>
            <xdr:cNvPr id="1047" name="Drop Down 23" hidden="1">
              <a:extLst>
                <a:ext uri="{63B3BB69-23CF-44E3-9099-C40C66FF867C}">
                  <a14:compatExt spid="_x0000_s1047"/>
                </a:ext>
                <a:ext uri="{FF2B5EF4-FFF2-40B4-BE49-F238E27FC236}">
                  <a16:creationId xmlns:a16="http://schemas.microsoft.com/office/drawing/2014/main" id="{00000000-0008-0000-0700-00001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37</xdr:row>
          <xdr:rowOff>7620</xdr:rowOff>
        </xdr:from>
        <xdr:to>
          <xdr:col>1</xdr:col>
          <xdr:colOff>1013460</xdr:colOff>
          <xdr:row>38</xdr:row>
          <xdr:rowOff>60960</xdr:rowOff>
        </xdr:to>
        <xdr:sp macro="" textlink="">
          <xdr:nvSpPr>
            <xdr:cNvPr id="1049" name="Drop Down 25" hidden="1">
              <a:extLst>
                <a:ext uri="{63B3BB69-23CF-44E3-9099-C40C66FF867C}">
                  <a14:compatExt spid="_x0000_s1049"/>
                </a:ext>
                <a:ext uri="{FF2B5EF4-FFF2-40B4-BE49-F238E27FC236}">
                  <a16:creationId xmlns:a16="http://schemas.microsoft.com/office/drawing/2014/main" id="{00000000-0008-0000-0700-00001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45</xdr:row>
          <xdr:rowOff>7620</xdr:rowOff>
        </xdr:from>
        <xdr:to>
          <xdr:col>2</xdr:col>
          <xdr:colOff>114300</xdr:colOff>
          <xdr:row>46</xdr:row>
          <xdr:rowOff>22860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00000000-0008-0000-0700-00002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47</xdr:row>
          <xdr:rowOff>274320</xdr:rowOff>
        </xdr:from>
        <xdr:to>
          <xdr:col>2</xdr:col>
          <xdr:colOff>68580</xdr:colOff>
          <xdr:row>48</xdr:row>
          <xdr:rowOff>228600</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00000000-0008-0000-0700-00002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8</xdr:row>
          <xdr:rowOff>121920</xdr:rowOff>
        </xdr:from>
        <xdr:to>
          <xdr:col>2</xdr:col>
          <xdr:colOff>7620</xdr:colOff>
          <xdr:row>9</xdr:row>
          <xdr:rowOff>114300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7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HBO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9</xdr:row>
          <xdr:rowOff>137160</xdr:rowOff>
        </xdr:from>
        <xdr:to>
          <xdr:col>2</xdr:col>
          <xdr:colOff>7620</xdr:colOff>
          <xdr:row>10</xdr:row>
          <xdr:rowOff>114300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7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SHOWTIME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175260</xdr:rowOff>
        </xdr:from>
        <xdr:to>
          <xdr:col>2</xdr:col>
          <xdr:colOff>22860</xdr:colOff>
          <xdr:row>11</xdr:row>
          <xdr:rowOff>152400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7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STARZ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12</xdr:row>
          <xdr:rowOff>22860</xdr:rowOff>
        </xdr:from>
        <xdr:to>
          <xdr:col>2</xdr:col>
          <xdr:colOff>22860</xdr:colOff>
          <xdr:row>13</xdr:row>
          <xdr:rowOff>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7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CINEMAX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71</xdr:row>
          <xdr:rowOff>7620</xdr:rowOff>
        </xdr:from>
        <xdr:to>
          <xdr:col>1</xdr:col>
          <xdr:colOff>1127760</xdr:colOff>
          <xdr:row>72</xdr:row>
          <xdr:rowOff>106680</xdr:rowOff>
        </xdr:to>
        <xdr:sp macro="" textlink="">
          <xdr:nvSpPr>
            <xdr:cNvPr id="1146" name="Drop Down 122" hidden="1">
              <a:extLst>
                <a:ext uri="{63B3BB69-23CF-44E3-9099-C40C66FF867C}">
                  <a14:compatExt spid="_x0000_s1146"/>
                </a:ext>
                <a:ext uri="{FF2B5EF4-FFF2-40B4-BE49-F238E27FC236}">
                  <a16:creationId xmlns:a16="http://schemas.microsoft.com/office/drawing/2014/main" id="{00000000-0008-0000-0700-00007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71</xdr:row>
          <xdr:rowOff>7620</xdr:rowOff>
        </xdr:from>
        <xdr:to>
          <xdr:col>2</xdr:col>
          <xdr:colOff>1165860</xdr:colOff>
          <xdr:row>72</xdr:row>
          <xdr:rowOff>106680</xdr:rowOff>
        </xdr:to>
        <xdr:sp macro="" textlink="">
          <xdr:nvSpPr>
            <xdr:cNvPr id="1147" name="Drop Down 123" hidden="1">
              <a:extLst>
                <a:ext uri="{63B3BB69-23CF-44E3-9099-C40C66FF867C}">
                  <a14:compatExt spid="_x0000_s1147"/>
                </a:ext>
                <a:ext uri="{FF2B5EF4-FFF2-40B4-BE49-F238E27FC236}">
                  <a16:creationId xmlns:a16="http://schemas.microsoft.com/office/drawing/2014/main" id="{00000000-0008-0000-0700-00007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99060</xdr:colOff>
          <xdr:row>71</xdr:row>
          <xdr:rowOff>7620</xdr:rowOff>
        </xdr:from>
        <xdr:to>
          <xdr:col>3</xdr:col>
          <xdr:colOff>1165860</xdr:colOff>
          <xdr:row>72</xdr:row>
          <xdr:rowOff>106680</xdr:rowOff>
        </xdr:to>
        <xdr:sp macro="" textlink="">
          <xdr:nvSpPr>
            <xdr:cNvPr id="1148" name="Drop Down 124" hidden="1">
              <a:extLst>
                <a:ext uri="{63B3BB69-23CF-44E3-9099-C40C66FF867C}">
                  <a14:compatExt spid="_x0000_s1148"/>
                </a:ext>
                <a:ext uri="{FF2B5EF4-FFF2-40B4-BE49-F238E27FC236}">
                  <a16:creationId xmlns:a16="http://schemas.microsoft.com/office/drawing/2014/main" id="{00000000-0008-0000-0700-00007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77</xdr:row>
          <xdr:rowOff>60960</xdr:rowOff>
        </xdr:from>
        <xdr:to>
          <xdr:col>1</xdr:col>
          <xdr:colOff>1135380</xdr:colOff>
          <xdr:row>78</xdr:row>
          <xdr:rowOff>22860</xdr:rowOff>
        </xdr:to>
        <xdr:sp macro="" textlink="">
          <xdr:nvSpPr>
            <xdr:cNvPr id="1149" name="Drop Down 125" hidden="1">
              <a:extLst>
                <a:ext uri="{63B3BB69-23CF-44E3-9099-C40C66FF867C}">
                  <a14:compatExt spid="_x0000_s1149"/>
                </a:ext>
                <a:ext uri="{FF2B5EF4-FFF2-40B4-BE49-F238E27FC236}">
                  <a16:creationId xmlns:a16="http://schemas.microsoft.com/office/drawing/2014/main" id="{00000000-0008-0000-0700-00007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74</xdr:row>
          <xdr:rowOff>60960</xdr:rowOff>
        </xdr:from>
        <xdr:to>
          <xdr:col>1</xdr:col>
          <xdr:colOff>1135380</xdr:colOff>
          <xdr:row>75</xdr:row>
          <xdr:rowOff>76200</xdr:rowOff>
        </xdr:to>
        <xdr:sp macro="" textlink="">
          <xdr:nvSpPr>
            <xdr:cNvPr id="1150" name="Drop Down 126" hidden="1">
              <a:extLst>
                <a:ext uri="{63B3BB69-23CF-44E3-9099-C40C66FF867C}">
                  <a14:compatExt spid="_x0000_s1150"/>
                </a:ext>
                <a:ext uri="{FF2B5EF4-FFF2-40B4-BE49-F238E27FC236}">
                  <a16:creationId xmlns:a16="http://schemas.microsoft.com/office/drawing/2014/main" id="{00000000-0008-0000-0700-00007E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13</xdr:row>
          <xdr:rowOff>38100</xdr:rowOff>
        </xdr:from>
        <xdr:to>
          <xdr:col>2</xdr:col>
          <xdr:colOff>22860</xdr:colOff>
          <xdr:row>14</xdr:row>
          <xdr:rowOff>22860</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00000000-0008-0000-0700-0000B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SPORTS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1851660</xdr:colOff>
          <xdr:row>33</xdr:row>
          <xdr:rowOff>0</xdr:rowOff>
        </xdr:from>
        <xdr:to>
          <xdr:col>4</xdr:col>
          <xdr:colOff>1219200</xdr:colOff>
          <xdr:row>33</xdr:row>
          <xdr:rowOff>198120</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00000000-0008-0000-0700-0000C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Opt Out Of Autopay</a:t>
              </a:r>
            </a:p>
          </xdr:txBody>
        </xdr:sp>
        <xdr:clientData/>
      </xdr:twoCellAnchor>
    </mc:Choice>
    <mc:Fallback/>
  </mc:AlternateContent>
  <xdr:oneCellAnchor>
    <xdr:from>
      <xdr:col>4</xdr:col>
      <xdr:colOff>439737</xdr:colOff>
      <xdr:row>45</xdr:row>
      <xdr:rowOff>15081</xdr:rowOff>
    </xdr:from>
    <xdr:ext cx="65" cy="172227"/>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876800" y="112466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60960</xdr:colOff>
          <xdr:row>56</xdr:row>
          <xdr:rowOff>68580</xdr:rowOff>
        </xdr:from>
        <xdr:to>
          <xdr:col>1</xdr:col>
          <xdr:colOff>1127760</xdr:colOff>
          <xdr:row>57</xdr:row>
          <xdr:rowOff>60960</xdr:rowOff>
        </xdr:to>
        <xdr:sp macro="" textlink="">
          <xdr:nvSpPr>
            <xdr:cNvPr id="1298" name="Drop Down 274" hidden="1">
              <a:extLst>
                <a:ext uri="{63B3BB69-23CF-44E3-9099-C40C66FF867C}">
                  <a14:compatExt spid="_x0000_s1298"/>
                </a:ext>
                <a:ext uri="{FF2B5EF4-FFF2-40B4-BE49-F238E27FC236}">
                  <a16:creationId xmlns:a16="http://schemas.microsoft.com/office/drawing/2014/main" id="{00000000-0008-0000-0700-00001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60</xdr:row>
          <xdr:rowOff>68580</xdr:rowOff>
        </xdr:from>
        <xdr:to>
          <xdr:col>2</xdr:col>
          <xdr:colOff>1181100</xdr:colOff>
          <xdr:row>61</xdr:row>
          <xdr:rowOff>121920</xdr:rowOff>
        </xdr:to>
        <xdr:sp macro="" textlink="">
          <xdr:nvSpPr>
            <xdr:cNvPr id="1299" name="Drop Down 275" hidden="1">
              <a:extLst>
                <a:ext uri="{63B3BB69-23CF-44E3-9099-C40C66FF867C}">
                  <a14:compatExt spid="_x0000_s1299"/>
                </a:ext>
                <a:ext uri="{FF2B5EF4-FFF2-40B4-BE49-F238E27FC236}">
                  <a16:creationId xmlns:a16="http://schemas.microsoft.com/office/drawing/2014/main" id="{00000000-0008-0000-0700-00001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62</xdr:row>
          <xdr:rowOff>76200</xdr:rowOff>
        </xdr:from>
        <xdr:to>
          <xdr:col>1</xdr:col>
          <xdr:colOff>1104900</xdr:colOff>
          <xdr:row>62</xdr:row>
          <xdr:rowOff>289560</xdr:rowOff>
        </xdr:to>
        <xdr:sp macro="" textlink="">
          <xdr:nvSpPr>
            <xdr:cNvPr id="1301" name="Drop Down 277" hidden="1">
              <a:extLst>
                <a:ext uri="{63B3BB69-23CF-44E3-9099-C40C66FF867C}">
                  <a14:compatExt spid="_x0000_s1301"/>
                </a:ext>
                <a:ext uri="{FF2B5EF4-FFF2-40B4-BE49-F238E27FC236}">
                  <a16:creationId xmlns:a16="http://schemas.microsoft.com/office/drawing/2014/main" id="{00000000-0008-0000-0700-00001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60</xdr:row>
          <xdr:rowOff>68580</xdr:rowOff>
        </xdr:from>
        <xdr:to>
          <xdr:col>1</xdr:col>
          <xdr:colOff>1097280</xdr:colOff>
          <xdr:row>61</xdr:row>
          <xdr:rowOff>144780</xdr:rowOff>
        </xdr:to>
        <xdr:sp macro="" textlink="">
          <xdr:nvSpPr>
            <xdr:cNvPr id="1302" name="Drop Down 278" hidden="1">
              <a:extLst>
                <a:ext uri="{63B3BB69-23CF-44E3-9099-C40C66FF867C}">
                  <a14:compatExt spid="_x0000_s1302"/>
                </a:ext>
                <a:ext uri="{FF2B5EF4-FFF2-40B4-BE49-F238E27FC236}">
                  <a16:creationId xmlns:a16="http://schemas.microsoft.com/office/drawing/2014/main" id="{00000000-0008-0000-0700-00001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64</xdr:row>
          <xdr:rowOff>0</xdr:rowOff>
        </xdr:from>
        <xdr:to>
          <xdr:col>2</xdr:col>
          <xdr:colOff>868680</xdr:colOff>
          <xdr:row>65</xdr:row>
          <xdr:rowOff>45720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7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HBO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64</xdr:row>
          <xdr:rowOff>0</xdr:rowOff>
        </xdr:from>
        <xdr:to>
          <xdr:col>3</xdr:col>
          <xdr:colOff>22860</xdr:colOff>
          <xdr:row>65</xdr:row>
          <xdr:rowOff>45720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7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SHOWTIME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64</xdr:row>
          <xdr:rowOff>0</xdr:rowOff>
        </xdr:from>
        <xdr:to>
          <xdr:col>3</xdr:col>
          <xdr:colOff>868680</xdr:colOff>
          <xdr:row>65</xdr:row>
          <xdr:rowOff>45720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7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STARZ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754380</xdr:colOff>
          <xdr:row>64</xdr:row>
          <xdr:rowOff>0</xdr:rowOff>
        </xdr:from>
        <xdr:to>
          <xdr:col>3</xdr:col>
          <xdr:colOff>1508760</xdr:colOff>
          <xdr:row>65</xdr:row>
          <xdr:rowOff>45720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7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CINEMAX</a:t>
              </a:r>
            </a:p>
          </xdr:txBody>
        </xdr:sp>
        <xdr:clientData/>
      </xdr:twoCellAnchor>
    </mc:Choice>
    <mc:Fallback/>
  </mc:AlternateContent>
  <xdr:twoCellAnchor editAs="oneCell">
    <xdr:from>
      <xdr:col>3</xdr:col>
      <xdr:colOff>623794</xdr:colOff>
      <xdr:row>43</xdr:row>
      <xdr:rowOff>15876</xdr:rowOff>
    </xdr:from>
    <xdr:to>
      <xdr:col>4</xdr:col>
      <xdr:colOff>93810</xdr:colOff>
      <xdr:row>43</xdr:row>
      <xdr:rowOff>404814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36470" y="10650258"/>
          <a:ext cx="1094869" cy="388938"/>
        </a:xfrm>
        <a:prstGeom prst="rect">
          <a:avLst/>
        </a:prstGeom>
      </xdr:spPr>
    </xdr:pic>
    <xdr:clientData/>
  </xdr:twoCellAnchor>
  <xdr:twoCellAnchor editAs="oneCell">
    <xdr:from>
      <xdr:col>3</xdr:col>
      <xdr:colOff>493834</xdr:colOff>
      <xdr:row>54</xdr:row>
      <xdr:rowOff>38287</xdr:rowOff>
    </xdr:from>
    <xdr:to>
      <xdr:col>4</xdr:col>
      <xdr:colOff>54627</xdr:colOff>
      <xdr:row>54</xdr:row>
      <xdr:rowOff>427225</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06510" y="12342346"/>
          <a:ext cx="1185646" cy="38893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99060</xdr:colOff>
          <xdr:row>62</xdr:row>
          <xdr:rowOff>68580</xdr:rowOff>
        </xdr:from>
        <xdr:to>
          <xdr:col>2</xdr:col>
          <xdr:colOff>845820</xdr:colOff>
          <xdr:row>63</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7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 Lease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64</xdr:row>
          <xdr:rowOff>0</xdr:rowOff>
        </xdr:from>
        <xdr:to>
          <xdr:col>4</xdr:col>
          <xdr:colOff>868680</xdr:colOff>
          <xdr:row>65</xdr:row>
          <xdr:rowOff>45720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7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Sports Pack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74</xdr:row>
          <xdr:rowOff>45720</xdr:rowOff>
        </xdr:from>
        <xdr:to>
          <xdr:col>2</xdr:col>
          <xdr:colOff>876300</xdr:colOff>
          <xdr:row>75</xdr:row>
          <xdr:rowOff>83820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7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 Lease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77</xdr:row>
          <xdr:rowOff>30480</xdr:rowOff>
        </xdr:from>
        <xdr:to>
          <xdr:col>2</xdr:col>
          <xdr:colOff>845820</xdr:colOff>
          <xdr:row>78</xdr:row>
          <xdr:rowOff>22860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7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Sports Pack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77</xdr:row>
          <xdr:rowOff>236220</xdr:rowOff>
        </xdr:from>
        <xdr:to>
          <xdr:col>2</xdr:col>
          <xdr:colOff>1318260</xdr:colOff>
          <xdr:row>78</xdr:row>
          <xdr:rowOff>144780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7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Sports &amp; Variety Pack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106680</xdr:colOff>
          <xdr:row>78</xdr:row>
          <xdr:rowOff>175260</xdr:rowOff>
        </xdr:from>
        <xdr:to>
          <xdr:col>2</xdr:col>
          <xdr:colOff>1325880</xdr:colOff>
          <xdr:row>79</xdr:row>
          <xdr:rowOff>144780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7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HD Premium Tier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79</xdr:row>
          <xdr:rowOff>121920</xdr:rowOff>
        </xdr:from>
        <xdr:to>
          <xdr:col>2</xdr:col>
          <xdr:colOff>1188720</xdr:colOff>
          <xdr:row>80</xdr:row>
          <xdr:rowOff>152400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7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Ultra Sports Pack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76</xdr:row>
          <xdr:rowOff>30480</xdr:rowOff>
        </xdr:from>
        <xdr:to>
          <xdr:col>2</xdr:col>
          <xdr:colOff>868680</xdr:colOff>
          <xdr:row>77</xdr:row>
          <xdr:rowOff>7620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7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Wireless Router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xdr:colOff>
          <xdr:row>64</xdr:row>
          <xdr:rowOff>7620</xdr:rowOff>
        </xdr:from>
        <xdr:to>
          <xdr:col>5</xdr:col>
          <xdr:colOff>784860</xdr:colOff>
          <xdr:row>65</xdr:row>
          <xdr:rowOff>45720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7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StreamPix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65</xdr:row>
          <xdr:rowOff>38100</xdr:rowOff>
        </xdr:from>
        <xdr:to>
          <xdr:col>2</xdr:col>
          <xdr:colOff>1257300</xdr:colOff>
          <xdr:row>66</xdr:row>
          <xdr:rowOff>76200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7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The Movie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15</xdr:row>
          <xdr:rowOff>0</xdr:rowOff>
        </xdr:from>
        <xdr:to>
          <xdr:col>2</xdr:col>
          <xdr:colOff>7620</xdr:colOff>
          <xdr:row>15</xdr:row>
          <xdr:rowOff>228600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7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En Espanol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175260</xdr:colOff>
          <xdr:row>9</xdr:row>
          <xdr:rowOff>0</xdr:rowOff>
        </xdr:from>
        <xdr:to>
          <xdr:col>3</xdr:col>
          <xdr:colOff>845820</xdr:colOff>
          <xdr:row>9</xdr:row>
          <xdr:rowOff>213360</xdr:rowOff>
        </xdr:to>
        <xdr:sp macro="" textlink="">
          <xdr:nvSpPr>
            <xdr:cNvPr id="1356" name="Drop Down 332" hidden="1">
              <a:extLst>
                <a:ext uri="{63B3BB69-23CF-44E3-9099-C40C66FF867C}">
                  <a14:compatExt spid="_x0000_s1356"/>
                </a:ext>
                <a:ext uri="{FF2B5EF4-FFF2-40B4-BE49-F238E27FC236}">
                  <a16:creationId xmlns:a16="http://schemas.microsoft.com/office/drawing/2014/main" id="{00000000-0008-0000-0700-00004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975360</xdr:colOff>
          <xdr:row>76</xdr:row>
          <xdr:rowOff>160020</xdr:rowOff>
        </xdr:from>
        <xdr:to>
          <xdr:col>4</xdr:col>
          <xdr:colOff>106680</xdr:colOff>
          <xdr:row>77</xdr:row>
          <xdr:rowOff>137160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7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HBO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975360</xdr:colOff>
          <xdr:row>77</xdr:row>
          <xdr:rowOff>38100</xdr:rowOff>
        </xdr:from>
        <xdr:to>
          <xdr:col>4</xdr:col>
          <xdr:colOff>106680</xdr:colOff>
          <xdr:row>78</xdr:row>
          <xdr:rowOff>22860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7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Cinemax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975360</xdr:colOff>
          <xdr:row>77</xdr:row>
          <xdr:rowOff>228600</xdr:rowOff>
        </xdr:from>
        <xdr:to>
          <xdr:col>4</xdr:col>
          <xdr:colOff>106680</xdr:colOff>
          <xdr:row>78</xdr:row>
          <xdr:rowOff>144780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7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Starz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975360</xdr:colOff>
          <xdr:row>78</xdr:row>
          <xdr:rowOff>99060</xdr:rowOff>
        </xdr:from>
        <xdr:to>
          <xdr:col>4</xdr:col>
          <xdr:colOff>106680</xdr:colOff>
          <xdr:row>79</xdr:row>
          <xdr:rowOff>68580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7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Showtime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1508760</xdr:colOff>
          <xdr:row>15</xdr:row>
          <xdr:rowOff>106680</xdr:rowOff>
        </xdr:from>
        <xdr:to>
          <xdr:col>4</xdr:col>
          <xdr:colOff>1097280</xdr:colOff>
          <xdr:row>16</xdr:row>
          <xdr:rowOff>114300</xdr:rowOff>
        </xdr:to>
        <xdr:sp macro="" textlink="">
          <xdr:nvSpPr>
            <xdr:cNvPr id="1370" name="Drop Down 346" hidden="1">
              <a:extLst>
                <a:ext uri="{63B3BB69-23CF-44E3-9099-C40C66FF867C}">
                  <a14:compatExt spid="_x0000_s1370"/>
                </a:ext>
                <a:ext uri="{FF2B5EF4-FFF2-40B4-BE49-F238E27FC236}">
                  <a16:creationId xmlns:a16="http://schemas.microsoft.com/office/drawing/2014/main" id="{00000000-0008-0000-0700-00005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563880</xdr:colOff>
          <xdr:row>15</xdr:row>
          <xdr:rowOff>68580</xdr:rowOff>
        </xdr:from>
        <xdr:to>
          <xdr:col>6</xdr:col>
          <xdr:colOff>1181100</xdr:colOff>
          <xdr:row>16</xdr:row>
          <xdr:rowOff>45720</xdr:rowOff>
        </xdr:to>
        <xdr:sp macro="" textlink="">
          <xdr:nvSpPr>
            <xdr:cNvPr id="1374" name="Drop Down 350" hidden="1">
              <a:extLst>
                <a:ext uri="{63B3BB69-23CF-44E3-9099-C40C66FF867C}">
                  <a14:compatExt spid="_x0000_s1374"/>
                </a:ext>
                <a:ext uri="{FF2B5EF4-FFF2-40B4-BE49-F238E27FC236}">
                  <a16:creationId xmlns:a16="http://schemas.microsoft.com/office/drawing/2014/main" id="{00000000-0008-0000-0700-00005E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944880</xdr:colOff>
          <xdr:row>16</xdr:row>
          <xdr:rowOff>99060</xdr:rowOff>
        </xdr:from>
        <xdr:to>
          <xdr:col>6</xdr:col>
          <xdr:colOff>868680</xdr:colOff>
          <xdr:row>17</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7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Modem/Router$10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16</xdr:row>
          <xdr:rowOff>190500</xdr:rowOff>
        </xdr:from>
        <xdr:to>
          <xdr:col>4</xdr:col>
          <xdr:colOff>1059180</xdr:colOff>
          <xdr:row>17</xdr:row>
          <xdr:rowOff>60960</xdr:rowOff>
        </xdr:to>
        <xdr:sp macro="" textlink="">
          <xdr:nvSpPr>
            <xdr:cNvPr id="1378" name="Check Box 354" descr="Unlimited Phone - $19.99" hidden="1">
              <a:extLst>
                <a:ext uri="{63B3BB69-23CF-44E3-9099-C40C66FF867C}">
                  <a14:compatExt spid="_x0000_s1378"/>
                </a:ext>
                <a:ext uri="{FF2B5EF4-FFF2-40B4-BE49-F238E27FC236}">
                  <a16:creationId xmlns:a16="http://schemas.microsoft.com/office/drawing/2014/main" id="{00000000-0008-0000-07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944880</xdr:colOff>
          <xdr:row>16</xdr:row>
          <xdr:rowOff>289560</xdr:rowOff>
        </xdr:from>
        <xdr:to>
          <xdr:col>6</xdr:col>
          <xdr:colOff>1181100</xdr:colOff>
          <xdr:row>17</xdr:row>
          <xdr:rowOff>144780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7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640080</xdr:colOff>
          <xdr:row>11</xdr:row>
          <xdr:rowOff>22860</xdr:rowOff>
        </xdr:from>
        <xdr:to>
          <xdr:col>6</xdr:col>
          <xdr:colOff>1257300</xdr:colOff>
          <xdr:row>11</xdr:row>
          <xdr:rowOff>228600</xdr:rowOff>
        </xdr:to>
        <xdr:sp macro="" textlink="">
          <xdr:nvSpPr>
            <xdr:cNvPr id="1384" name="Drop Down 360" hidden="1">
              <a:extLst>
                <a:ext uri="{63B3BB69-23CF-44E3-9099-C40C66FF867C}">
                  <a14:compatExt spid="_x0000_s1384"/>
                </a:ext>
                <a:ext uri="{FF2B5EF4-FFF2-40B4-BE49-F238E27FC236}">
                  <a16:creationId xmlns:a16="http://schemas.microsoft.com/office/drawing/2014/main" id="{00000000-0008-0000-0700-000068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906780</xdr:colOff>
          <xdr:row>12</xdr:row>
          <xdr:rowOff>76200</xdr:rowOff>
        </xdr:from>
        <xdr:to>
          <xdr:col>6</xdr:col>
          <xdr:colOff>1135380</xdr:colOff>
          <xdr:row>13</xdr:row>
          <xdr:rowOff>45720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7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$25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xdr:colOff>
          <xdr:row>98</xdr:row>
          <xdr:rowOff>38100</xdr:rowOff>
        </xdr:from>
        <xdr:to>
          <xdr:col>2</xdr:col>
          <xdr:colOff>251460</xdr:colOff>
          <xdr:row>99</xdr:row>
          <xdr:rowOff>45720</xdr:rowOff>
        </xdr:to>
        <xdr:sp macro="" textlink="">
          <xdr:nvSpPr>
            <xdr:cNvPr id="1388" name="Drop Down 364" hidden="1">
              <a:extLst>
                <a:ext uri="{63B3BB69-23CF-44E3-9099-C40C66FF867C}">
                  <a14:compatExt spid="_x0000_s1388"/>
                </a:ext>
                <a:ext uri="{FF2B5EF4-FFF2-40B4-BE49-F238E27FC236}">
                  <a16:creationId xmlns:a16="http://schemas.microsoft.com/office/drawing/2014/main" id="{00000000-0008-0000-0700-00006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327660</xdr:colOff>
          <xdr:row>98</xdr:row>
          <xdr:rowOff>7620</xdr:rowOff>
        </xdr:from>
        <xdr:to>
          <xdr:col>3</xdr:col>
          <xdr:colOff>906780</xdr:colOff>
          <xdr:row>99</xdr:row>
          <xdr:rowOff>114300</xdr:rowOff>
        </xdr:to>
        <xdr:sp macro="" textlink="">
          <xdr:nvSpPr>
            <xdr:cNvPr id="1389" name="Check Box 365" descr="Lease Modem/Router $14.99" hidden="1">
              <a:extLst>
                <a:ext uri="{63B3BB69-23CF-44E3-9099-C40C66FF867C}">
                  <a14:compatExt spid="_x0000_s1389"/>
                </a:ext>
                <a:ext uri="{FF2B5EF4-FFF2-40B4-BE49-F238E27FC236}">
                  <a16:creationId xmlns:a16="http://schemas.microsoft.com/office/drawing/2014/main" id="{00000000-0008-0000-07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Modem/Router Lease $14.99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327660</xdr:colOff>
          <xdr:row>99</xdr:row>
          <xdr:rowOff>76200</xdr:rowOff>
        </xdr:from>
        <xdr:to>
          <xdr:col>3</xdr:col>
          <xdr:colOff>464820</xdr:colOff>
          <xdr:row>100</xdr:row>
          <xdr:rowOff>137160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7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$29.99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100</xdr:row>
          <xdr:rowOff>121920</xdr:rowOff>
        </xdr:from>
        <xdr:to>
          <xdr:col>3</xdr:col>
          <xdr:colOff>571500</xdr:colOff>
          <xdr:row>101</xdr:row>
          <xdr:rowOff>144780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7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International Voice 200   $9.99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312420</xdr:colOff>
          <xdr:row>102</xdr:row>
          <xdr:rowOff>144780</xdr:rowOff>
        </xdr:from>
        <xdr:to>
          <xdr:col>3</xdr:col>
          <xdr:colOff>556260</xdr:colOff>
          <xdr:row>103</xdr:row>
          <xdr:rowOff>76200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7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DirecTVBundle  Discount $10</a:t>
              </a:r>
            </a:p>
          </xdr:txBody>
        </xdr:sp>
        <xdr:clientData/>
      </xdr:twoCellAnchor>
    </mc:Choice>
    <mc:Fallback/>
  </mc:AlternateContent>
  <xdr:twoCellAnchor editAs="oneCell">
    <xdr:from>
      <xdr:col>3</xdr:col>
      <xdr:colOff>695630</xdr:colOff>
      <xdr:row>33</xdr:row>
      <xdr:rowOff>11205</xdr:rowOff>
    </xdr:from>
    <xdr:to>
      <xdr:col>4</xdr:col>
      <xdr:colOff>324970</xdr:colOff>
      <xdr:row>33</xdr:row>
      <xdr:rowOff>358588</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08306" y="6320117"/>
          <a:ext cx="1254193" cy="3473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1592580</xdr:colOff>
          <xdr:row>11</xdr:row>
          <xdr:rowOff>38100</xdr:rowOff>
        </xdr:from>
        <xdr:to>
          <xdr:col>5</xdr:col>
          <xdr:colOff>45720</xdr:colOff>
          <xdr:row>12</xdr:row>
          <xdr:rowOff>22860</xdr:rowOff>
        </xdr:to>
        <xdr:sp macro="" textlink="">
          <xdr:nvSpPr>
            <xdr:cNvPr id="1411" name="Drop Down 387" hidden="1">
              <a:extLst>
                <a:ext uri="{63B3BB69-23CF-44E3-9099-C40C66FF867C}">
                  <a14:compatExt spid="_x0000_s1411"/>
                </a:ext>
                <a:ext uri="{FF2B5EF4-FFF2-40B4-BE49-F238E27FC236}">
                  <a16:creationId xmlns:a16="http://schemas.microsoft.com/office/drawing/2014/main" id="{00000000-0008-0000-0700-000083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12</xdr:row>
          <xdr:rowOff>198120</xdr:rowOff>
        </xdr:from>
        <xdr:to>
          <xdr:col>4</xdr:col>
          <xdr:colOff>1089660</xdr:colOff>
          <xdr:row>13</xdr:row>
          <xdr:rowOff>190500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7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19.99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99060</xdr:colOff>
          <xdr:row>12</xdr:row>
          <xdr:rowOff>30480</xdr:rowOff>
        </xdr:from>
        <xdr:to>
          <xdr:col>4</xdr:col>
          <xdr:colOff>1089660</xdr:colOff>
          <xdr:row>13</xdr:row>
          <xdr:rowOff>22860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7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Wifi?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107</xdr:row>
          <xdr:rowOff>0</xdr:rowOff>
        </xdr:from>
        <xdr:to>
          <xdr:col>2</xdr:col>
          <xdr:colOff>60960</xdr:colOff>
          <xdr:row>108</xdr:row>
          <xdr:rowOff>0</xdr:rowOff>
        </xdr:to>
        <xdr:sp macro="" textlink="">
          <xdr:nvSpPr>
            <xdr:cNvPr id="1414" name="Drop Down 390" hidden="1">
              <a:extLst>
                <a:ext uri="{63B3BB69-23CF-44E3-9099-C40C66FF867C}">
                  <a14:compatExt spid="_x0000_s1414"/>
                </a:ext>
                <a:ext uri="{FF2B5EF4-FFF2-40B4-BE49-F238E27FC236}">
                  <a16:creationId xmlns:a16="http://schemas.microsoft.com/office/drawing/2014/main" id="{00000000-0008-0000-0700-00008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109</xdr:row>
          <xdr:rowOff>152400</xdr:rowOff>
        </xdr:from>
        <xdr:to>
          <xdr:col>2</xdr:col>
          <xdr:colOff>137160</xdr:colOff>
          <xdr:row>110</xdr:row>
          <xdr:rowOff>190500</xdr:rowOff>
        </xdr:to>
        <xdr:sp macro="" textlink="">
          <xdr:nvSpPr>
            <xdr:cNvPr id="1415" name="Drop Down 391" hidden="1">
              <a:extLst>
                <a:ext uri="{63B3BB69-23CF-44E3-9099-C40C66FF867C}">
                  <a14:compatExt spid="_x0000_s1415"/>
                </a:ext>
                <a:ext uri="{FF2B5EF4-FFF2-40B4-BE49-F238E27FC236}">
                  <a16:creationId xmlns:a16="http://schemas.microsoft.com/office/drawing/2014/main" id="{00000000-0008-0000-0700-00008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112</xdr:row>
          <xdr:rowOff>182880</xdr:rowOff>
        </xdr:from>
        <xdr:to>
          <xdr:col>2</xdr:col>
          <xdr:colOff>144780</xdr:colOff>
          <xdr:row>114</xdr:row>
          <xdr:rowOff>0</xdr:rowOff>
        </xdr:to>
        <xdr:sp macro="" textlink="">
          <xdr:nvSpPr>
            <xdr:cNvPr id="1416" name="Drop Down 392" hidden="1">
              <a:extLst>
                <a:ext uri="{63B3BB69-23CF-44E3-9099-C40C66FF867C}">
                  <a14:compatExt spid="_x0000_s1416"/>
                </a:ext>
                <a:ext uri="{FF2B5EF4-FFF2-40B4-BE49-F238E27FC236}">
                  <a16:creationId xmlns:a16="http://schemas.microsoft.com/office/drawing/2014/main" id="{00000000-0008-0000-0700-000088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107</xdr:row>
          <xdr:rowOff>0</xdr:rowOff>
        </xdr:from>
        <xdr:to>
          <xdr:col>2</xdr:col>
          <xdr:colOff>1219200</xdr:colOff>
          <xdr:row>108</xdr:row>
          <xdr:rowOff>0</xdr:rowOff>
        </xdr:to>
        <xdr:sp macro="" textlink="">
          <xdr:nvSpPr>
            <xdr:cNvPr id="1417" name="Drop Down 393" hidden="1">
              <a:extLst>
                <a:ext uri="{63B3BB69-23CF-44E3-9099-C40C66FF867C}">
                  <a14:compatExt spid="_x0000_s1417"/>
                </a:ext>
                <a:ext uri="{FF2B5EF4-FFF2-40B4-BE49-F238E27FC236}">
                  <a16:creationId xmlns:a16="http://schemas.microsoft.com/office/drawing/2014/main" id="{00000000-0008-0000-0700-00008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182880</xdr:colOff>
          <xdr:row>106</xdr:row>
          <xdr:rowOff>175260</xdr:rowOff>
        </xdr:from>
        <xdr:to>
          <xdr:col>3</xdr:col>
          <xdr:colOff>1059180</xdr:colOff>
          <xdr:row>108</xdr:row>
          <xdr:rowOff>38100</xdr:rowOff>
        </xdr:to>
        <xdr:sp macro="" textlink="">
          <xdr:nvSpPr>
            <xdr:cNvPr id="1418" name="Drop Down 394" hidden="1">
              <a:extLst>
                <a:ext uri="{63B3BB69-23CF-44E3-9099-C40C66FF867C}">
                  <a14:compatExt spid="_x0000_s1418"/>
                </a:ext>
                <a:ext uri="{FF2B5EF4-FFF2-40B4-BE49-F238E27FC236}">
                  <a16:creationId xmlns:a16="http://schemas.microsoft.com/office/drawing/2014/main" id="{00000000-0008-0000-0700-00008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110</xdr:row>
          <xdr:rowOff>144780</xdr:rowOff>
        </xdr:from>
        <xdr:to>
          <xdr:col>2</xdr:col>
          <xdr:colOff>1165860</xdr:colOff>
          <xdr:row>112</xdr:row>
          <xdr:rowOff>60960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7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HBO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111</xdr:row>
          <xdr:rowOff>152400</xdr:rowOff>
        </xdr:from>
        <xdr:to>
          <xdr:col>2</xdr:col>
          <xdr:colOff>1249680</xdr:colOff>
          <xdr:row>113</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7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STARZ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112</xdr:row>
          <xdr:rowOff>182880</xdr:rowOff>
        </xdr:from>
        <xdr:to>
          <xdr:col>2</xdr:col>
          <xdr:colOff>1287780</xdr:colOff>
          <xdr:row>114</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7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CINEMAX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112</xdr:row>
          <xdr:rowOff>60960</xdr:rowOff>
        </xdr:from>
        <xdr:to>
          <xdr:col>4</xdr:col>
          <xdr:colOff>144780</xdr:colOff>
          <xdr:row>113</xdr:row>
          <xdr:rowOff>114300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7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Lease Modem/Router ($10/mo)</a:t>
              </a:r>
            </a:p>
          </xdr:txBody>
        </xdr:sp>
        <xdr:clientData/>
      </xdr:twoCellAnchor>
    </mc:Choice>
    <mc:Fallback/>
  </mc:AlternateContent>
  <xdr:twoCellAnchor editAs="oneCell">
    <xdr:from>
      <xdr:col>3</xdr:col>
      <xdr:colOff>868930</xdr:colOff>
      <xdr:row>105</xdr:row>
      <xdr:rowOff>44824</xdr:rowOff>
    </xdr:from>
    <xdr:to>
      <xdr:col>3</xdr:col>
      <xdr:colOff>1612527</xdr:colOff>
      <xdr:row>105</xdr:row>
      <xdr:rowOff>381001</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81606" y="29180118"/>
          <a:ext cx="743597" cy="3361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335280</xdr:colOff>
          <xdr:row>114</xdr:row>
          <xdr:rowOff>76200</xdr:rowOff>
        </xdr:from>
        <xdr:to>
          <xdr:col>3</xdr:col>
          <xdr:colOff>213360</xdr:colOff>
          <xdr:row>115</xdr:row>
          <xdr:rowOff>83820</xdr:rowOff>
        </xdr:to>
        <xdr:sp macro="" textlink="">
          <xdr:nvSpPr>
            <xdr:cNvPr id="1431" name="Check Box 407" descr="Epix" hidden="1">
              <a:extLst>
                <a:ext uri="{63B3BB69-23CF-44E3-9099-C40C66FF867C}">
                  <a14:compatExt spid="_x0000_s1431"/>
                </a:ext>
                <a:ext uri="{FF2B5EF4-FFF2-40B4-BE49-F238E27FC236}">
                  <a16:creationId xmlns:a16="http://schemas.microsoft.com/office/drawing/2014/main" id="{00000000-0008-0000-07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EPIX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115</xdr:row>
          <xdr:rowOff>45720</xdr:rowOff>
        </xdr:from>
        <xdr:to>
          <xdr:col>3</xdr:col>
          <xdr:colOff>213360</xdr:colOff>
          <xdr:row>116</xdr:row>
          <xdr:rowOff>60960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7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Latino Pack (9 channels)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335280</xdr:colOff>
          <xdr:row>113</xdr:row>
          <xdr:rowOff>198120</xdr:rowOff>
        </xdr:from>
        <xdr:to>
          <xdr:col>3</xdr:col>
          <xdr:colOff>213360</xdr:colOff>
          <xdr:row>114</xdr:row>
          <xdr:rowOff>106680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7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SHOWTIME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113</xdr:row>
          <xdr:rowOff>60960</xdr:rowOff>
        </xdr:from>
        <xdr:to>
          <xdr:col>4</xdr:col>
          <xdr:colOff>213360</xdr:colOff>
          <xdr:row>114</xdr:row>
          <xdr:rowOff>7620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7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Purchase Modem/Router ($149)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108</xdr:row>
          <xdr:rowOff>60960</xdr:rowOff>
        </xdr:from>
        <xdr:to>
          <xdr:col>4</xdr:col>
          <xdr:colOff>144780</xdr:colOff>
          <xdr:row>109</xdr:row>
          <xdr:rowOff>106680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7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WHDVR?</a:t>
              </a:r>
            </a:p>
          </xdr:txBody>
        </xdr:sp>
        <xdr:clientData/>
      </xdr:twoCellAnchor>
    </mc:Choice>
    <mc:Fallback/>
  </mc:AlternateContent>
  <xdr:oneCellAnchor>
    <xdr:from>
      <xdr:col>10</xdr:col>
      <xdr:colOff>868930</xdr:colOff>
      <xdr:row>105</xdr:row>
      <xdr:rowOff>44824</xdr:rowOff>
    </xdr:from>
    <xdr:ext cx="743597" cy="336177"/>
    <xdr:pic>
      <xdr:nvPicPr>
        <xdr:cNvPr id="197" name="Picture 196">
          <a:extLst>
            <a:ext uri="{FF2B5EF4-FFF2-40B4-BE49-F238E27FC236}">
              <a16:creationId xmlns:a16="http://schemas.microsoft.com/office/drawing/2014/main" id="{00000000-0008-0000-0700-0000C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78805" y="29191324"/>
          <a:ext cx="743597" cy="336177"/>
        </a:xfrm>
        <a:prstGeom prst="rect">
          <a:avLst/>
        </a:prstGeom>
      </xdr:spPr>
    </xdr:pic>
    <xdr:clientData/>
  </xdr:oneCellAnchor>
  <xdr:twoCellAnchor editAs="oneCell">
    <xdr:from>
      <xdr:col>3</xdr:col>
      <xdr:colOff>705972</xdr:colOff>
      <xdr:row>118</xdr:row>
      <xdr:rowOff>44824</xdr:rowOff>
    </xdr:from>
    <xdr:to>
      <xdr:col>3</xdr:col>
      <xdr:colOff>1545704</xdr:colOff>
      <xdr:row>120</xdr:row>
      <xdr:rowOff>168087</xdr:rowOff>
    </xdr:to>
    <xdr:pic>
      <xdr:nvPicPr>
        <xdr:cNvPr id="164" name="Picture 163">
          <a:extLst>
            <a:ext uri="{FF2B5EF4-FFF2-40B4-BE49-F238E27FC236}">
              <a16:creationId xmlns:a16="http://schemas.microsoft.com/office/drawing/2014/main" id="{00000000-0008-0000-0700-0000A4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18648" y="29180118"/>
          <a:ext cx="839732" cy="50426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22860</xdr:colOff>
          <xdr:row>121</xdr:row>
          <xdr:rowOff>182880</xdr:rowOff>
        </xdr:from>
        <xdr:to>
          <xdr:col>1</xdr:col>
          <xdr:colOff>1127760</xdr:colOff>
          <xdr:row>123</xdr:row>
          <xdr:rowOff>7620</xdr:rowOff>
        </xdr:to>
        <xdr:sp macro="" textlink="">
          <xdr:nvSpPr>
            <xdr:cNvPr id="1446" name="Drop Down 422" hidden="1">
              <a:extLst>
                <a:ext uri="{63B3BB69-23CF-44E3-9099-C40C66FF867C}">
                  <a14:compatExt spid="_x0000_s1446"/>
                </a:ext>
                <a:ext uri="{FF2B5EF4-FFF2-40B4-BE49-F238E27FC236}">
                  <a16:creationId xmlns:a16="http://schemas.microsoft.com/office/drawing/2014/main" id="{00000000-0008-0000-0700-0000A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10</xdr:col>
      <xdr:colOff>705972</xdr:colOff>
      <xdr:row>118</xdr:row>
      <xdr:rowOff>44824</xdr:rowOff>
    </xdr:from>
    <xdr:ext cx="839732" cy="504263"/>
    <xdr:pic>
      <xdr:nvPicPr>
        <xdr:cNvPr id="174" name="Picture 173">
          <a:extLst>
            <a:ext uri="{FF2B5EF4-FFF2-40B4-BE49-F238E27FC236}">
              <a16:creationId xmlns:a16="http://schemas.microsoft.com/office/drawing/2014/main" id="{00000000-0008-0000-0700-0000AE000000}"/>
            </a:ext>
          </a:extLst>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18648" y="29180118"/>
          <a:ext cx="839732" cy="504263"/>
        </a:xfrm>
        <a:prstGeom prst="rect">
          <a:avLst/>
        </a:prstGeom>
      </xdr:spPr>
    </xdr:pic>
    <xdr:clientData/>
  </xdr:oneCellAnchor>
  <xdr:twoCellAnchor editAs="oneCell">
    <xdr:from>
      <xdr:col>3</xdr:col>
      <xdr:colOff>347382</xdr:colOff>
      <xdr:row>127</xdr:row>
      <xdr:rowOff>47760</xdr:rowOff>
    </xdr:from>
    <xdr:to>
      <xdr:col>4</xdr:col>
      <xdr:colOff>131109</xdr:colOff>
      <xdr:row>129</xdr:row>
      <xdr:rowOff>179854</xdr:rowOff>
    </xdr:to>
    <xdr:pic>
      <xdr:nvPicPr>
        <xdr:cNvPr id="170" name="Picture 169" descr="Image result">
          <a:extLst>
            <a:ext uri="{FF2B5EF4-FFF2-40B4-BE49-F238E27FC236}">
              <a16:creationId xmlns:a16="http://schemas.microsoft.com/office/drawing/2014/main" id="{00000000-0008-0000-0700-0000AA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60058" y="30908760"/>
          <a:ext cx="1408580" cy="51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600635</xdr:colOff>
      <xdr:row>127</xdr:row>
      <xdr:rowOff>43278</xdr:rowOff>
    </xdr:from>
    <xdr:to>
      <xdr:col>12</xdr:col>
      <xdr:colOff>417980</xdr:colOff>
      <xdr:row>129</xdr:row>
      <xdr:rowOff>175372</xdr:rowOff>
    </xdr:to>
    <xdr:pic>
      <xdr:nvPicPr>
        <xdr:cNvPr id="171" name="Picture 170" descr="Image result">
          <a:extLst>
            <a:ext uri="{FF2B5EF4-FFF2-40B4-BE49-F238E27FC236}">
              <a16:creationId xmlns:a16="http://schemas.microsoft.com/office/drawing/2014/main" id="{00000000-0008-0000-0700-0000AB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529047" y="30904278"/>
          <a:ext cx="1408580" cy="51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68580</xdr:colOff>
          <xdr:row>131</xdr:row>
          <xdr:rowOff>7620</xdr:rowOff>
        </xdr:from>
        <xdr:to>
          <xdr:col>2</xdr:col>
          <xdr:colOff>403860</xdr:colOff>
          <xdr:row>132</xdr:row>
          <xdr:rowOff>60960</xdr:rowOff>
        </xdr:to>
        <xdr:sp macro="" textlink="">
          <xdr:nvSpPr>
            <xdr:cNvPr id="1462" name="Drop Down 438" hidden="1">
              <a:extLst>
                <a:ext uri="{63B3BB69-23CF-44E3-9099-C40C66FF867C}">
                  <a14:compatExt spid="_x0000_s1462"/>
                </a:ext>
                <a:ext uri="{FF2B5EF4-FFF2-40B4-BE49-F238E27FC236}">
                  <a16:creationId xmlns:a16="http://schemas.microsoft.com/office/drawing/2014/main" id="{00000000-0008-0000-0700-0000B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11206</xdr:colOff>
      <xdr:row>135</xdr:row>
      <xdr:rowOff>44822</xdr:rowOff>
    </xdr:from>
    <xdr:to>
      <xdr:col>3</xdr:col>
      <xdr:colOff>605119</xdr:colOff>
      <xdr:row>137</xdr:row>
      <xdr:rowOff>163044</xdr:rowOff>
    </xdr:to>
    <xdr:pic>
      <xdr:nvPicPr>
        <xdr:cNvPr id="173" name="m_-515839457828037909Picture 1" descr="http://www.monigle.net/email_sig/centurylink/cl_logo.jpg">
          <a:extLst>
            <a:ext uri="{FF2B5EF4-FFF2-40B4-BE49-F238E27FC236}">
              <a16:creationId xmlns:a16="http://schemas.microsoft.com/office/drawing/2014/main" id="{00000000-0008-0000-0700-0000AD000000}"/>
            </a:ext>
          </a:extLst>
        </xdr:cNvPr>
        <xdr:cNvPicPr/>
      </xdr:nvPicPr>
      <xdr:blipFill>
        <a:blip xmlns:r="http://schemas.openxmlformats.org/officeDocument/2006/relationships" r:embed="rId8" r:link="rId9" cstate="print">
          <a:extLst>
            <a:ext uri="{28A0092B-C50C-407E-A947-70E740481C1C}">
              <a14:useLocalDpi xmlns:a14="http://schemas.microsoft.com/office/drawing/2010/main" val="0"/>
            </a:ext>
          </a:extLst>
        </a:blip>
        <a:srcRect/>
        <a:stretch>
          <a:fillRect/>
        </a:stretch>
      </xdr:blipFill>
      <xdr:spPr bwMode="auto">
        <a:xfrm>
          <a:off x="1479177" y="32485851"/>
          <a:ext cx="1938618" cy="409575"/>
        </a:xfrm>
        <a:prstGeom prst="rect">
          <a:avLst/>
        </a:prstGeom>
        <a:noFill/>
        <a:ln>
          <a:noFill/>
        </a:ln>
      </xdr:spPr>
    </xdr:pic>
    <xdr:clientData/>
  </xdr:twoCellAnchor>
  <xdr:twoCellAnchor editAs="oneCell">
    <xdr:from>
      <xdr:col>4</xdr:col>
      <xdr:colOff>134470</xdr:colOff>
      <xdr:row>134</xdr:row>
      <xdr:rowOff>82474</xdr:rowOff>
    </xdr:from>
    <xdr:to>
      <xdr:col>5</xdr:col>
      <xdr:colOff>246528</xdr:colOff>
      <xdr:row>137</xdr:row>
      <xdr:rowOff>56028</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71999" y="32333003"/>
          <a:ext cx="1423147" cy="455407"/>
        </a:xfrm>
        <a:prstGeom prst="rect">
          <a:avLst/>
        </a:prstGeom>
      </xdr:spPr>
    </xdr:pic>
    <xdr:clientData/>
  </xdr:twoCellAnchor>
  <xdr:twoCellAnchor editAs="oneCell">
    <xdr:from>
      <xdr:col>9</xdr:col>
      <xdr:colOff>78442</xdr:colOff>
      <xdr:row>135</xdr:row>
      <xdr:rowOff>63201</xdr:rowOff>
    </xdr:from>
    <xdr:to>
      <xdr:col>11</xdr:col>
      <xdr:colOff>33619</xdr:colOff>
      <xdr:row>137</xdr:row>
      <xdr:rowOff>181423</xdr:rowOff>
    </xdr:to>
    <xdr:pic>
      <xdr:nvPicPr>
        <xdr:cNvPr id="178" name="m_-515839457828037909Picture 1" descr="http://www.monigle.net/email_sig/centurylink/cl_logo.jpg">
          <a:extLst>
            <a:ext uri="{FF2B5EF4-FFF2-40B4-BE49-F238E27FC236}">
              <a16:creationId xmlns:a16="http://schemas.microsoft.com/office/drawing/2014/main" id="{00000000-0008-0000-0700-0000B2000000}"/>
            </a:ext>
          </a:extLst>
        </xdr:cNvPr>
        <xdr:cNvPicPr/>
      </xdr:nvPicPr>
      <xdr:blipFill>
        <a:blip xmlns:r="http://schemas.openxmlformats.org/officeDocument/2006/relationships" r:embed="rId11" r:link="rId9">
          <a:extLst>
            <a:ext uri="{28A0092B-C50C-407E-A947-70E740481C1C}">
              <a14:useLocalDpi xmlns:a14="http://schemas.microsoft.com/office/drawing/2010/main" val="0"/>
            </a:ext>
          </a:extLst>
        </a:blip>
        <a:srcRect/>
        <a:stretch>
          <a:fillRect/>
        </a:stretch>
      </xdr:blipFill>
      <xdr:spPr bwMode="auto">
        <a:xfrm>
          <a:off x="9300883" y="32504230"/>
          <a:ext cx="1938618" cy="409575"/>
        </a:xfrm>
        <a:prstGeom prst="rect">
          <a:avLst/>
        </a:prstGeom>
        <a:noFill/>
        <a:ln>
          <a:noFill/>
        </a:ln>
      </xdr:spPr>
    </xdr:pic>
    <xdr:clientData/>
  </xdr:twoCellAnchor>
  <xdr:twoCellAnchor editAs="oneCell">
    <xdr:from>
      <xdr:col>12</xdr:col>
      <xdr:colOff>661146</xdr:colOff>
      <xdr:row>134</xdr:row>
      <xdr:rowOff>100853</xdr:rowOff>
    </xdr:from>
    <xdr:to>
      <xdr:col>13</xdr:col>
      <xdr:colOff>1008528</xdr:colOff>
      <xdr:row>137</xdr:row>
      <xdr:rowOff>74407</xdr:rowOff>
    </xdr:to>
    <xdr:pic>
      <xdr:nvPicPr>
        <xdr:cNvPr id="179" name="Picture 178">
          <a:extLst>
            <a:ext uri="{FF2B5EF4-FFF2-40B4-BE49-F238E27FC236}">
              <a16:creationId xmlns:a16="http://schemas.microsoft.com/office/drawing/2014/main" id="{00000000-0008-0000-0700-0000B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93705" y="32351382"/>
          <a:ext cx="1423147" cy="4554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144780</xdr:colOff>
          <xdr:row>138</xdr:row>
          <xdr:rowOff>45720</xdr:rowOff>
        </xdr:from>
        <xdr:to>
          <xdr:col>3</xdr:col>
          <xdr:colOff>297180</xdr:colOff>
          <xdr:row>139</xdr:row>
          <xdr:rowOff>114300</xdr:rowOff>
        </xdr:to>
        <xdr:sp macro="" textlink="">
          <xdr:nvSpPr>
            <xdr:cNvPr id="1466" name="Drop Down 442" hidden="1">
              <a:extLst>
                <a:ext uri="{63B3BB69-23CF-44E3-9099-C40C66FF867C}">
                  <a14:compatExt spid="_x0000_s1466"/>
                </a:ext>
                <a:ext uri="{FF2B5EF4-FFF2-40B4-BE49-F238E27FC236}">
                  <a16:creationId xmlns:a16="http://schemas.microsoft.com/office/drawing/2014/main" id="{00000000-0008-0000-0700-0000B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138</xdr:row>
          <xdr:rowOff>38100</xdr:rowOff>
        </xdr:from>
        <xdr:to>
          <xdr:col>2</xdr:col>
          <xdr:colOff>38100</xdr:colOff>
          <xdr:row>139</xdr:row>
          <xdr:rowOff>121920</xdr:rowOff>
        </xdr:to>
        <xdr:sp macro="" textlink="">
          <xdr:nvSpPr>
            <xdr:cNvPr id="1471" name="Drop Down 447" hidden="1">
              <a:extLst>
                <a:ext uri="{63B3BB69-23CF-44E3-9099-C40C66FF867C}">
                  <a14:compatExt spid="_x0000_s1471"/>
                </a:ext>
                <a:ext uri="{FF2B5EF4-FFF2-40B4-BE49-F238E27FC236}">
                  <a16:creationId xmlns:a16="http://schemas.microsoft.com/office/drawing/2014/main" id="{00000000-0008-0000-0700-0000BF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121920</xdr:colOff>
          <xdr:row>140</xdr:row>
          <xdr:rowOff>99060</xdr:rowOff>
        </xdr:from>
        <xdr:to>
          <xdr:col>2</xdr:col>
          <xdr:colOff>190500</xdr:colOff>
          <xdr:row>141</xdr:row>
          <xdr:rowOff>106680</xdr:rowOff>
        </xdr:to>
        <xdr:sp macro="" textlink="">
          <xdr:nvSpPr>
            <xdr:cNvPr id="1473" name="Check Box 449" descr="Professional Installation" hidden="1">
              <a:extLst>
                <a:ext uri="{63B3BB69-23CF-44E3-9099-C40C66FF867C}">
                  <a14:compatExt spid="_x0000_s1473"/>
                </a:ext>
                <a:ext uri="{FF2B5EF4-FFF2-40B4-BE49-F238E27FC236}">
                  <a16:creationId xmlns:a16="http://schemas.microsoft.com/office/drawing/2014/main" id="{00000000-0008-0000-07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213360</xdr:colOff>
          <xdr:row>140</xdr:row>
          <xdr:rowOff>99060</xdr:rowOff>
        </xdr:from>
        <xdr:to>
          <xdr:col>3</xdr:col>
          <xdr:colOff>83820</xdr:colOff>
          <xdr:row>141</xdr:row>
          <xdr:rowOff>114300</xdr:rowOff>
        </xdr:to>
        <xdr:sp macro="" textlink="">
          <xdr:nvSpPr>
            <xdr:cNvPr id="1474" name="Check Box 450" descr="Professional Installation" hidden="1">
              <a:extLst>
                <a:ext uri="{63B3BB69-23CF-44E3-9099-C40C66FF867C}">
                  <a14:compatExt spid="_x0000_s1474"/>
                </a:ext>
                <a:ext uri="{FF2B5EF4-FFF2-40B4-BE49-F238E27FC236}">
                  <a16:creationId xmlns:a16="http://schemas.microsoft.com/office/drawing/2014/main" id="{00000000-0008-0000-07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Purchase Modem</a:t>
              </a:r>
            </a:p>
          </xdr:txBody>
        </xdr:sp>
        <xdr:clientData/>
      </xdr:twoCellAnchor>
    </mc:Choice>
    <mc:Fallback/>
  </mc:AlternateContent>
  <xdr:twoCellAnchor>
    <xdr:from>
      <xdr:col>4</xdr:col>
      <xdr:colOff>198092</xdr:colOff>
      <xdr:row>16</xdr:row>
      <xdr:rowOff>221030</xdr:rowOff>
    </xdr:from>
    <xdr:to>
      <xdr:col>5</xdr:col>
      <xdr:colOff>672353</xdr:colOff>
      <xdr:row>18</xdr:row>
      <xdr:rowOff>0</xdr:rowOff>
    </xdr:to>
    <xdr:sp macro="" textlink="">
      <xdr:nvSpPr>
        <xdr:cNvPr id="1483" name="Text Box 459">
          <a:extLst>
            <a:ext uri="{FF2B5EF4-FFF2-40B4-BE49-F238E27FC236}">
              <a16:creationId xmlns:a16="http://schemas.microsoft.com/office/drawing/2014/main" id="{00000000-0008-0000-0700-0000CB050000}"/>
            </a:ext>
          </a:extLst>
        </xdr:cNvPr>
        <xdr:cNvSpPr txBox="1">
          <a:spLocks noChangeArrowheads="1"/>
        </xdr:cNvSpPr>
      </xdr:nvSpPr>
      <xdr:spPr bwMode="auto">
        <a:xfrm>
          <a:off x="4635621" y="3918971"/>
          <a:ext cx="1785350" cy="305648"/>
        </a:xfrm>
        <a:prstGeom prst="rect">
          <a:avLst/>
        </a:prstGeom>
        <a:solidFill>
          <a:schemeClr val="accent1">
            <a:lumMod val="20000"/>
            <a:lumOff val="80000"/>
          </a:schemeClr>
        </a:solidFill>
        <a:ln w="9525">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Unlimited Phone - $19.99</a:t>
          </a:r>
        </a:p>
      </xdr:txBody>
    </xdr:sp>
    <xdr:clientData/>
  </xdr:twoCellAnchor>
  <xdr:twoCellAnchor editAs="oneCell">
    <xdr:from>
      <xdr:col>3</xdr:col>
      <xdr:colOff>112059</xdr:colOff>
      <xdr:row>18</xdr:row>
      <xdr:rowOff>134472</xdr:rowOff>
    </xdr:from>
    <xdr:to>
      <xdr:col>3</xdr:col>
      <xdr:colOff>1378325</xdr:colOff>
      <xdr:row>18</xdr:row>
      <xdr:rowOff>736652</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2"/>
        <a:stretch>
          <a:fillRect/>
        </a:stretch>
      </xdr:blipFill>
      <xdr:spPr>
        <a:xfrm>
          <a:off x="2924735" y="4852148"/>
          <a:ext cx="1266266" cy="6021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20</xdr:row>
          <xdr:rowOff>228600</xdr:rowOff>
        </xdr:from>
        <xdr:to>
          <xdr:col>2</xdr:col>
          <xdr:colOff>114300</xdr:colOff>
          <xdr:row>21</xdr:row>
          <xdr:rowOff>190500</xdr:rowOff>
        </xdr:to>
        <xdr:sp macro="" textlink="">
          <xdr:nvSpPr>
            <xdr:cNvPr id="1482" name="Drop Down 458" hidden="1">
              <a:extLst>
                <a:ext uri="{63B3BB69-23CF-44E3-9099-C40C66FF867C}">
                  <a14:compatExt spid="_x0000_s1482"/>
                </a:ext>
                <a:ext uri="{FF2B5EF4-FFF2-40B4-BE49-F238E27FC236}">
                  <a16:creationId xmlns:a16="http://schemas.microsoft.com/office/drawing/2014/main" id="{00000000-0008-0000-0700-0000C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1264920</xdr:colOff>
          <xdr:row>30</xdr:row>
          <xdr:rowOff>45720</xdr:rowOff>
        </xdr:from>
        <xdr:to>
          <xdr:col>3</xdr:col>
          <xdr:colOff>1036320</xdr:colOff>
          <xdr:row>31</xdr:row>
          <xdr:rowOff>22860</xdr:rowOff>
        </xdr:to>
        <xdr:sp macro="" textlink="">
          <xdr:nvSpPr>
            <xdr:cNvPr id="3" name="Drop Down 459" hidden="1">
              <a:extLst>
                <a:ext uri="{63B3BB69-23CF-44E3-9099-C40C66FF867C}">
                  <a14:compatExt spid="_x0000_s1483"/>
                </a:ext>
                <a:ext uri="{FF2B5EF4-FFF2-40B4-BE49-F238E27FC236}">
                  <a16:creationId xmlns:a16="http://schemas.microsoft.com/office/drawing/2014/main" id="{00000000-0008-0000-0700-0000030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23</xdr:row>
          <xdr:rowOff>22860</xdr:rowOff>
        </xdr:from>
        <xdr:to>
          <xdr:col>2</xdr:col>
          <xdr:colOff>114300</xdr:colOff>
          <xdr:row>23</xdr:row>
          <xdr:rowOff>213360</xdr:rowOff>
        </xdr:to>
        <xdr:sp macro="" textlink="">
          <xdr:nvSpPr>
            <xdr:cNvPr id="1484" name="Drop Down 460" hidden="1">
              <a:extLst>
                <a:ext uri="{63B3BB69-23CF-44E3-9099-C40C66FF867C}">
                  <a14:compatExt spid="_x0000_s1484"/>
                </a:ext>
                <a:ext uri="{FF2B5EF4-FFF2-40B4-BE49-F238E27FC236}">
                  <a16:creationId xmlns:a16="http://schemas.microsoft.com/office/drawing/2014/main" id="{00000000-0008-0000-0700-0000CC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876300</xdr:colOff>
          <xdr:row>26</xdr:row>
          <xdr:rowOff>22860</xdr:rowOff>
        </xdr:from>
        <xdr:to>
          <xdr:col>6</xdr:col>
          <xdr:colOff>182880</xdr:colOff>
          <xdr:row>26</xdr:row>
          <xdr:rowOff>228600</xdr:rowOff>
        </xdr:to>
        <xdr:sp macro="" textlink="">
          <xdr:nvSpPr>
            <xdr:cNvPr id="1488" name="Drop Down 464" hidden="1">
              <a:extLst>
                <a:ext uri="{63B3BB69-23CF-44E3-9099-C40C66FF867C}">
                  <a14:compatExt spid="_x0000_s1488"/>
                </a:ext>
                <a:ext uri="{FF2B5EF4-FFF2-40B4-BE49-F238E27FC236}">
                  <a16:creationId xmlns:a16="http://schemas.microsoft.com/office/drawing/2014/main" id="{00000000-0008-0000-0700-0000D0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1203960</xdr:colOff>
          <xdr:row>27</xdr:row>
          <xdr:rowOff>38100</xdr:rowOff>
        </xdr:from>
        <xdr:to>
          <xdr:col>6</xdr:col>
          <xdr:colOff>121920</xdr:colOff>
          <xdr:row>28</xdr:row>
          <xdr:rowOff>22860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7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$25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830580</xdr:colOff>
          <xdr:row>30</xdr:row>
          <xdr:rowOff>22860</xdr:rowOff>
        </xdr:from>
        <xdr:to>
          <xdr:col>6</xdr:col>
          <xdr:colOff>144780</xdr:colOff>
          <xdr:row>31</xdr:row>
          <xdr:rowOff>0</xdr:rowOff>
        </xdr:to>
        <xdr:sp macro="" textlink="">
          <xdr:nvSpPr>
            <xdr:cNvPr id="1490" name="Drop Down 466" hidden="1">
              <a:extLst>
                <a:ext uri="{63B3BB69-23CF-44E3-9099-C40C66FF867C}">
                  <a14:compatExt spid="_x0000_s1490"/>
                </a:ext>
                <a:ext uri="{FF2B5EF4-FFF2-40B4-BE49-F238E27FC236}">
                  <a16:creationId xmlns:a16="http://schemas.microsoft.com/office/drawing/2014/main" id="{00000000-0008-0000-0700-0000D2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1143000</xdr:colOff>
          <xdr:row>31</xdr:row>
          <xdr:rowOff>38100</xdr:rowOff>
        </xdr:from>
        <xdr:to>
          <xdr:col>5</xdr:col>
          <xdr:colOff>784860</xdr:colOff>
          <xdr:row>32</xdr:row>
          <xdr:rowOff>45720</xdr:rowOff>
        </xdr:to>
        <xdr:sp macro="" textlink="">
          <xdr:nvSpPr>
            <xdr:cNvPr id="1491" name="Check Box 467" hidden="1">
              <a:extLst>
                <a:ext uri="{63B3BB69-23CF-44E3-9099-C40C66FF867C}">
                  <a14:compatExt spid="_x0000_s1491"/>
                </a:ext>
                <a:ext uri="{FF2B5EF4-FFF2-40B4-BE49-F238E27FC236}">
                  <a16:creationId xmlns:a16="http://schemas.microsoft.com/office/drawing/2014/main" id="{00000000-0008-0000-0700-0000D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Modem/Router$10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1143000</xdr:colOff>
          <xdr:row>32</xdr:row>
          <xdr:rowOff>30480</xdr:rowOff>
        </xdr:from>
        <xdr:to>
          <xdr:col>6</xdr:col>
          <xdr:colOff>76200</xdr:colOff>
          <xdr:row>32</xdr:row>
          <xdr:rowOff>228600</xdr:rowOff>
        </xdr:to>
        <xdr:sp macro="" textlink="">
          <xdr:nvSpPr>
            <xdr:cNvPr id="1492" name="Check Box 468" hidden="1">
              <a:extLst>
                <a:ext uri="{63B3BB69-23CF-44E3-9099-C40C66FF867C}">
                  <a14:compatExt spid="_x0000_s1492"/>
                </a:ext>
                <a:ext uri="{FF2B5EF4-FFF2-40B4-BE49-F238E27FC236}">
                  <a16:creationId xmlns:a16="http://schemas.microsoft.com/office/drawing/2014/main" id="{00000000-0008-0000-0700-0000D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26</xdr:row>
          <xdr:rowOff>38100</xdr:rowOff>
        </xdr:from>
        <xdr:to>
          <xdr:col>3</xdr:col>
          <xdr:colOff>1333500</xdr:colOff>
          <xdr:row>27</xdr:row>
          <xdr:rowOff>22860</xdr:rowOff>
        </xdr:to>
        <xdr:sp macro="" textlink="">
          <xdr:nvSpPr>
            <xdr:cNvPr id="1493" name="Drop Down 469" hidden="1">
              <a:extLst>
                <a:ext uri="{63B3BB69-23CF-44E3-9099-C40C66FF867C}">
                  <a14:compatExt spid="_x0000_s1493"/>
                </a:ext>
                <a:ext uri="{FF2B5EF4-FFF2-40B4-BE49-F238E27FC236}">
                  <a16:creationId xmlns:a16="http://schemas.microsoft.com/office/drawing/2014/main" id="{00000000-0008-0000-0700-0000D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27</xdr:row>
          <xdr:rowOff>30480</xdr:rowOff>
        </xdr:from>
        <xdr:to>
          <xdr:col>3</xdr:col>
          <xdr:colOff>1127760</xdr:colOff>
          <xdr:row>28</xdr:row>
          <xdr:rowOff>22860</xdr:rowOff>
        </xdr:to>
        <xdr:sp macro="" textlink="">
          <xdr:nvSpPr>
            <xdr:cNvPr id="1494" name="Check Box 470" hidden="1">
              <a:extLst>
                <a:ext uri="{63B3BB69-23CF-44E3-9099-C40C66FF867C}">
                  <a14:compatExt spid="_x0000_s1494"/>
                </a:ext>
                <a:ext uri="{FF2B5EF4-FFF2-40B4-BE49-F238E27FC236}">
                  <a16:creationId xmlns:a16="http://schemas.microsoft.com/office/drawing/2014/main" id="{00000000-0008-0000-0700-0000D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Wifi?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27</xdr:row>
          <xdr:rowOff>220980</xdr:rowOff>
        </xdr:from>
        <xdr:to>
          <xdr:col>3</xdr:col>
          <xdr:colOff>1127760</xdr:colOff>
          <xdr:row>28</xdr:row>
          <xdr:rowOff>213360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7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Phone? 19.99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80</xdr:row>
          <xdr:rowOff>99060</xdr:rowOff>
        </xdr:from>
        <xdr:to>
          <xdr:col>2</xdr:col>
          <xdr:colOff>838200</xdr:colOff>
          <xdr:row>80</xdr:row>
          <xdr:rowOff>381000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7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Variety Pack</a:t>
              </a:r>
            </a:p>
          </xdr:txBody>
        </xdr:sp>
        <xdr:clientData/>
      </xdr:twoCellAnchor>
    </mc:Choice>
    <mc:Fallback/>
  </mc:AlternateContent>
  <xdr:twoCellAnchor editAs="oneCell">
    <xdr:from>
      <xdr:col>3</xdr:col>
      <xdr:colOff>515471</xdr:colOff>
      <xdr:row>2</xdr:row>
      <xdr:rowOff>89158</xdr:rowOff>
    </xdr:from>
    <xdr:to>
      <xdr:col>4</xdr:col>
      <xdr:colOff>246530</xdr:colOff>
      <xdr:row>2</xdr:row>
      <xdr:rowOff>659014</xdr:rowOff>
    </xdr:to>
    <xdr:pic>
      <xdr:nvPicPr>
        <xdr:cNvPr id="115" name="Picture 114" descr="AT&amp;T Reveals 2019 Price Increases for DIRECTV &amp; U-Verse Packages ...">
          <a:extLst>
            <a:ext uri="{FF2B5EF4-FFF2-40B4-BE49-F238E27FC236}">
              <a16:creationId xmlns:a16="http://schemas.microsoft.com/office/drawing/2014/main" id="{00000000-0008-0000-0700-000073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3328147" y="548599"/>
          <a:ext cx="1355912" cy="569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1287780</xdr:colOff>
          <xdr:row>31</xdr:row>
          <xdr:rowOff>68580</xdr:rowOff>
        </xdr:from>
        <xdr:to>
          <xdr:col>3</xdr:col>
          <xdr:colOff>990600</xdr:colOff>
          <xdr:row>32</xdr:row>
          <xdr:rowOff>38100</xdr:rowOff>
        </xdr:to>
        <xdr:sp macro="" textlink="">
          <xdr:nvSpPr>
            <xdr:cNvPr id="1498" name="Check Box 474" descr="Unlimited Phone - $19.99" hidden="1">
              <a:extLst>
                <a:ext uri="{63B3BB69-23CF-44E3-9099-C40C66FF867C}">
                  <a14:compatExt spid="_x0000_s1498"/>
                </a:ext>
                <a:ext uri="{FF2B5EF4-FFF2-40B4-BE49-F238E27FC236}">
                  <a16:creationId xmlns:a16="http://schemas.microsoft.com/office/drawing/2014/main" id="{00000000-0008-0000-07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35</a:t>
              </a:r>
            </a:p>
          </xdr:txBody>
        </xdr:sp>
        <xdr:clientData/>
      </xdr:twoCellAnchor>
    </mc:Choice>
    <mc:Fallback/>
  </mc:AlternateContent>
  <xdr:twoCellAnchor>
    <xdr:from>
      <xdr:col>3</xdr:col>
      <xdr:colOff>155202</xdr:colOff>
      <xdr:row>31</xdr:row>
      <xdr:rowOff>67236</xdr:rowOff>
    </xdr:from>
    <xdr:to>
      <xdr:col>4</xdr:col>
      <xdr:colOff>315699</xdr:colOff>
      <xdr:row>32</xdr:row>
      <xdr:rowOff>22412</xdr:rowOff>
    </xdr:to>
    <xdr:sp macro="" textlink="">
      <xdr:nvSpPr>
        <xdr:cNvPr id="113" name="Text Box 459">
          <a:extLst>
            <a:ext uri="{FF2B5EF4-FFF2-40B4-BE49-F238E27FC236}">
              <a16:creationId xmlns:a16="http://schemas.microsoft.com/office/drawing/2014/main" id="{00000000-0008-0000-0700-000071000000}"/>
            </a:ext>
          </a:extLst>
        </xdr:cNvPr>
        <xdr:cNvSpPr txBox="1">
          <a:spLocks noChangeArrowheads="1"/>
        </xdr:cNvSpPr>
      </xdr:nvSpPr>
      <xdr:spPr bwMode="auto">
        <a:xfrm>
          <a:off x="2967878" y="8527677"/>
          <a:ext cx="1785350" cy="190500"/>
        </a:xfrm>
        <a:prstGeom prst="rect">
          <a:avLst/>
        </a:prstGeom>
        <a:solidFill>
          <a:schemeClr val="accent1">
            <a:lumMod val="20000"/>
            <a:lumOff val="80000"/>
          </a:schemeClr>
        </a:solidFill>
        <a:ln w="9525">
          <a:no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000000"/>
              </a:solidFill>
              <a:latin typeface="Calibri"/>
              <a:cs typeface="Calibri"/>
            </a:rPr>
            <a:t>Unlimited Phone - $19.99</a:t>
          </a:r>
        </a:p>
      </xdr:txBody>
    </xdr:sp>
    <xdr:clientData/>
  </xdr:twoCellAnchor>
  <mc:AlternateContent xmlns:mc="http://schemas.openxmlformats.org/markup-compatibility/2006">
    <mc:Choice xmlns:a14="http://schemas.microsoft.com/office/drawing/2010/main" Requires="a14">
      <xdr:twoCellAnchor editAs="oneCell">
        <xdr:from>
          <xdr:col>8</xdr:col>
          <xdr:colOff>982980</xdr:colOff>
          <xdr:row>16</xdr:row>
          <xdr:rowOff>106680</xdr:rowOff>
        </xdr:from>
        <xdr:to>
          <xdr:col>9</xdr:col>
          <xdr:colOff>746760</xdr:colOff>
          <xdr:row>16</xdr:row>
          <xdr:rowOff>335280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7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Netflix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571500</xdr:colOff>
          <xdr:row>16</xdr:row>
          <xdr:rowOff>106680</xdr:rowOff>
        </xdr:from>
        <xdr:to>
          <xdr:col>10</xdr:col>
          <xdr:colOff>144780</xdr:colOff>
          <xdr:row>17</xdr:row>
          <xdr:rowOff>22860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7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Disney+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106680</xdr:colOff>
          <xdr:row>16</xdr:row>
          <xdr:rowOff>114300</xdr:rowOff>
        </xdr:from>
        <xdr:to>
          <xdr:col>11</xdr:col>
          <xdr:colOff>182880</xdr:colOff>
          <xdr:row>17</xdr:row>
          <xdr:rowOff>7620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7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Amazon Prime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182880</xdr:colOff>
          <xdr:row>16</xdr:row>
          <xdr:rowOff>106680</xdr:rowOff>
        </xdr:from>
        <xdr:to>
          <xdr:col>12</xdr:col>
          <xdr:colOff>198120</xdr:colOff>
          <xdr:row>17</xdr:row>
          <xdr:rowOff>38100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7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Hulu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678180</xdr:colOff>
          <xdr:row>16</xdr:row>
          <xdr:rowOff>60960</xdr:rowOff>
        </xdr:from>
        <xdr:to>
          <xdr:col>12</xdr:col>
          <xdr:colOff>685800</xdr:colOff>
          <xdr:row>17</xdr:row>
          <xdr:rowOff>99060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7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K" sz="800" b="0" i="0" u="none" strike="noStrike" baseline="0">
                  <a:solidFill>
                    <a:srgbClr val="000000"/>
                  </a:solidFill>
                  <a:latin typeface="Segoe UI"/>
                  <a:cs typeface="Segoe UI"/>
                </a:rPr>
                <a:t>Hulu Live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609600</xdr:colOff>
          <xdr:row>16</xdr:row>
          <xdr:rowOff>99060</xdr:rowOff>
        </xdr:from>
        <xdr:to>
          <xdr:col>13</xdr:col>
          <xdr:colOff>769620</xdr:colOff>
          <xdr:row>17</xdr:row>
          <xdr:rowOff>45720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7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K" sz="800" b="0" i="0" u="none" strike="noStrike" baseline="0">
                  <a:solidFill>
                    <a:srgbClr val="000000"/>
                  </a:solidFill>
                  <a:latin typeface="Segoe UI"/>
                  <a:cs typeface="Segoe UI"/>
                </a:rPr>
                <a:t>Youtube TV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365760</xdr:colOff>
          <xdr:row>16</xdr:row>
          <xdr:rowOff>137160</xdr:rowOff>
        </xdr:from>
        <xdr:to>
          <xdr:col>13</xdr:col>
          <xdr:colOff>1059180</xdr:colOff>
          <xdr:row>17</xdr:row>
          <xdr:rowOff>22860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7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K" sz="800" b="0" i="0" u="none" strike="noStrike" baseline="0">
                  <a:solidFill>
                    <a:srgbClr val="000000"/>
                  </a:solidFill>
                  <a:latin typeface="Segoe UI"/>
                  <a:cs typeface="Segoe UI"/>
                </a:rPr>
                <a:t>Sling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845820</xdr:colOff>
          <xdr:row>16</xdr:row>
          <xdr:rowOff>144780</xdr:rowOff>
        </xdr:from>
        <xdr:to>
          <xdr:col>13</xdr:col>
          <xdr:colOff>1866900</xdr:colOff>
          <xdr:row>16</xdr:row>
          <xdr:rowOff>335280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7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K" sz="800" b="0" i="0" u="none" strike="noStrike" baseline="0">
                  <a:solidFill>
                    <a:srgbClr val="000000"/>
                  </a:solidFill>
                  <a:latin typeface="Segoe UI"/>
                  <a:cs typeface="Segoe UI"/>
                </a:rPr>
                <a:t>Prime Video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xdr:colOff>
          <xdr:row>60</xdr:row>
          <xdr:rowOff>68580</xdr:rowOff>
        </xdr:from>
        <xdr:to>
          <xdr:col>3</xdr:col>
          <xdr:colOff>822960</xdr:colOff>
          <xdr:row>61</xdr:row>
          <xdr:rowOff>106680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7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DVR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xdr:colOff>
          <xdr:row>85</xdr:row>
          <xdr:rowOff>198120</xdr:rowOff>
        </xdr:from>
        <xdr:to>
          <xdr:col>2</xdr:col>
          <xdr:colOff>7620</xdr:colOff>
          <xdr:row>87</xdr:row>
          <xdr:rowOff>60960</xdr:rowOff>
        </xdr:to>
        <xdr:sp macro="" textlink="">
          <xdr:nvSpPr>
            <xdr:cNvPr id="1511" name="Drop Down 487" hidden="1">
              <a:extLst>
                <a:ext uri="{63B3BB69-23CF-44E3-9099-C40C66FF867C}">
                  <a14:compatExt spid="_x0000_s1511"/>
                </a:ext>
                <a:ext uri="{FF2B5EF4-FFF2-40B4-BE49-F238E27FC236}">
                  <a16:creationId xmlns:a16="http://schemas.microsoft.com/office/drawing/2014/main" id="{00000000-0008-0000-0700-0000E7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89</xdr:row>
          <xdr:rowOff>0</xdr:rowOff>
        </xdr:from>
        <xdr:to>
          <xdr:col>1</xdr:col>
          <xdr:colOff>1097280</xdr:colOff>
          <xdr:row>89</xdr:row>
          <xdr:rowOff>251460</xdr:rowOff>
        </xdr:to>
        <xdr:sp macro="" textlink="">
          <xdr:nvSpPr>
            <xdr:cNvPr id="1513" name="Drop Down 489" hidden="1">
              <a:extLst>
                <a:ext uri="{63B3BB69-23CF-44E3-9099-C40C66FF867C}">
                  <a14:compatExt spid="_x0000_s1513"/>
                </a:ext>
                <a:ext uri="{FF2B5EF4-FFF2-40B4-BE49-F238E27FC236}">
                  <a16:creationId xmlns:a16="http://schemas.microsoft.com/office/drawing/2014/main" id="{00000000-0008-0000-0700-0000E9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83</xdr:row>
          <xdr:rowOff>7620</xdr:rowOff>
        </xdr:from>
        <xdr:to>
          <xdr:col>1</xdr:col>
          <xdr:colOff>1127760</xdr:colOff>
          <xdr:row>84</xdr:row>
          <xdr:rowOff>106680</xdr:rowOff>
        </xdr:to>
        <xdr:sp macro="" textlink="">
          <xdr:nvSpPr>
            <xdr:cNvPr id="1514" name="Drop Down 490" hidden="1">
              <a:extLst>
                <a:ext uri="{63B3BB69-23CF-44E3-9099-C40C66FF867C}">
                  <a14:compatExt spid="_x0000_s1514"/>
                </a:ext>
                <a:ext uri="{FF2B5EF4-FFF2-40B4-BE49-F238E27FC236}">
                  <a16:creationId xmlns:a16="http://schemas.microsoft.com/office/drawing/2014/main" id="{00000000-0008-0000-0700-0000EA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160020</xdr:colOff>
          <xdr:row>86</xdr:row>
          <xdr:rowOff>7620</xdr:rowOff>
        </xdr:from>
        <xdr:to>
          <xdr:col>2</xdr:col>
          <xdr:colOff>1028700</xdr:colOff>
          <xdr:row>88</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7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Modem/WiFi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88</xdr:row>
          <xdr:rowOff>22860</xdr:rowOff>
        </xdr:from>
        <xdr:to>
          <xdr:col>2</xdr:col>
          <xdr:colOff>975360</xdr:colOff>
          <xdr:row>89</xdr:row>
          <xdr:rowOff>83820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7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HBO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89</xdr:row>
          <xdr:rowOff>76200</xdr:rowOff>
        </xdr:from>
        <xdr:to>
          <xdr:col>2</xdr:col>
          <xdr:colOff>944880</xdr:colOff>
          <xdr:row>90</xdr:row>
          <xdr:rowOff>7620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7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Starz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89</xdr:row>
          <xdr:rowOff>83820</xdr:rowOff>
        </xdr:from>
        <xdr:to>
          <xdr:col>3</xdr:col>
          <xdr:colOff>876300</xdr:colOff>
          <xdr:row>90</xdr:row>
          <xdr:rowOff>38100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7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Movie Tier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83820</xdr:colOff>
          <xdr:row>91</xdr:row>
          <xdr:rowOff>38100</xdr:rowOff>
        </xdr:from>
        <xdr:to>
          <xdr:col>3</xdr:col>
          <xdr:colOff>883920</xdr:colOff>
          <xdr:row>92</xdr:row>
          <xdr:rowOff>121920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7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Sports Tier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90</xdr:row>
          <xdr:rowOff>152400</xdr:rowOff>
        </xdr:from>
        <xdr:to>
          <xdr:col>2</xdr:col>
          <xdr:colOff>944880</xdr:colOff>
          <xdr:row>92</xdr:row>
          <xdr:rowOff>60960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7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Cinemax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182880</xdr:colOff>
          <xdr:row>89</xdr:row>
          <xdr:rowOff>274320</xdr:rowOff>
        </xdr:from>
        <xdr:to>
          <xdr:col>2</xdr:col>
          <xdr:colOff>944880</xdr:colOff>
          <xdr:row>91</xdr:row>
          <xdr:rowOff>30480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7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Showtime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83820</xdr:colOff>
          <xdr:row>90</xdr:row>
          <xdr:rowOff>22860</xdr:rowOff>
        </xdr:from>
        <xdr:to>
          <xdr:col>3</xdr:col>
          <xdr:colOff>845820</xdr:colOff>
          <xdr:row>91</xdr:row>
          <xdr:rowOff>68580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7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PK" sz="800" b="0" i="0" u="none" strike="noStrike" baseline="0">
                  <a:solidFill>
                    <a:srgbClr val="000000"/>
                  </a:solidFill>
                  <a:latin typeface="Tahoma"/>
                  <a:ea typeface="Tahoma"/>
                  <a:cs typeface="Tahoma"/>
                </a:rPr>
                <a:t>Family Tier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792480</xdr:colOff>
          <xdr:row>82</xdr:row>
          <xdr:rowOff>190500</xdr:rowOff>
        </xdr:from>
        <xdr:to>
          <xdr:col>4</xdr:col>
          <xdr:colOff>403860</xdr:colOff>
          <xdr:row>84</xdr:row>
          <xdr:rowOff>22860</xdr:rowOff>
        </xdr:to>
        <xdr:sp macro="" textlink="">
          <xdr:nvSpPr>
            <xdr:cNvPr id="1525" name="Drop Down 501" hidden="1">
              <a:extLst>
                <a:ext uri="{63B3BB69-23CF-44E3-9099-C40C66FF867C}">
                  <a14:compatExt spid="_x0000_s1525"/>
                </a:ext>
                <a:ext uri="{FF2B5EF4-FFF2-40B4-BE49-F238E27FC236}">
                  <a16:creationId xmlns:a16="http://schemas.microsoft.com/office/drawing/2014/main" id="{00000000-0008-0000-0700-0000F5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83</xdr:row>
          <xdr:rowOff>7620</xdr:rowOff>
        </xdr:from>
        <xdr:to>
          <xdr:col>3</xdr:col>
          <xdr:colOff>175260</xdr:colOff>
          <xdr:row>84</xdr:row>
          <xdr:rowOff>45720</xdr:rowOff>
        </xdr:to>
        <xdr:sp macro="" textlink="">
          <xdr:nvSpPr>
            <xdr:cNvPr id="1526" name="Drop Down 502" hidden="1">
              <a:extLst>
                <a:ext uri="{63B3BB69-23CF-44E3-9099-C40C66FF867C}">
                  <a14:compatExt spid="_x0000_s1526"/>
                </a:ext>
                <a:ext uri="{FF2B5EF4-FFF2-40B4-BE49-F238E27FC236}">
                  <a16:creationId xmlns:a16="http://schemas.microsoft.com/office/drawing/2014/main" id="{00000000-0008-0000-0700-0000F60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7</xdr:row>
      <xdr:rowOff>95250</xdr:rowOff>
    </xdr:from>
    <xdr:to>
      <xdr:col>12</xdr:col>
      <xdr:colOff>8790</xdr:colOff>
      <xdr:row>24</xdr:row>
      <xdr:rowOff>85319</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1447800" y="1428750"/>
          <a:ext cx="5876190" cy="3247619"/>
        </a:xfrm>
        <a:prstGeom prst="rect">
          <a:avLst/>
        </a:prstGeom>
        <a:ln>
          <a:solidFill>
            <a:schemeClr val="tx1"/>
          </a:solidFill>
        </a:ln>
      </xdr:spPr>
    </xdr:pic>
    <xdr:clientData/>
  </xdr:twoCellAnchor>
  <xdr:twoCellAnchor editAs="oneCell">
    <xdr:from>
      <xdr:col>1</xdr:col>
      <xdr:colOff>542925</xdr:colOff>
      <xdr:row>27</xdr:row>
      <xdr:rowOff>142875</xdr:rowOff>
    </xdr:from>
    <xdr:to>
      <xdr:col>12</xdr:col>
      <xdr:colOff>389706</xdr:colOff>
      <xdr:row>44</xdr:row>
      <xdr:rowOff>75801</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2"/>
        <a:stretch>
          <a:fillRect/>
        </a:stretch>
      </xdr:blipFill>
      <xdr:spPr>
        <a:xfrm>
          <a:off x="1152525" y="5286375"/>
          <a:ext cx="6552381" cy="3190476"/>
        </a:xfrm>
        <a:prstGeom prst="rect">
          <a:avLst/>
        </a:prstGeom>
        <a:ln>
          <a:solidFill>
            <a:schemeClr val="tx1"/>
          </a:solidFill>
        </a:ln>
        <a:effectLst>
          <a:glow>
            <a:schemeClr val="accent1">
              <a:alpha val="40000"/>
            </a:schemeClr>
          </a:glow>
          <a:softEdge rad="0"/>
        </a:effectLst>
      </xdr:spPr>
    </xdr:pic>
    <xdr:clientData/>
  </xdr:twoCellAnchor>
  <xdr:twoCellAnchor editAs="oneCell">
    <xdr:from>
      <xdr:col>16</xdr:col>
      <xdr:colOff>180975</xdr:colOff>
      <xdr:row>35</xdr:row>
      <xdr:rowOff>34463</xdr:rowOff>
    </xdr:from>
    <xdr:to>
      <xdr:col>24</xdr:col>
      <xdr:colOff>28575</xdr:colOff>
      <xdr:row>45</xdr:row>
      <xdr:rowOff>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3"/>
        <a:stretch>
          <a:fillRect/>
        </a:stretch>
      </xdr:blipFill>
      <xdr:spPr>
        <a:xfrm>
          <a:off x="9934575" y="6730538"/>
          <a:ext cx="4724400" cy="1870537"/>
        </a:xfrm>
        <a:prstGeom prst="rect">
          <a:avLst/>
        </a:prstGeom>
      </xdr:spPr>
    </xdr:pic>
    <xdr:clientData/>
  </xdr:twoCellAnchor>
  <xdr:twoCellAnchor editAs="oneCell">
    <xdr:from>
      <xdr:col>14</xdr:col>
      <xdr:colOff>190500</xdr:colOff>
      <xdr:row>21</xdr:row>
      <xdr:rowOff>66675</xdr:rowOff>
    </xdr:from>
    <xdr:to>
      <xdr:col>19</xdr:col>
      <xdr:colOff>583988</xdr:colOff>
      <xdr:row>33</xdr:row>
      <xdr:rowOff>76200</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4"/>
        <a:stretch>
          <a:fillRect/>
        </a:stretch>
      </xdr:blipFill>
      <xdr:spPr>
        <a:xfrm>
          <a:off x="8724900" y="4086225"/>
          <a:ext cx="3441488" cy="2305050"/>
        </a:xfrm>
        <a:prstGeom prst="rect">
          <a:avLst/>
        </a:prstGeom>
      </xdr:spPr>
    </xdr:pic>
    <xdr:clientData/>
  </xdr:twoCellAnchor>
  <xdr:twoCellAnchor editAs="oneCell">
    <xdr:from>
      <xdr:col>19</xdr:col>
      <xdr:colOff>580347</xdr:colOff>
      <xdr:row>21</xdr:row>
      <xdr:rowOff>64350</xdr:rowOff>
    </xdr:from>
    <xdr:to>
      <xdr:col>25</xdr:col>
      <xdr:colOff>400051</xdr:colOff>
      <xdr:row>33</xdr:row>
      <xdr:rowOff>76201</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5"/>
        <a:stretch>
          <a:fillRect/>
        </a:stretch>
      </xdr:blipFill>
      <xdr:spPr>
        <a:xfrm>
          <a:off x="12162747" y="4083900"/>
          <a:ext cx="3477304" cy="2307376"/>
        </a:xfrm>
        <a:prstGeom prst="rect">
          <a:avLst/>
        </a:prstGeom>
      </xdr:spPr>
    </xdr:pic>
    <xdr:clientData/>
  </xdr:twoCellAnchor>
  <xdr:twoCellAnchor editAs="oneCell">
    <xdr:from>
      <xdr:col>14</xdr:col>
      <xdr:colOff>76201</xdr:colOff>
      <xdr:row>4</xdr:row>
      <xdr:rowOff>47625</xdr:rowOff>
    </xdr:from>
    <xdr:to>
      <xdr:col>25</xdr:col>
      <xdr:colOff>465529</xdr:colOff>
      <xdr:row>19</xdr:row>
      <xdr:rowOff>152400</xdr:rowOff>
    </xdr:to>
    <xdr:pic>
      <xdr:nvPicPr>
        <xdr:cNvPr id="10" name="Picture 9">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6"/>
        <a:stretch>
          <a:fillRect/>
        </a:stretch>
      </xdr:blipFill>
      <xdr:spPr>
        <a:xfrm>
          <a:off x="8610601" y="819150"/>
          <a:ext cx="7094928" cy="297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149678</xdr:colOff>
      <xdr:row>46</xdr:row>
      <xdr:rowOff>27216</xdr:rowOff>
    </xdr:from>
    <xdr:ext cx="2558143" cy="3429000"/>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11375571" y="11198680"/>
          <a:ext cx="2558143" cy="3429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latin typeface="+mn-lt"/>
            </a:rPr>
            <a:t>- All of Texas</a:t>
          </a:r>
        </a:p>
        <a:p>
          <a:r>
            <a:rPr lang="en-US" sz="1800">
              <a:latin typeface="+mn-lt"/>
            </a:rPr>
            <a:t>- New Orleans </a:t>
          </a:r>
        </a:p>
        <a:p>
          <a:r>
            <a:rPr lang="en-US" sz="1800">
              <a:latin typeface="+mn-lt"/>
            </a:rPr>
            <a:t>-</a:t>
          </a:r>
          <a:r>
            <a:rPr lang="en-US" sz="1800" baseline="0">
              <a:latin typeface="+mn-lt"/>
            </a:rPr>
            <a:t> Indianapolis</a:t>
          </a:r>
        </a:p>
        <a:p>
          <a:r>
            <a:rPr lang="en-US" sz="1800" baseline="0">
              <a:latin typeface="+mn-lt"/>
            </a:rPr>
            <a:t>- Chicago</a:t>
          </a:r>
        </a:p>
        <a:p>
          <a:r>
            <a:rPr lang="en-US" sz="1800" baseline="0">
              <a:latin typeface="+mn-lt"/>
            </a:rPr>
            <a:t>- Columbus</a:t>
          </a:r>
        </a:p>
        <a:p>
          <a:r>
            <a:rPr lang="en-US" sz="1800" baseline="0">
              <a:latin typeface="+mn-lt"/>
            </a:rPr>
            <a:t>- Cincinnati </a:t>
          </a:r>
        </a:p>
        <a:p>
          <a:r>
            <a:rPr lang="en-US" sz="1800" baseline="0">
              <a:latin typeface="+mn-lt"/>
            </a:rPr>
            <a:t>- Baltimore</a:t>
          </a:r>
        </a:p>
        <a:p>
          <a:r>
            <a:rPr lang="en-US" sz="1800" baseline="0">
              <a:latin typeface="+mn-lt"/>
            </a:rPr>
            <a:t>- Washington D.C.</a:t>
          </a:r>
        </a:p>
        <a:p>
          <a:r>
            <a:rPr lang="en-US" sz="1800" baseline="0">
              <a:latin typeface="+mn-lt"/>
            </a:rPr>
            <a:t>- Montgomery, Alabama</a:t>
          </a:r>
        </a:p>
        <a:p>
          <a:r>
            <a:rPr lang="en-US" sz="1800" baseline="0">
              <a:latin typeface="+mn-lt"/>
            </a:rPr>
            <a:t>- Kansas City</a:t>
          </a:r>
        </a:p>
        <a:p>
          <a:endParaRPr lang="en-US" sz="1400" baseline="0">
            <a:latin typeface="+mn-lt"/>
          </a:endParaRPr>
        </a:p>
      </xdr:txBody>
    </xdr:sp>
    <xdr:clientData/>
  </xdr:oneCellAnchor>
  <xdr:twoCellAnchor>
    <xdr:from>
      <xdr:col>8</xdr:col>
      <xdr:colOff>503464</xdr:colOff>
      <xdr:row>46</xdr:row>
      <xdr:rowOff>13608</xdr:rowOff>
    </xdr:from>
    <xdr:to>
      <xdr:col>11</xdr:col>
      <xdr:colOff>707571</xdr:colOff>
      <xdr:row>54</xdr:row>
      <xdr:rowOff>1</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14682107" y="11185072"/>
          <a:ext cx="2762250" cy="3224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 Detroit</a:t>
          </a:r>
        </a:p>
        <a:p>
          <a:r>
            <a:rPr lang="en-US" sz="1800"/>
            <a:t>- New Jersey (all of state)</a:t>
          </a:r>
        </a:p>
        <a:p>
          <a:r>
            <a:rPr lang="en-US" sz="1800"/>
            <a:t>-</a:t>
          </a:r>
          <a:r>
            <a:rPr lang="en-US" sz="1800" baseline="0"/>
            <a:t> Philadelphia</a:t>
          </a:r>
        </a:p>
        <a:p>
          <a:r>
            <a:rPr lang="en-US" sz="1800" baseline="0"/>
            <a:t>- Oklahoma City</a:t>
          </a:r>
        </a:p>
        <a:p>
          <a:r>
            <a:rPr lang="en-US" sz="1800" baseline="0">
              <a:solidFill>
                <a:schemeClr val="dk1"/>
              </a:solidFill>
              <a:effectLst/>
              <a:latin typeface="+mn-lt"/>
              <a:ea typeface="+mn-ea"/>
              <a:cs typeface="+mn-cs"/>
            </a:rPr>
            <a:t>- Los Angeles</a:t>
          </a:r>
          <a:endParaRPr lang="en-US" sz="2400">
            <a:effectLst/>
          </a:endParaRPr>
        </a:p>
        <a:p>
          <a:r>
            <a:rPr lang="en-US" sz="1800" baseline="0">
              <a:solidFill>
                <a:schemeClr val="dk1"/>
              </a:solidFill>
              <a:effectLst/>
              <a:latin typeface="+mn-lt"/>
              <a:ea typeface="+mn-ea"/>
              <a:cs typeface="+mn-cs"/>
            </a:rPr>
            <a:t>- Phoenix</a:t>
          </a:r>
          <a:endParaRPr lang="en-US" sz="2400">
            <a:effectLst/>
          </a:endParaRPr>
        </a:p>
        <a:p>
          <a:r>
            <a:rPr lang="en-US" sz="1800" baseline="0">
              <a:solidFill>
                <a:schemeClr val="dk1"/>
              </a:solidFill>
              <a:effectLst/>
              <a:latin typeface="+mn-lt"/>
              <a:ea typeface="+mn-ea"/>
              <a:cs typeface="+mn-cs"/>
            </a:rPr>
            <a:t>- Atlanta</a:t>
          </a:r>
          <a:endParaRPr lang="en-US" sz="2400">
            <a:effectLst/>
          </a:endParaRPr>
        </a:p>
        <a:p>
          <a:r>
            <a:rPr lang="en-US" sz="1800" baseline="0">
              <a:solidFill>
                <a:schemeClr val="dk1"/>
              </a:solidFill>
              <a:effectLst/>
              <a:latin typeface="+mn-lt"/>
              <a:ea typeface="+mn-ea"/>
              <a:cs typeface="+mn-cs"/>
            </a:rPr>
            <a:t>- Florida (no Florida Keys)</a:t>
          </a:r>
          <a:endParaRPr lang="en-US" sz="2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800" baseline="0">
              <a:solidFill>
                <a:schemeClr val="dk1"/>
              </a:solidFill>
              <a:effectLst/>
              <a:latin typeface="+mn-lt"/>
              <a:ea typeface="+mn-ea"/>
              <a:cs typeface="+mn-cs"/>
            </a:rPr>
            <a:t>- St. Louis</a:t>
          </a:r>
          <a:endParaRPr lang="en-US" sz="2400">
            <a:effectLst/>
          </a:endParaRPr>
        </a:p>
        <a:p>
          <a:endParaRPr lang="en-US" sz="14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0000000}" name="Verizon_TV52" displayName="Verizon_TV52" ref="B23:F28" totalsRowShown="0" tableBorderDxfId="162">
  <autoFilter ref="B23:F28" xr:uid="{00000000-0009-0000-0100-000033000000}"/>
  <tableColumns count="5">
    <tableColumn id="1" xr3:uid="{00000000-0010-0000-0000-000001000000}" name="Package #"/>
    <tableColumn id="2" xr3:uid="{00000000-0010-0000-0000-000002000000}" name="Package"/>
    <tableColumn id="3" xr3:uid="{00000000-0010-0000-0000-000003000000}" name="Price"/>
    <tableColumn id="4" xr3:uid="{00000000-0010-0000-0000-000004000000}" name="Plus Phone"/>
    <tableColumn id="5" xr3:uid="{00000000-0010-0000-0000-000005000000}" name="Plus Phone Yr 2"/>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09000000}" name="Verizon_TV102694" displayName="Verizon_TV102694" ref="A107:E111" totalsRowShown="0">
  <autoFilter ref="A107:E111" xr:uid="{00000000-0009-0000-0100-00005D000000}"/>
  <tableColumns count="5">
    <tableColumn id="1" xr3:uid="{00000000-0010-0000-0900-000001000000}" name="Package #"/>
    <tableColumn id="2" xr3:uid="{00000000-0010-0000-0900-000002000000}" name="Package"/>
    <tableColumn id="3" xr3:uid="{00000000-0010-0000-0900-000003000000}" name="Price"/>
    <tableColumn id="4" xr3:uid="{00000000-0010-0000-0900-000004000000}" name="Plus Phone"/>
    <tableColumn id="5" xr3:uid="{00000000-0010-0000-0900-000005000000}" name="Plus Phone Yr 2"/>
  </tableColumns>
  <tableStyleInfo name="TableStyleMedium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72000000}" name="Table862" displayName="Table862" ref="H42:K49" totalsRowShown="0" headerRowDxfId="12" headerRowBorderDxfId="11" tableBorderDxfId="10" totalsRowBorderDxfId="9">
  <autoFilter ref="H42:K49" xr:uid="{00000000-0009-0000-0100-00003D000000}"/>
  <tableColumns count="4">
    <tableColumn id="1" xr3:uid="{00000000-0010-0000-7200-000001000000}" name="One Time" dataDxfId="8"/>
    <tableColumn id="2" xr3:uid="{00000000-0010-0000-7200-000002000000}" name="months 1-12" dataDxfId="7"/>
    <tableColumn id="3" xr3:uid="{00000000-0010-0000-7200-000003000000}" name="months 13-14" dataDxfId="6"/>
    <tableColumn id="4" xr3:uid="{00000000-0010-0000-7200-000004000000}" name="Checked?"/>
  </tableColumns>
  <tableStyleInfo name="TableStyleMedium9"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73000000}" name="Table64" displayName="Table64" ref="A57:B62" totalsRowShown="0" headerRowDxfId="5" headerRowBorderDxfId="4" tableBorderDxfId="3" totalsRowBorderDxfId="2">
  <autoFilter ref="A57:B62" xr:uid="{00000000-0009-0000-0100-000040000000}"/>
  <tableColumns count="2">
    <tableColumn id="1" xr3:uid="{00000000-0010-0000-7300-000001000000}" name="Movie Channels" dataDxfId="1"/>
    <tableColumn id="2" xr3:uid="{00000000-0010-0000-7300-000002000000}" name="Price" dataDxfId="0"/>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0A000000}" name="Verizon_Internet123195" displayName="Verizon_Internet123195" ref="A116:F121" totalsRowShown="0">
  <autoFilter ref="A116:F121" xr:uid="{00000000-0009-0000-0100-00005E000000}"/>
  <tableColumns count="6">
    <tableColumn id="1" xr3:uid="{00000000-0010-0000-0A00-000001000000}" name="Package #"/>
    <tableColumn id="2" xr3:uid="{00000000-0010-0000-0A00-000002000000}" name="Package"/>
    <tableColumn id="3" xr3:uid="{00000000-0010-0000-0A00-000003000000}" name="1st year"/>
    <tableColumn id="4" xr3:uid="{00000000-0010-0000-0A00-000004000000}" name="2nd Year"/>
    <tableColumn id="5" xr3:uid="{00000000-0010-0000-0A00-000005000000}" name="Plus Phone"/>
    <tableColumn id="6" xr3:uid="{00000000-0010-0000-0A00-000006000000}" name="Plus Phone Yr 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0B000000}" name="Table153134196" displayName="Table153134196" ref="A83:G87" totalsRowShown="0" tableBorderDxfId="141">
  <autoFilter ref="A83:G87" xr:uid="{00000000-0009-0000-0100-00005F000000}"/>
  <tableColumns count="7">
    <tableColumn id="1" xr3:uid="{00000000-0010-0000-0B00-000001000000}" name="Package #"/>
    <tableColumn id="2" xr3:uid="{00000000-0010-0000-0B00-000002000000}" name="Double Play2"/>
    <tableColumn id="3" xr3:uid="{00000000-0010-0000-0B00-000003000000}" name="50/50"/>
    <tableColumn id="4" xr3:uid="{00000000-0010-0000-0B00-000004000000}" name="75/75"/>
    <tableColumn id="5" xr3:uid="{00000000-0010-0000-0B00-000005000000}" name="150/150"/>
    <tableColumn id="6" xr3:uid="{00000000-0010-0000-0B00-000006000000}" name="300/300"/>
    <tableColumn id="7" xr3:uid="{00000000-0010-0000-0B00-000007000000}" name="500/50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C000000}" name="Table151784297" displayName="Table151784297" ref="A98:G102" totalsRowShown="0" tableBorderDxfId="140">
  <autoFilter ref="A98:G102" xr:uid="{00000000-0009-0000-0100-000060000000}"/>
  <tableColumns count="7">
    <tableColumn id="1" xr3:uid="{00000000-0010-0000-0C00-000001000000}" name="Package #"/>
    <tableColumn id="2" xr3:uid="{00000000-0010-0000-0C00-000002000000}" name="Triple Play2"/>
    <tableColumn id="3" xr3:uid="{00000000-0010-0000-0C00-000003000000}" name="50/50"/>
    <tableColumn id="4" xr3:uid="{00000000-0010-0000-0C00-000004000000}" name="75/75"/>
    <tableColumn id="5" xr3:uid="{00000000-0010-0000-0C00-000005000000}" name="150/150"/>
    <tableColumn id="6" xr3:uid="{00000000-0010-0000-0C00-000006000000}" name="300/300"/>
    <tableColumn id="7" xr3:uid="{00000000-0010-0000-0C00-000007000000}" name="500/500"/>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0D000000}" name="Table158598" displayName="Table158598" ref="A58:G63" totalsRowShown="0" tableBorderDxfId="139">
  <autoFilter ref="A58:G63" xr:uid="{00000000-0009-0000-0100-000061000000}"/>
  <tableColumns count="7">
    <tableColumn id="1" xr3:uid="{00000000-0010-0000-0D00-000001000000}" name="Package #"/>
    <tableColumn id="2" xr3:uid="{00000000-0010-0000-0D00-000002000000}" name="Double Play2"/>
    <tableColumn id="3" xr3:uid="{00000000-0010-0000-0D00-000003000000}" name="5/1"/>
    <tableColumn id="4" xr3:uid="{00000000-0010-0000-0D00-000004000000}" name="Essential 15/2"/>
    <tableColumn id="5" xr3:uid="{00000000-0010-0000-0D00-000005000000}" name="Preferred 50/5"/>
    <tableColumn id="6" xr3:uid="{00000000-0010-0000-0D00-000006000000}" name="Premier 150/10"/>
    <tableColumn id="7" xr3:uid="{00000000-0010-0000-0D00-000007000000}" name="Ultimate 300/30"/>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0E000000}" name="Table15178699" displayName="Table15178699" ref="A67:G72" totalsRowShown="0" tableBorderDxfId="138">
  <autoFilter ref="A67:G72" xr:uid="{00000000-0009-0000-0100-000062000000}"/>
  <tableColumns count="7">
    <tableColumn id="1" xr3:uid="{00000000-0010-0000-0E00-000001000000}" name="Package #"/>
    <tableColumn id="2" xr3:uid="{00000000-0010-0000-0E00-000002000000}" name="Triple Play2"/>
    <tableColumn id="3" xr3:uid="{00000000-0010-0000-0E00-000003000000}" name="5/1"/>
    <tableColumn id="4" xr3:uid="{00000000-0010-0000-0E00-000004000000}" name="Essential 15/2"/>
    <tableColumn id="5" xr3:uid="{00000000-0010-0000-0E00-000005000000}" name="Preferred 50/5"/>
    <tableColumn id="6" xr3:uid="{00000000-0010-0000-0E00-000006000000}" name="Premier 150/10"/>
    <tableColumn id="7" xr3:uid="{00000000-0010-0000-0E00-000007000000}" name="Ultimate 300/30"/>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0F000000}" name="Table100" displayName="Table100" ref="A1:B8" totalsRowShown="0">
  <autoFilter ref="A1:B8" xr:uid="{00000000-0009-0000-0100-000064000000}"/>
  <tableColumns count="2">
    <tableColumn id="1" xr3:uid="{00000000-0010-0000-0F00-000001000000}" name="Service"/>
    <tableColumn id="2" xr3:uid="{00000000-0010-0000-0F00-000002000000}" name="Speed (Mbps)"/>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10000000}" name="Table110" displayName="Table110" ref="G1:H2" totalsRowShown="0">
  <autoFilter ref="G1:H2" xr:uid="{00000000-0009-0000-0100-00006E000000}"/>
  <tableColumns count="2">
    <tableColumn id="1" xr3:uid="{00000000-0010-0000-1000-000001000000}" name="First 3 Months">
      <calculatedColumnFormula>VLOOKUP(Table112[Package],Table111[],3,FALSE)</calculatedColumnFormula>
    </tableColumn>
    <tableColumn id="2" xr3:uid="{00000000-0010-0000-1000-000002000000}" name="3+ Months">
      <calculatedColumnFormula>VLOOKUP(Table112[Package],Table111[],4,FALSE)</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11000000}" name="Table111" displayName="Table111" ref="A10:D17" totalsRowShown="0">
  <autoFilter ref="A10:D17" xr:uid="{00000000-0009-0000-0100-00006F000000}"/>
  <tableColumns count="4">
    <tableColumn id="1" xr3:uid="{00000000-0010-0000-1100-000001000000}" name="Input"/>
    <tableColumn id="2" xr3:uid="{00000000-0010-0000-1100-000002000000}" name="Service" dataDxfId="137"/>
    <tableColumn id="3" xr3:uid="{00000000-0010-0000-1100-000003000000}" name="First 3 Months" dataDxfId="136"/>
    <tableColumn id="4" xr3:uid="{00000000-0010-0000-1100-000004000000}" name="3+ Months" dataDxfId="13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12000000}" name="Table112" displayName="Table112" ref="D1:E2" totalsRowShown="0">
  <autoFilter ref="D1:E2" xr:uid="{00000000-0009-0000-0100-000070000000}"/>
  <tableColumns count="2">
    <tableColumn id="1" xr3:uid="{00000000-0010-0000-1200-000001000000}" name="Input"/>
    <tableColumn id="2" xr3:uid="{00000000-0010-0000-1200-000002000000}" name="Packa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01000000}" name="Verizon_Internet83" displayName="Verizon_Internet83" ref="B32:G38" totalsRowShown="0">
  <autoFilter ref="B32:G38" xr:uid="{00000000-0009-0000-0100-000052000000}"/>
  <tableColumns count="6">
    <tableColumn id="1" xr3:uid="{00000000-0010-0000-0100-000001000000}" name="Package #"/>
    <tableColumn id="2" xr3:uid="{00000000-0010-0000-0100-000002000000}" name="Package"/>
    <tableColumn id="3" xr3:uid="{00000000-0010-0000-0100-000003000000}" name="1st year"/>
    <tableColumn id="4" xr3:uid="{00000000-0010-0000-0100-000004000000}" name="2nd Year"/>
    <tableColumn id="5" xr3:uid="{00000000-0010-0000-0100-000005000000}" name="Plus Phone"/>
    <tableColumn id="6" xr3:uid="{00000000-0010-0000-0100-000006000000}" name="Plus Phone Yr 2"/>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6CC1D25F-DAB2-4DE3-B2FB-C3BA34CCF7DD}" name="Table11890" displayName="Table11890" ref="B6:D11" totalsRowShown="0" headerRowDxfId="131">
  <autoFilter ref="B6:D11" xr:uid="{A83FEAF8-3BAF-428D-A6BC-DFF2AD044ED2}"/>
  <tableColumns count="3">
    <tableColumn id="1" xr3:uid="{ACD669D8-A717-4FDF-BC03-E8B85D1D11AC}" name="Input"/>
    <tableColumn id="2" xr3:uid="{422B4B27-BDBC-4B16-A540-156D8905937C}" name="Internet Speed" dataDxfId="130"/>
    <tableColumn id="3" xr3:uid="{4A4B1283-D8E2-4B19-B1FD-97B1FB6D4A6E}" name="Price" dataDxfId="129"/>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DE36389C-60ED-4F01-B4F2-BD932E7D2766}" name="Table119107" displayName="Table119107" ref="B25:D28" totalsRowShown="0" headerRowDxfId="128">
  <autoFilter ref="B25:D28" xr:uid="{0AF284BC-1583-46F4-BB5D-77928C0D38C5}"/>
  <tableColumns count="3">
    <tableColumn id="1" xr3:uid="{8CCD803A-565E-46DE-931A-A89D05E1E19F}" name="Input"/>
    <tableColumn id="2" xr3:uid="{4D966B1A-BC95-4EC9-A073-55E5F728B09D}" name="Phone" dataDxfId="127"/>
    <tableColumn id="3" xr3:uid="{FB303A17-CFB0-47CA-B55A-B90EACA84597}" name="Price" dataDxfId="126"/>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8DBEC90E-CC4D-4143-A950-E57AF0660E14}" name="Table128110" displayName="Table128110" ref="B32:E36" totalsRowShown="0">
  <autoFilter ref="B32:E36" xr:uid="{BDAF7E7F-C71A-4E1A-85CA-9AFD0FE64446}"/>
  <tableColumns count="4">
    <tableColumn id="1" xr3:uid="{B11EB91C-4BA6-426B-91AA-55223BA431A3}" name="Input"/>
    <tableColumn id="2" xr3:uid="{ED6C1963-E6A8-48D9-88DC-6D0A40C9AFDD}" name="Service"/>
    <tableColumn id="3" xr3:uid="{71F86182-C354-4DD3-B0F1-D100C0BBB42B}" name="Column1"/>
    <tableColumn id="4" xr3:uid="{0E318FC9-1FEF-4D41-AEEE-4709CEB405D5}" name="Column2"/>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12CB9BD3-1290-4D2B-80A9-6B7D853088FA}" name="Table121117" displayName="Table121117" ref="M1:M2" totalsRowShown="0">
  <autoFilter ref="M1:M2" xr:uid="{AE94694F-107E-4038-B373-89266673041A}"/>
  <tableColumns count="1">
    <tableColumn id="1" xr3:uid="{E92412A1-2570-494B-A942-43C9ECD88102}" name="First Year">
      <calculatedColumnFormula>VLOOKUP(G4,Table128110[],3,FALSE)+VLOOKUP(G8,Table11890[],3,FALSE)+N9+N24+Q39+D47</calculatedColumnFormula>
    </tableColumn>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B3EB3AF3-8465-4859-9424-BC7ADDDF52AE}" name="Table121118" displayName="Table121118" ref="P1:P2" totalsRowShown="0">
  <autoFilter ref="P1:P2" xr:uid="{48AFF2E0-211B-40BB-AA55-458B2A6C1BD2}"/>
  <tableColumns count="1">
    <tableColumn id="1" xr3:uid="{DBAD4088-ED27-4D8C-B000-2F593D44302E}" name="Second Year">
      <calculatedColumnFormula>VLOOKUP(G4,Table128110116[],3,FALSE)+VLOOKUP(G8,Table11890[],3,FALSE)+N9+N24+Q39+D47</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84B8BE70-F145-47BA-96C6-57689FCEB56E}" name="Table121121" displayName="Table121121" ref="S1:S2" totalsRowShown="0">
  <autoFilter ref="S1:S2" xr:uid="{6826465B-BB03-45A4-9F80-189575EDB627}"/>
  <tableColumns count="1">
    <tableColumn id="1" xr3:uid="{03987227-5ECF-422E-A3C2-7A1D70C71BBF}" name="One Time Charge">
      <calculatedColumnFormula>VLOOKUP(G16,Table119107[],3,FALSE)+J2+O19+N35+Q48</calculatedColumnFormula>
    </tableColum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5614BE-1C9C-40DC-A958-E506FC7D8735}" name="Table633" displayName="Table633" ref="K11:M15" totalsRowShown="0">
  <autoFilter ref="K11:M15" xr:uid="{BC9CDD46-BF16-473F-8A9B-156D7176DE9E}"/>
  <tableColumns count="3">
    <tableColumn id="1" xr3:uid="{6A71D8D8-9C7E-4BA4-8524-EE9832F92318}" name="Column1"/>
    <tableColumn id="2" xr3:uid="{C178A524-C37D-4C04-BE5A-1D0F073C6B68}" name="Column2" dataDxfId="125"/>
    <tableColumn id="3" xr3:uid="{F4998E15-DD5F-495A-9C36-08966DB835B6}" name="Column3" dataDxfId="124"/>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CB58AE-B4E7-4CAF-909F-B23405BE7245}" name="Table546" displayName="Table546" ref="K26:M33" totalsRowShown="0">
  <autoFilter ref="K26:M33" xr:uid="{2A62EBEA-2F3D-41A9-BF3F-0F2D2E5F65B0}"/>
  <tableColumns count="3">
    <tableColumn id="1" xr3:uid="{9C0C750F-5C26-442B-89E1-0634EF859D34}" name="Column1"/>
    <tableColumn id="2" xr3:uid="{7A110328-FDEE-4092-AAD4-12D6F236797E}" name="Column2" dataDxfId="123"/>
    <tableColumn id="3" xr3:uid="{3F47C8F9-3807-4BF8-979E-C30F1B7EC359}" name="Column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FC1B731-EDCF-4561-A338-F6D73CBBE1F8}" name="Table838" displayName="Table838" ref="K41:M45" totalsRowShown="0">
  <autoFilter ref="K41:M45" xr:uid="{E92042E6-F7CB-4970-B196-8E79F1981F21}"/>
  <tableColumns count="3">
    <tableColumn id="1" xr3:uid="{783289E5-B126-47DB-A607-16A110AE2F36}" name="Column1"/>
    <tableColumn id="2" xr3:uid="{A4CC9D2A-B9D0-4795-9A56-DE1469FBF552}" name="Column2" dataDxfId="122"/>
    <tableColumn id="3" xr3:uid="{5D178D9E-0B42-44CC-A18F-3DD1BBDEC445}" name="Column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8404489F-22BB-45FE-AAE0-82007A87283B}" name="Table128110116" displayName="Table128110116" ref="B14:D18" totalsRowShown="0">
  <autoFilter ref="B14:D18" xr:uid="{7C941AAD-7B56-4DA5-9158-A8FFC350EDCA}"/>
  <tableColumns count="3">
    <tableColumn id="1" xr3:uid="{B0547CCB-28DE-4247-BA11-C5D702760039}" name="Input"/>
    <tableColumn id="2" xr3:uid="{C4BC1A3F-549D-421E-917E-FD1132B2A1C1}" name="Service"/>
    <tableColumn id="3" xr3:uid="{5FFAD8F1-5329-465B-AC2D-402A229921A2}" name="Column1" dataDxfId="12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e1585" displayName="Table1585" ref="B5:I10" totalsRowShown="0" tableBorderDxfId="161">
  <autoFilter ref="B5:I10" xr:uid="{00000000-0009-0000-0100-00005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200-000001000000}" name="Package #"/>
    <tableColumn id="2" xr3:uid="{00000000-0010-0000-0200-000002000000}" name="Double Play2"/>
    <tableColumn id="3" xr3:uid="{00000000-0010-0000-0200-000003000000}" name="5/1"/>
    <tableColumn id="4" xr3:uid="{00000000-0010-0000-0200-000004000000}" name="Essential 15/2"/>
    <tableColumn id="5" xr3:uid="{00000000-0010-0000-0200-000005000000}" name="Preferred 50/5"/>
    <tableColumn id="6" xr3:uid="{00000000-0010-0000-0200-000006000000}" name="Premier 150/10"/>
    <tableColumn id="7" xr3:uid="{00000000-0010-0000-0200-000007000000}" name="Ultimate 300/30"/>
    <tableColumn id="8" xr3:uid="{148F7D41-BCF6-4833-9693-3426C1873C6C}" name="Gigablast 1000"/>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13000000}" name="Table118" displayName="Table118" ref="B6:D12" totalsRowShown="0" headerRowDxfId="120">
  <autoFilter ref="B6:D12" xr:uid="{00000000-0009-0000-0100-000076000000}"/>
  <tableColumns count="3">
    <tableColumn id="1" xr3:uid="{00000000-0010-0000-1300-000001000000}" name="Input"/>
    <tableColumn id="2" xr3:uid="{00000000-0010-0000-1300-000002000000}" name="Internet Speed"/>
    <tableColumn id="3" xr3:uid="{00000000-0010-0000-1300-000003000000}" name="Pric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15000000}" name="Table121" displayName="Table121" ref="I1:I2" totalsRowShown="0">
  <autoFilter ref="I1:I2" xr:uid="{00000000-0009-0000-0100-000079000000}"/>
  <tableColumns count="1">
    <tableColumn id="1" xr3:uid="{00000000-0010-0000-1500-000001000000}" name="Price for Life">
      <calculatedColumnFormula>VLOOKUP(G7,Table118[],3,FALSE)+D3</calculatedColumnFormula>
    </tableColumn>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16000000}" name="Table122" displayName="Table122" ref="F6:H7" totalsRowShown="0" headerRowDxfId="119">
  <autoFilter ref="F6:H7" xr:uid="{00000000-0009-0000-0100-00007A000000}"/>
  <tableColumns count="3">
    <tableColumn id="1" xr3:uid="{00000000-0010-0000-1600-000001000000}" name="Input"/>
    <tableColumn id="2" xr3:uid="{00000000-0010-0000-1600-000002000000}" name="Output"/>
    <tableColumn id="3" xr3:uid="{00000000-0010-0000-1600-000003000000}" name="Column1"/>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18000000}" name="Table125" displayName="Table125" ref="B16:C17" totalsRowShown="0">
  <autoFilter ref="B16:C17" xr:uid="{00000000-0009-0000-0100-00007D000000}"/>
  <tableColumns count="2">
    <tableColumn id="1" xr3:uid="{00000000-0010-0000-1800-000001000000}" name="Professional Installation"/>
    <tableColumn id="2" xr3:uid="{00000000-0010-0000-1800-000002000000}" name="Installation Cost"/>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19000000}" name="Table128" displayName="Table128" ref="A1:B2" totalsRowShown="0">
  <autoFilter ref="A1:B2" xr:uid="{00000000-0009-0000-0100-000080000000}"/>
  <tableColumns count="2">
    <tableColumn id="1" xr3:uid="{00000000-0010-0000-1900-000001000000}" name="Input"/>
    <tableColumn id="2" xr3:uid="{00000000-0010-0000-1900-000002000000}" name="Servic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1B000000}" name="Table130" displayName="Table130" ref="B19:C20" totalsRowShown="0">
  <autoFilter ref="B19:C20" xr:uid="{00000000-0009-0000-0100-000082000000}"/>
  <tableColumns count="2">
    <tableColumn id="1" xr3:uid="{00000000-0010-0000-1B00-000001000000}" name="Purchase Modem"/>
    <tableColumn id="2" xr3:uid="{00000000-0010-0000-1B00-000002000000}" name="Equipment Cost"/>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4C000000}" name="Verizon_Internet" displayName="Verizon_Internet" ref="B32:G35" totalsRowShown="0">
  <autoFilter ref="B32:G35" xr:uid="{00000000-0009-0000-0100-00000E000000}"/>
  <tableColumns count="6">
    <tableColumn id="1" xr3:uid="{00000000-0010-0000-4C00-000001000000}" name="Package #"/>
    <tableColumn id="2" xr3:uid="{00000000-0010-0000-4C00-000002000000}" name="Package"/>
    <tableColumn id="3" xr3:uid="{00000000-0010-0000-4C00-000003000000}" name="1st year"/>
    <tableColumn id="4" xr3:uid="{00000000-0010-0000-4C00-000004000000}" name="2nd Year"/>
    <tableColumn id="5" xr3:uid="{00000000-0010-0000-4C00-000005000000}" name="Plus Phone"/>
    <tableColumn id="6" xr3:uid="{00000000-0010-0000-4C00-000006000000}" name="Plus Phone Yr 2"/>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4F000000}" name="Table19" displayName="Table19" ref="J3:M5" totalsRowShown="0">
  <autoFilter ref="J3:M5" xr:uid="{00000000-0009-0000-0100-000013000000}"/>
  <tableColumns count="4">
    <tableColumn id="1" xr3:uid="{00000000-0010-0000-4F00-000001000000}" name="Column1"/>
    <tableColumn id="2" xr3:uid="{00000000-0010-0000-4F00-000002000000}" name="Column2"/>
    <tableColumn id="3" xr3:uid="{00000000-0010-0000-4F00-000003000000}" name="1st Year"/>
    <tableColumn id="4" xr3:uid="{00000000-0010-0000-4F00-000004000000}" name="Second Year"/>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26000000}" name="Directv" displayName="Directv" ref="B23:G32" totalsRowShown="0">
  <autoFilter ref="B23:G32" xr:uid="{00000000-0009-0000-0100-000001000000}"/>
  <tableColumns count="6">
    <tableColumn id="1" xr3:uid="{00000000-0010-0000-2600-000001000000}" name="Package #"/>
    <tableColumn id="2" xr3:uid="{00000000-0010-0000-2600-000002000000}" name="Package"/>
    <tableColumn id="3" xr3:uid="{00000000-0010-0000-2600-000003000000}" name="1st year" dataDxfId="118"/>
    <tableColumn id="4" xr3:uid="{00000000-0010-0000-2600-000004000000}" name="2nd Year"/>
    <tableColumn id="5" xr3:uid="{00000000-0010-0000-2600-000005000000}" name="Genie"/>
    <tableColumn id="7" xr3:uid="{00000000-0010-0000-2600-000007000000}" name="Receiver"/>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27000000}" name="Table6" displayName="Table6" ref="B4:C13" totalsRowShown="0">
  <autoFilter ref="B4:C13" xr:uid="{00000000-0009-0000-0100-000006000000}"/>
  <tableColumns count="2">
    <tableColumn id="1" xr3:uid="{00000000-0010-0000-2700-000001000000}" name="# of TV's"/>
    <tableColumn id="2" xr3:uid="{00000000-0010-0000-2700-000002000000}" name="Monthly Fees" dataDxfId="11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03000000}" name="Table151786" displayName="Table151786" ref="B13:I18" totalsRowShown="0" tableBorderDxfId="160">
  <autoFilter ref="B13:I18" xr:uid="{00000000-0009-0000-0100-00005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300-000001000000}" name="Package #"/>
    <tableColumn id="2" xr3:uid="{00000000-0010-0000-0300-000002000000}" name="Triple Play2"/>
    <tableColumn id="3" xr3:uid="{00000000-0010-0000-0300-000003000000}" name="5/1"/>
    <tableColumn id="4" xr3:uid="{00000000-0010-0000-0300-000004000000}" name="Essential 15/2"/>
    <tableColumn id="5" xr3:uid="{00000000-0010-0000-0300-000005000000}" name="Preferred 50/5"/>
    <tableColumn id="6" xr3:uid="{00000000-0010-0000-0300-000006000000}" name="Premier 150/10"/>
    <tableColumn id="7" xr3:uid="{00000000-0010-0000-0300-000007000000}" name="Ultimate 300/30"/>
    <tableColumn id="8" xr3:uid="{267570CD-C579-4BD3-AA39-9E0A9B2B865D}" name="Gigablast 1000 "/>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8000000}" name="Table49" displayName="Table49" ref="F14:G20">
  <autoFilter ref="F14:G20" xr:uid="{00000000-0009-0000-0100-000031000000}"/>
  <tableColumns count="2">
    <tableColumn id="1" xr3:uid="{00000000-0010-0000-2800-000001000000}" name="Column1" totalsRowLabel="Total"/>
    <tableColumn id="2" xr3:uid="{00000000-0010-0000-2800-000002000000}" name="Column2" totalsRowFunction="sum"/>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9000000}" name="Table48" displayName="Table48" ref="L13:O18" totalsRowShown="0">
  <autoFilter ref="L13:O18" xr:uid="{00000000-0009-0000-0100-000030000000}"/>
  <tableColumns count="4">
    <tableColumn id="1" xr3:uid="{00000000-0010-0000-2900-000001000000}" name="Column1"/>
    <tableColumn id="2" xr3:uid="{00000000-0010-0000-2900-000002000000}" name="Column2"/>
    <tableColumn id="3" xr3:uid="{00000000-0010-0000-2900-000003000000}" name="Column3"/>
    <tableColumn id="4" xr3:uid="{00000000-0010-0000-2900-000004000000}" name="Column4"/>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2B000000}" name="Table54" displayName="Table54" ref="S44:U51" totalsRowShown="0">
  <autoFilter ref="S44:U51" xr:uid="{00000000-0009-0000-0100-000036000000}"/>
  <tableColumns count="3">
    <tableColumn id="1" xr3:uid="{00000000-0010-0000-2B00-000001000000}" name="Column1"/>
    <tableColumn id="2" xr3:uid="{00000000-0010-0000-2B00-000002000000}" name="Column2" dataDxfId="116"/>
    <tableColumn id="3" xr3:uid="{00000000-0010-0000-2B00-000003000000}" name="Column3">
      <calculatedColumnFormula>Comcast!D43</calculatedColumnFormula>
    </tableColumn>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2C000000}" name="Table63" displayName="Table63" ref="S30:U35" totalsRowShown="0">
  <autoFilter ref="S30:U35" xr:uid="{00000000-0009-0000-0100-00003F000000}"/>
  <tableColumns count="3">
    <tableColumn id="1" xr3:uid="{00000000-0010-0000-2C00-000001000000}" name="Column1"/>
    <tableColumn id="2" xr3:uid="{00000000-0010-0000-2C00-000002000000}" name="Column2" dataDxfId="115"/>
    <tableColumn id="3" xr3:uid="{00000000-0010-0000-2C00-000003000000}" name="Column3" dataDxfId="114">
      <calculatedColumnFormula>Frontier!D32</calculatedColumnFormula>
    </tableColumn>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2D000000}" name="Table80" displayName="Table80" ref="B37:G46" totalsRowShown="0" headerRowDxfId="113" headerRowBorderDxfId="112">
  <autoFilter ref="B37:G46" xr:uid="{00000000-0009-0000-0100-000050000000}"/>
  <tableColumns count="6">
    <tableColumn id="1" xr3:uid="{00000000-0010-0000-2D00-000001000000}" name="Package #" dataDxfId="111"/>
    <tableColumn id="2" xr3:uid="{00000000-0010-0000-2D00-000002000000}" name="Package"/>
    <tableColumn id="3" xr3:uid="{00000000-0010-0000-2D00-000003000000}" name="1st year"/>
    <tableColumn id="4" xr3:uid="{00000000-0010-0000-2D00-000004000000}" name="2nd Year"/>
    <tableColumn id="5" xr3:uid="{00000000-0010-0000-2D00-000005000000}" name="Genie">
      <calculatedColumnFormula>F25</calculatedColumnFormula>
    </tableColumn>
    <tableColumn id="6" xr3:uid="{00000000-0010-0000-2D00-000006000000}" name="Receiver">
      <calculatedColumnFormula>G25</calculatedColumnFormula>
    </tableColumn>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2E000000}" name="Table81" displayName="Table81" ref="D57:F62" totalsRowShown="0">
  <autoFilter ref="D57:F62" xr:uid="{00000000-0009-0000-0100-000051000000}"/>
  <tableColumns count="3">
    <tableColumn id="1" xr3:uid="{00000000-0010-0000-2E00-000001000000}" name="Column1"/>
    <tableColumn id="2" xr3:uid="{00000000-0010-0000-2E00-000002000000}" name="Column2"/>
    <tableColumn id="3" xr3:uid="{00000000-0010-0000-2E00-000003000000}" name="Column3"/>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2F000000}" name="Table83" displayName="Table83" ref="S61:U65" totalsRowShown="0">
  <autoFilter ref="S61:U65" xr:uid="{00000000-0009-0000-0100-000053000000}"/>
  <tableColumns count="3">
    <tableColumn id="1" xr3:uid="{00000000-0010-0000-2F00-000001000000}" name="Column1"/>
    <tableColumn id="2" xr3:uid="{00000000-0010-0000-2F00-000002000000}" name="Column2" dataDxfId="110"/>
    <tableColumn id="3" xr3:uid="{00000000-0010-0000-2F00-000003000000}" name="Column3"/>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33000000}" name="Table114" displayName="Table114" ref="K47:L55" totalsRowShown="0">
  <autoFilter ref="K47:L55" xr:uid="{00000000-0009-0000-0100-000072000000}"/>
  <tableColumns count="2">
    <tableColumn id="1" xr3:uid="{00000000-0010-0000-3300-000001000000}" name="Number of Receivers"/>
    <tableColumn id="2" xr3:uid="{00000000-0010-0000-3300-000002000000}" name="Price upfront for Recievers"/>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D000000}" name="Verizon_Internet34" displayName="Verizon_Internet34" ref="B8:G12" totalsRowShown="0">
  <autoFilter ref="B8:G12" xr:uid="{00000000-0009-0000-0100-000021000000}"/>
  <tableColumns count="6">
    <tableColumn id="1" xr3:uid="{00000000-0010-0000-1D00-000001000000}" name="Package #"/>
    <tableColumn id="2" xr3:uid="{00000000-0010-0000-1D00-000002000000}" name="Package" dataDxfId="109"/>
    <tableColumn id="3" xr3:uid="{00000000-0010-0000-1D00-000003000000}" name="1st year"/>
    <tableColumn id="4" xr3:uid="{00000000-0010-0000-1D00-000004000000}" name="2nd Year"/>
    <tableColumn id="5" xr3:uid="{00000000-0010-0000-1D00-000005000000}" name="Plus Phone"/>
    <tableColumn id="6" xr3:uid="{00000000-0010-0000-1D00-000006000000}" name="Plus Phone 2nd Yr"/>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DCEE8443-2FDA-4A00-8A37-825F765D2676}" name="Table193733" displayName="Table193733" ref="B19:E21" totalsRowShown="0">
  <autoFilter ref="B19:E21" xr:uid="{4BBA4683-F6DE-4208-B81B-DD079BE0BF39}"/>
  <tableColumns count="4">
    <tableColumn id="1" xr3:uid="{7B4CC9DB-0264-4A82-9F4E-C76BCAF3CBA9}" name="Column1"/>
    <tableColumn id="2" xr3:uid="{B158AA80-D3DF-4FEA-B900-DC6AE170E7CE}" name="Column2"/>
    <tableColumn id="3" xr3:uid="{6B20ACF1-3537-47C7-A3E0-A7A5E25D1B40}" name="1st Year"/>
    <tableColumn id="4" xr3:uid="{D8DA96C7-E0C5-4AF2-A44F-69A7F9DC14F7}" name="Second Year"/>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04000000}" name="Table1987" displayName="Table1987" ref="J3:M10" totalsRowShown="0">
  <autoFilter ref="J3:M10" xr:uid="{00000000-0009-0000-0100-000056000000}"/>
  <tableColumns count="4">
    <tableColumn id="1" xr3:uid="{00000000-0010-0000-0400-000001000000}" name="Column1"/>
    <tableColumn id="2" xr3:uid="{00000000-0010-0000-0400-000002000000}" name="Column2"/>
    <tableColumn id="3" xr3:uid="{00000000-0010-0000-0400-000003000000}" name="1st Year"/>
    <tableColumn id="4" xr3:uid="{00000000-0010-0000-0400-000004000000}" name="Second Year"/>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4000000}" name="Verizon_Internet66" displayName="Verizon_Internet66" ref="B43:G50" totalsRowShown="0">
  <autoFilter ref="B43:G50" xr:uid="{00000000-0009-0000-0100-000041000000}"/>
  <tableColumns count="6">
    <tableColumn id="1" xr3:uid="{00000000-0010-0000-3400-000001000000}" name="Package #"/>
    <tableColumn id="2" xr3:uid="{00000000-0010-0000-3400-000002000000}" name="Package"/>
    <tableColumn id="3" xr3:uid="{00000000-0010-0000-3400-000003000000}" name="1st year" dataDxfId="108"/>
    <tableColumn id="4" xr3:uid="{00000000-0010-0000-3400-000004000000}" name="2nd Year" dataDxfId="107"/>
    <tableColumn id="5" xr3:uid="{00000000-0010-0000-3400-000005000000}" name="Plus Phone" dataDxfId="106"/>
    <tableColumn id="6" xr3:uid="{00000000-0010-0000-3400-000006000000}" name="Plus Phone Yr 2" dataDxfId="105"/>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35000000}" name="Table1567" displayName="Table1567" ref="B5:I11" totalsRowShown="0" tableBorderDxfId="104">
  <autoFilter ref="B5:I11" xr:uid="{00000000-0009-0000-0100-000042000000}"/>
  <tableColumns count="8">
    <tableColumn id="1" xr3:uid="{00000000-0010-0000-3500-000001000000}" name="Package #"/>
    <tableColumn id="2" xr3:uid="{00000000-0010-0000-3500-000002000000}" name="Double Play"/>
    <tableColumn id="3" xr3:uid="{00000000-0010-0000-3500-000003000000}" name="50mb"/>
    <tableColumn id="4" xr3:uid="{00000000-0010-0000-3500-000004000000}" name="100mb"/>
    <tableColumn id="5" xr3:uid="{00000000-0010-0000-3500-000005000000}" name="200mb"/>
    <tableColumn id="6" xr3:uid="{00000000-0010-0000-3500-000006000000}" name="400" dataDxfId="103"/>
    <tableColumn id="7" xr3:uid="{00000000-0010-0000-3500-000007000000}" name="600mb"/>
    <tableColumn id="8" xr3:uid="{016AF0EE-CE3A-4F14-A6C5-432DDB4E557A}" name="1200mb"/>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36000000}" name="Table151768" displayName="Table151768" ref="B19:I25" totalsRowShown="0" tableBorderDxfId="102">
  <autoFilter ref="B19:I25" xr:uid="{00000000-0009-0000-0100-000043000000}"/>
  <tableColumns count="8">
    <tableColumn id="1" xr3:uid="{00000000-0010-0000-3600-000001000000}" name="Package #"/>
    <tableColumn id="2" xr3:uid="{00000000-0010-0000-3600-000002000000}" name="Triple Play" dataDxfId="101"/>
    <tableColumn id="3" xr3:uid="{00000000-0010-0000-3600-000003000000}" name="50mb" dataDxfId="100"/>
    <tableColumn id="4" xr3:uid="{00000000-0010-0000-3600-000004000000}" name="100mb"/>
    <tableColumn id="5" xr3:uid="{00000000-0010-0000-3600-000005000000}" name="200mb"/>
    <tableColumn id="6" xr3:uid="{00000000-0010-0000-3600-000006000000}" name="400mb"/>
    <tableColumn id="7" xr3:uid="{00000000-0010-0000-3600-000007000000}" name="600mb" dataDxfId="99"/>
    <tableColumn id="8" xr3:uid="{4A4343DA-ED7E-4197-9B43-7ACE4BEBDE94}" name="1200mb"/>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37000000}" name="Table1969" displayName="Table1969" ref="M7:P13" totalsRowShown="0">
  <autoFilter ref="M7:P13" xr:uid="{00000000-0009-0000-0100-000044000000}"/>
  <tableColumns count="4">
    <tableColumn id="1" xr3:uid="{00000000-0010-0000-3700-000001000000}" name="Column1"/>
    <tableColumn id="2" xr3:uid="{00000000-0010-0000-3700-000002000000}" name="Column2"/>
    <tableColumn id="3" xr3:uid="{00000000-0010-0000-3700-000003000000}" name="1st Year"/>
    <tableColumn id="4" xr3:uid="{00000000-0010-0000-3700-000004000000}" name="Second Year"/>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39000000}" name="Table15372" displayName="Table15372" ref="A65:H71" totalsRowShown="0" tableBorderDxfId="98">
  <autoFilter ref="A65:H71" xr:uid="{00000000-0009-0000-0100-000047000000}"/>
  <tableColumns count="8">
    <tableColumn id="1" xr3:uid="{00000000-0010-0000-3900-000001000000}" name="Package #"/>
    <tableColumn id="2" xr3:uid="{00000000-0010-0000-3900-000002000000}" name="Double Play2"/>
    <tableColumn id="3" xr3:uid="{00000000-0010-0000-3900-000003000000}" name="50mb" dataDxfId="97"/>
    <tableColumn id="4" xr3:uid="{00000000-0010-0000-3900-000004000000}" name="100mb" dataDxfId="96"/>
    <tableColumn id="5" xr3:uid="{00000000-0010-0000-3900-000005000000}" name="200mb" dataDxfId="95"/>
    <tableColumn id="6" xr3:uid="{00000000-0010-0000-3900-000006000000}" name="400mb" dataDxfId="94"/>
    <tableColumn id="7" xr3:uid="{00000000-0010-0000-3900-000007000000}" name="600mb" dataDxfId="93"/>
    <tableColumn id="8" xr3:uid="{05BD70DC-EC95-4E3D-827A-61D5F2617CC9}" name="1200mb" dataDxfId="92"/>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3A000000}" name="Table1517873" displayName="Table1517873" ref="A77:H81" totalsRowShown="0" tableBorderDxfId="91">
  <autoFilter ref="A77:H81" xr:uid="{00000000-0009-0000-0100-000048000000}"/>
  <tableColumns count="8">
    <tableColumn id="1" xr3:uid="{00000000-0010-0000-3A00-000001000000}" name="Package #"/>
    <tableColumn id="2" xr3:uid="{00000000-0010-0000-3A00-000002000000}" name="Triple Play2"/>
    <tableColumn id="3" xr3:uid="{00000000-0010-0000-3A00-000003000000}" name="50mb" dataDxfId="90"/>
    <tableColumn id="4" xr3:uid="{00000000-0010-0000-3A00-000004000000}" name="100mb" dataDxfId="89"/>
    <tableColumn id="5" xr3:uid="{00000000-0010-0000-3A00-000005000000}" name="200mb" dataDxfId="88"/>
    <tableColumn id="6" xr3:uid="{00000000-0010-0000-3A00-000006000000}" name="400mb" dataDxfId="87"/>
    <tableColumn id="7" xr3:uid="{00000000-0010-0000-3A00-000007000000}" name="600mb" dataDxfId="86"/>
    <tableColumn id="8" xr3:uid="{D5E5D174-B6F0-4E19-BF4C-8EB97DBBF910}" name="1200mb" dataDxfId="85"/>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B000000}" name="Table1531374" displayName="Table1531374" ref="A86:F90" totalsRowShown="0" tableBorderDxfId="84">
  <autoFilter ref="A86:F90" xr:uid="{00000000-0009-0000-0100-000049000000}"/>
  <tableColumns count="6">
    <tableColumn id="1" xr3:uid="{00000000-0010-0000-3B00-000001000000}" name="Package #"/>
    <tableColumn id="2" xr3:uid="{00000000-0010-0000-3B00-000002000000}" name="Double Play2"/>
    <tableColumn id="3" xr3:uid="{00000000-0010-0000-3B00-000003000000}" name="6Mb"/>
    <tableColumn id="4" xr3:uid="{00000000-0010-0000-3B00-000004000000}" name="50Mb"/>
    <tableColumn id="5" xr3:uid="{00000000-0010-0000-3B00-000005000000}" name="105Mb"/>
    <tableColumn id="6" xr3:uid="{00000000-0010-0000-3B00-000006000000}" name="150/150"/>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3C000000}" name="Table151781975" displayName="Table151781975" ref="A101:F105" totalsRowShown="0" tableBorderDxfId="83">
  <autoFilter ref="A101:F105" xr:uid="{00000000-0009-0000-0100-00004A000000}"/>
  <tableColumns count="6">
    <tableColumn id="1" xr3:uid="{00000000-0010-0000-3C00-000001000000}" name="Package #"/>
    <tableColumn id="2" xr3:uid="{00000000-0010-0000-3C00-000002000000}" name="Triple Play2" dataDxfId="82"/>
    <tableColumn id="3" xr3:uid="{00000000-0010-0000-3C00-000003000000}" name="6Mb"/>
    <tableColumn id="4" xr3:uid="{00000000-0010-0000-3C00-000004000000}" name="50Mb"/>
    <tableColumn id="5" xr3:uid="{00000000-0010-0000-3C00-000005000000}" name="105Mb"/>
    <tableColumn id="6" xr3:uid="{00000000-0010-0000-3C00-000006000000}" name="Column1"/>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3D000000}" name="Verizon_TV102676" displayName="Verizon_TV102676" ref="A117:E121" totalsRowShown="0">
  <autoFilter ref="A117:E121" xr:uid="{00000000-0009-0000-0100-00004B000000}"/>
  <tableColumns count="5">
    <tableColumn id="1" xr3:uid="{00000000-0010-0000-3D00-000001000000}" name="Package #"/>
    <tableColumn id="2" xr3:uid="{00000000-0010-0000-3D00-000002000000}" name="Package" dataDxfId="81"/>
    <tableColumn id="3" xr3:uid="{00000000-0010-0000-3D00-000003000000}" name="Price"/>
    <tableColumn id="4" xr3:uid="{00000000-0010-0000-3D00-000004000000}" name="Plus Phone"/>
    <tableColumn id="5" xr3:uid="{00000000-0010-0000-3D00-000005000000}" name="Plus Phone Yr 2"/>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3E000000}" name="Verizon_Internet123177" displayName="Verizon_Internet123177" ref="A126:F131" totalsRowShown="0">
  <autoFilter ref="A126:F131" xr:uid="{00000000-0009-0000-0100-00004C000000}"/>
  <tableColumns count="6">
    <tableColumn id="1" xr3:uid="{00000000-0010-0000-3E00-000001000000}" name="Package #"/>
    <tableColumn id="2" xr3:uid="{00000000-0010-0000-3E00-000002000000}" name="Package"/>
    <tableColumn id="3" xr3:uid="{00000000-0010-0000-3E00-000003000000}" name="1st year"/>
    <tableColumn id="4" xr3:uid="{00000000-0010-0000-3E00-000004000000}" name="2nd Year"/>
    <tableColumn id="5" xr3:uid="{00000000-0010-0000-3E00-000005000000}" name="Plus Phone"/>
    <tableColumn id="6" xr3:uid="{00000000-0010-0000-3E00-000006000000}" name="Plus Phone Yr 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05000000}" name="Table588" displayName="Table588" ref="A43:D54" totalsRowShown="0" headerRowDxfId="159" dataDxfId="157" headerRowBorderDxfId="158" tableBorderDxfId="156" totalsRowBorderDxfId="155">
  <autoFilter ref="A43:D54" xr:uid="{00000000-0009-0000-0100-000057000000}"/>
  <tableColumns count="4">
    <tableColumn id="3" xr3:uid="{00000000-0010-0000-0500-000003000000}" name="Equipment #" dataDxfId="154"/>
    <tableColumn id="1" xr3:uid="{00000000-0010-0000-0500-000001000000}" name="Boxes" dataDxfId="153"/>
    <tableColumn id="2" xr3:uid="{00000000-0010-0000-0500-000002000000}" name="Price" dataDxfId="152"/>
    <tableColumn id="4" xr3:uid="{00000000-0010-0000-0500-000004000000}" name="DVR" dataDxfId="151"/>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3F000000}" name="Table153134178" displayName="Table153134178" ref="A93:F97" totalsRowShown="0" tableBorderDxfId="80">
  <autoFilter ref="A93:F97" xr:uid="{00000000-0009-0000-0100-00004D000000}"/>
  <tableColumns count="6">
    <tableColumn id="1" xr3:uid="{00000000-0010-0000-3F00-000001000000}" name="Package #"/>
    <tableColumn id="2" xr3:uid="{00000000-0010-0000-3F00-000002000000}" name="Double Play2"/>
    <tableColumn id="3" xr3:uid="{00000000-0010-0000-3F00-000003000000}" name="6Mb"/>
    <tableColumn id="4" xr3:uid="{00000000-0010-0000-3F00-000004000000}" name="50Mb"/>
    <tableColumn id="5" xr3:uid="{00000000-0010-0000-3F00-000005000000}" name="105Mb"/>
    <tableColumn id="6" xr3:uid="{00000000-0010-0000-3F00-000006000000}" name="Column4"/>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0000000}" name="Table151784279" displayName="Table151784279" ref="A108:F112" totalsRowShown="0" tableBorderDxfId="79">
  <autoFilter ref="A108:F112" xr:uid="{00000000-0009-0000-0100-00004E000000}"/>
  <tableColumns count="6">
    <tableColumn id="1" xr3:uid="{00000000-0010-0000-4000-000001000000}" name="Package #"/>
    <tableColumn id="2" xr3:uid="{00000000-0010-0000-4000-000002000000}" name="Triple Play2" dataDxfId="78"/>
    <tableColumn id="3" xr3:uid="{00000000-0010-0000-4000-000003000000}" name="6Mb"/>
    <tableColumn id="4" xr3:uid="{00000000-0010-0000-4000-000004000000}" name="50/50"/>
    <tableColumn id="5" xr3:uid="{00000000-0010-0000-4000-000005000000}" name="105Mb"/>
    <tableColumn id="6" xr3:uid="{00000000-0010-0000-4000-000006000000}" name="Column1"/>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1000000}" name="Table871" displayName="Table871" ref="H54:K62" totalsRowShown="0" headerRowDxfId="77" headerRowBorderDxfId="76" tableBorderDxfId="75" totalsRowBorderDxfId="74">
  <autoFilter ref="H54:K62" xr:uid="{00000000-0009-0000-0100-000046000000}"/>
  <tableColumns count="4">
    <tableColumn id="1" xr3:uid="{00000000-0010-0000-4100-000001000000}" name="Movies" dataDxfId="73"/>
    <tableColumn id="2" xr3:uid="{00000000-0010-0000-4100-000002000000}" name="months 1-12" dataDxfId="72"/>
    <tableColumn id="3" xr3:uid="{00000000-0010-0000-4100-000003000000}" name="months 13-14" dataDxfId="71"/>
    <tableColumn id="4" xr3:uid="{00000000-0010-0000-4100-000004000000}" name="Checked?"/>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42000000}" name="Verizon_TV63" displayName="Verizon_TV63" ref="B34:F38" totalsRowShown="0">
  <autoFilter ref="B34:F38" xr:uid="{00000000-0009-0000-0100-00003E000000}"/>
  <tableColumns count="5">
    <tableColumn id="1" xr3:uid="{00000000-0010-0000-4200-000001000000}" name="Package #"/>
    <tableColumn id="2" xr3:uid="{00000000-0010-0000-4200-000002000000}" name="Package" dataDxfId="70"/>
    <tableColumn id="3" xr3:uid="{00000000-0010-0000-4200-000003000000}" name="Price"/>
    <tableColumn id="4" xr3:uid="{00000000-0010-0000-4200-000004000000}" name="2nd Year"/>
    <tableColumn id="5" xr3:uid="{00000000-0010-0000-4200-000005000000}" name="Plus Phone Yr 2" dataDxfId="69"/>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B42AAA-8CF5-4776-BC96-580467A6725D}" name="Table8" displayName="Table8" ref="A55:C62" totalsRowShown="0">
  <autoFilter ref="A55:C62" xr:uid="{72A36876-B7CB-4BA7-9AD6-83A10A19FBFF}"/>
  <tableColumns count="3">
    <tableColumn id="1" xr3:uid="{6F6C7CF9-DCDE-40C5-B5C6-40C9277B6399}" name="Column1"/>
    <tableColumn id="2" xr3:uid="{C81908BD-A66E-49C8-B3F1-6DA23390EEB3}" name="Column2"/>
    <tableColumn id="3" xr3:uid="{BE5E084B-94E0-4380-9649-A96DABA7A026}" name="Column3"/>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43000000}" name="Verizon_TV3310" displayName="Verizon_TV3310" ref="B25:F30" totalsRowShown="0">
  <autoFilter ref="B25:F30" xr:uid="{00000000-0009-0000-0100-000009000000}"/>
  <tableColumns count="5">
    <tableColumn id="1" xr3:uid="{00000000-0010-0000-4300-000001000000}" name="Package #"/>
    <tableColumn id="2" xr3:uid="{00000000-0010-0000-4300-000002000000}" name="Package"/>
    <tableColumn id="3" xr3:uid="{00000000-0010-0000-4300-000003000000}" name="Price"/>
    <tableColumn id="4" xr3:uid="{00000000-0010-0000-4300-000004000000}" name="Plus Phone"/>
    <tableColumn id="5" xr3:uid="{00000000-0010-0000-4300-000005000000}" name="Plus Phone Yr 2"/>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44000000}" name="Verizon_Internet3411" displayName="Verizon_Internet3411" ref="B35:G42" totalsRowShown="0">
  <autoFilter ref="B35:G42" xr:uid="{00000000-0009-0000-0100-00000A000000}"/>
  <tableColumns count="6">
    <tableColumn id="1" xr3:uid="{00000000-0010-0000-4400-000001000000}" name="Package #"/>
    <tableColumn id="2" xr3:uid="{00000000-0010-0000-4400-000002000000}" name="Package"/>
    <tableColumn id="3" xr3:uid="{00000000-0010-0000-4400-000003000000}" name="1st year"/>
    <tableColumn id="4" xr3:uid="{00000000-0010-0000-4400-000004000000}" name="2nd Year"/>
    <tableColumn id="5" xr3:uid="{00000000-0010-0000-4400-000005000000}" name="Plus Phone"/>
    <tableColumn id="6" xr3:uid="{00000000-0010-0000-4400-000006000000}" name="Plus Phone 2nd Yr"/>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45000000}" name="Table153512" displayName="Table153512" ref="B5:F11" totalsRowShown="0" tableBorderDxfId="68">
  <autoFilter ref="B5:F11" xr:uid="{00000000-0009-0000-0100-00000B000000}"/>
  <tableColumns count="5">
    <tableColumn id="1" xr3:uid="{00000000-0010-0000-4500-000001000000}" name="Package #"/>
    <tableColumn id="2" xr3:uid="{00000000-0010-0000-4500-000002000000}" name="Double Play"/>
    <tableColumn id="3" xr3:uid="{00000000-0010-0000-4500-000003000000}" name="100MB"/>
    <tableColumn id="4" xr3:uid="{00000000-0010-0000-4500-000004000000}" name="400MB"/>
    <tableColumn id="5" xr3:uid="{00000000-0010-0000-4500-000005000000}" name="1000MB"/>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46000000}" name="Table15173632" displayName="Table15173632" ref="B15:F20" totalsRowShown="0" tableBorderDxfId="67">
  <autoFilter ref="B15:F20" xr:uid="{00000000-0009-0000-0100-00001F000000}"/>
  <tableColumns count="5">
    <tableColumn id="1" xr3:uid="{00000000-0010-0000-4600-000001000000}" name="Package #"/>
    <tableColumn id="2" xr3:uid="{00000000-0010-0000-4600-000002000000}" name="Triple Play2"/>
    <tableColumn id="3" xr3:uid="{00000000-0010-0000-4600-000003000000}" name="100MB"/>
    <tableColumn id="4" xr3:uid="{00000000-0010-0000-4600-000004000000}" name="400MB"/>
    <tableColumn id="5" xr3:uid="{00000000-0010-0000-4600-000005000000}" name="1000MB"/>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47000000}" name="Table193744" displayName="Table193744" ref="L3:O10" totalsRowShown="0">
  <autoFilter ref="L3:O10" xr:uid="{00000000-0009-0000-0100-00002B000000}"/>
  <tableColumns count="4">
    <tableColumn id="1" xr3:uid="{00000000-0010-0000-4700-000001000000}" name="Column1"/>
    <tableColumn id="2" xr3:uid="{00000000-0010-0000-4700-000002000000}" name="Column2"/>
    <tableColumn id="3" xr3:uid="{00000000-0010-0000-4700-000003000000}" name="1st Year"/>
    <tableColumn id="4" xr3:uid="{00000000-0010-0000-4700-000004000000}" name="Second Year"/>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06000000}" name="Table889" displayName="Table889" ref="H43:K50" totalsRowShown="0" headerRowDxfId="150" headerRowBorderDxfId="149" tableBorderDxfId="148" totalsRowBorderDxfId="147">
  <autoFilter ref="H43:K50" xr:uid="{00000000-0009-0000-0100-000058000000}"/>
  <tableColumns count="4">
    <tableColumn id="1" xr3:uid="{00000000-0010-0000-0600-000001000000}" name="Movies" dataDxfId="146"/>
    <tableColumn id="2" xr3:uid="{00000000-0010-0000-0600-000002000000}" name="months 1-12" dataDxfId="145"/>
    <tableColumn id="3" xr3:uid="{00000000-0010-0000-0600-000003000000}" name="months 13-14" dataDxfId="144"/>
    <tableColumn id="4" xr3:uid="{00000000-0010-0000-0600-000004000000}" name="Checked?"/>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48000000}" name="Table53845" displayName="Table53845" ref="A47:D56" totalsRowShown="0" headerRowDxfId="66" dataDxfId="64" headerRowBorderDxfId="65" tableBorderDxfId="63" totalsRowBorderDxfId="62">
  <autoFilter ref="A47:D56" xr:uid="{00000000-0009-0000-0100-00002C000000}"/>
  <tableColumns count="4">
    <tableColumn id="3" xr3:uid="{00000000-0010-0000-4800-000003000000}" name="Equipment #" dataDxfId="61"/>
    <tableColumn id="1" xr3:uid="{00000000-0010-0000-4800-000001000000}" name="DVR Boxes" dataDxfId="60"/>
    <tableColumn id="2" xr3:uid="{00000000-0010-0000-4800-000002000000}" name="Price" dataDxfId="59"/>
    <tableColumn id="4" xr3:uid="{00000000-0010-0000-4800-000004000000}" name="N/A" dataDxfId="58"/>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49000000}" name="Table1517364348" displayName="Table1517364348" ref="A68:E73" totalsRowShown="0" tableBorderDxfId="57">
  <autoFilter ref="A68:E73" xr:uid="{00000000-0009-0000-0100-00002F000000}"/>
  <tableColumns count="5">
    <tableColumn id="1" xr3:uid="{00000000-0010-0000-4900-000001000000}" name="Package #"/>
    <tableColumn id="2" xr3:uid="{00000000-0010-0000-4900-000002000000}" name="Triple Play2"/>
    <tableColumn id="3" xr3:uid="{00000000-0010-0000-4900-000003000000}" name="100MB"/>
    <tableColumn id="4" xr3:uid="{00000000-0010-0000-4900-000004000000}" name="400MB"/>
    <tableColumn id="5" xr3:uid="{00000000-0010-0000-4900-000005000000}" name="1000MB"/>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4A000000}" name="Table83946" displayName="Table83946" ref="K47:N56" totalsRowShown="0" headerRowDxfId="56" headerRowBorderDxfId="55" tableBorderDxfId="54" totalsRowBorderDxfId="53">
  <autoFilter ref="K47:N56" xr:uid="{00000000-0009-0000-0100-00002D000000}"/>
  <tableColumns count="4">
    <tableColumn id="1" xr3:uid="{00000000-0010-0000-4A00-000001000000}" name="Movies" dataDxfId="52"/>
    <tableColumn id="2" xr3:uid="{00000000-0010-0000-4A00-000002000000}" name="months 1-12" dataDxfId="51"/>
    <tableColumn id="3" xr3:uid="{00000000-0010-0000-4A00-000003000000}" name="N/A" dataDxfId="50"/>
    <tableColumn id="4" xr3:uid="{00000000-0010-0000-4A00-000004000000}" name="Checked?"/>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5A000000}" name="Table1518" displayName="Table1518" ref="B5:F8" totalsRowShown="0" tableBorderDxfId="49">
  <autoFilter ref="B5:F8" xr:uid="{00000000-0009-0000-0100-000011000000}"/>
  <tableColumns count="5">
    <tableColumn id="1" xr3:uid="{00000000-0010-0000-5A00-000001000000}" name="Package #"/>
    <tableColumn id="2" xr3:uid="{00000000-0010-0000-5A00-000002000000}" name="TV Package"/>
    <tableColumn id="3" xr3:uid="{00000000-0010-0000-5A00-000003000000}" name="TV Only"/>
    <tableColumn id="4" xr3:uid="{00000000-0010-0000-5A00-000004000000}" name="Double"/>
    <tableColumn id="5" xr3:uid="{00000000-0010-0000-5A00-000005000000}" name="Triple"/>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5B000000}" name="Table1921" displayName="Table1921" ref="H3:J8" totalsRowShown="0">
  <autoFilter ref="H3:J8" xr:uid="{00000000-0009-0000-0100-000014000000}"/>
  <tableColumns count="3">
    <tableColumn id="1" xr3:uid="{00000000-0010-0000-5B00-000001000000}" name="Column1"/>
    <tableColumn id="2" xr3:uid="{00000000-0010-0000-5B00-000002000000}" name="Column2"/>
    <tableColumn id="3" xr3:uid="{00000000-0010-0000-5B00-000003000000}" name="1st Year"/>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5C000000}" name="Table21" displayName="Table21" ref="D18:G23" totalsRowShown="0">
  <autoFilter ref="D18:G23" xr:uid="{00000000-0009-0000-0100-000015000000}"/>
  <tableColumns count="4">
    <tableColumn id="3" xr3:uid="{00000000-0010-0000-5C00-000003000000}" name="DVR #"/>
    <tableColumn id="1" xr3:uid="{00000000-0010-0000-5C00-000001000000}" name="DVR"/>
    <tableColumn id="2" xr3:uid="{00000000-0010-0000-5C00-000002000000}" name="Cost"/>
    <tableColumn id="4" xr3:uid="{00000000-0010-0000-5C00-000004000000}" name="Column1"/>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5D000000}" name="Table99" displayName="Table99" ref="H1:J2" totalsRowShown="0">
  <autoFilter ref="H1:J2" xr:uid="{00000000-0009-0000-0100-000063000000}"/>
  <tableColumns count="3">
    <tableColumn id="1" xr3:uid="{00000000-0010-0000-5D00-000001000000}" name="One Time Fee Exemption">
      <calculatedColumnFormula>IF((F2&gt;2),J2,I2)</calculatedColumnFormula>
    </tableColumn>
    <tableColumn id="2" xr3:uid="{00000000-0010-0000-5D00-000002000000}" name="One Time Fee" dataDxfId="48"/>
    <tableColumn id="3" xr3:uid="{00000000-0010-0000-5D00-000003000000}" name="No Fee w/ VoIP"/>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5E000000}" name="Table102" displayName="Table102" ref="L1:M2" totalsRowShown="0">
  <autoFilter ref="L1:M2" xr:uid="{00000000-0009-0000-0100-000066000000}"/>
  <tableColumns count="2">
    <tableColumn id="1" xr3:uid="{00000000-0010-0000-5E00-000001000000}" name="1st Year">
      <calculatedColumnFormula>VLOOKUP(Table104[Package],Table107[#All],3,)</calculatedColumnFormula>
    </tableColumn>
    <tableColumn id="2" xr3:uid="{00000000-0010-0000-5E00-000002000000}" name="2nd Year">
      <calculatedColumnFormula>VLOOKUP(Table104[Package],Table107[#All],4,FALSE)</calculatedColumnFormula>
    </tableColumn>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5F000000}" name="Table103" displayName="Table103" ref="B1:C5" totalsRowShown="0">
  <autoFilter ref="B1:C5" xr:uid="{00000000-0009-0000-0100-000067000000}"/>
  <tableColumns count="2">
    <tableColumn id="1" xr3:uid="{00000000-0010-0000-5F00-000001000000}" name="Service"/>
    <tableColumn id="4" xr3:uid="{00000000-0010-0000-5F00-000004000000}" name="Internet Speed"/>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0000000}" name="Table104" displayName="Table104" ref="E1:F2" totalsRowShown="0">
  <autoFilter ref="E1:F2" xr:uid="{00000000-0009-0000-0100-000068000000}"/>
  <tableColumns count="2">
    <tableColumn id="1" xr3:uid="{00000000-0010-0000-6000-000001000000}" name="Input "/>
    <tableColumn id="2" xr3:uid="{00000000-0010-0000-6000-000002000000}" name="Package" dataDxfId="4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07000000}" name="Table1531392" displayName="Table1531392" ref="A76:G80" totalsRowShown="0" tableBorderDxfId="143">
  <autoFilter ref="A76:G80" xr:uid="{00000000-0009-0000-0100-00005B000000}"/>
  <tableColumns count="7">
    <tableColumn id="1" xr3:uid="{00000000-0010-0000-0700-000001000000}" name="Package #"/>
    <tableColumn id="2" xr3:uid="{00000000-0010-0000-0700-000002000000}" name="Double Play2"/>
    <tableColumn id="3" xr3:uid="{00000000-0010-0000-0700-000003000000}" name="50/50"/>
    <tableColumn id="4" xr3:uid="{00000000-0010-0000-0700-000004000000}" name="75/75"/>
    <tableColumn id="5" xr3:uid="{00000000-0010-0000-0700-000005000000}" name="150/150"/>
    <tableColumn id="6" xr3:uid="{00000000-0010-0000-0700-000006000000}" name="300/300"/>
    <tableColumn id="7" xr3:uid="{00000000-0010-0000-0700-000007000000}" name="500/500"/>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1000000}" name="Table105" displayName="Table105" ref="G5:H6" totalsRowShown="0">
  <autoFilter ref="G5:H6" xr:uid="{00000000-0009-0000-0100-000069000000}"/>
  <tableColumns count="2">
    <tableColumn id="1" xr3:uid="{00000000-0010-0000-6100-000001000000}" name="Input"/>
    <tableColumn id="2" xr3:uid="{00000000-0010-0000-6100-000002000000}" name="Package"/>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2000000}" name="Table107" displayName="Table107" ref="B8:E12" totalsRowShown="0">
  <autoFilter ref="B8:E12" xr:uid="{00000000-0009-0000-0100-00006B000000}"/>
  <tableColumns count="4">
    <tableColumn id="1" xr3:uid="{00000000-0010-0000-6200-000001000000}" name="Column1"/>
    <tableColumn id="2" xr3:uid="{00000000-0010-0000-6200-000002000000}" name="Internet Speed"/>
    <tableColumn id="3" xr3:uid="{00000000-0010-0000-6200-000003000000}" name="1st Year"/>
    <tableColumn id="4" xr3:uid="{00000000-0010-0000-6200-000004000000}" name="2nd Year"/>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74000000}" name="Dish" displayName="Dish" ref="A23:F29" totalsRowShown="0">
  <autoFilter ref="A23:F29" xr:uid="{00000000-0009-0000-0100-000003000000}"/>
  <tableColumns count="6">
    <tableColumn id="1" xr3:uid="{00000000-0010-0000-7400-000001000000}" name="Package #"/>
    <tableColumn id="2" xr3:uid="{00000000-0010-0000-7400-000002000000}" name="Package"/>
    <tableColumn id="3" xr3:uid="{00000000-0010-0000-7400-000003000000}" name="1st year" dataDxfId="46"/>
    <tableColumn id="4" xr3:uid="{00000000-0010-0000-7400-000004000000}" name="2nd Year">
      <calculatedColumnFormula>C24+30</calculatedColumnFormula>
    </tableColumn>
    <tableColumn id="5" xr3:uid="{00000000-0010-0000-7400-000005000000}" name="Hopper"/>
    <tableColumn id="7" xr3:uid="{00000000-0010-0000-7400-000007000000}" name="Receiver"/>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75000000}" name="Table53" displayName="Table53" ref="A31:D35" totalsRowShown="0">
  <autoFilter ref="A31:D35" xr:uid="{00000000-0009-0000-0100-000035000000}"/>
  <tableColumns count="4">
    <tableColumn id="1" xr3:uid="{00000000-0010-0000-7500-000001000000}" name="Column1"/>
    <tableColumn id="2" xr3:uid="{00000000-0010-0000-7500-000002000000}" name="Column2"/>
    <tableColumn id="3" xr3:uid="{00000000-0010-0000-7500-000003000000}" name="Column3"/>
    <tableColumn id="4" xr3:uid="{00000000-0010-0000-7500-000004000000}" name="Column4"/>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76000000}" name="Table4" displayName="Table4" ref="H33:J41" totalsRowCount="1">
  <autoFilter ref="H33:J40" xr:uid="{00000000-0009-0000-0100-000004000000}"/>
  <tableColumns count="3">
    <tableColumn id="1" xr3:uid="{00000000-0010-0000-7600-000001000000}" name="Column1" totalsRowFunction="custom">
      <totalsRowFormula>VLOOKUP(H40-1,Table4[#All],2,FALSE)</totalsRowFormula>
    </tableColumn>
    <tableColumn id="2" xr3:uid="{00000000-0010-0000-7600-000002000000}" name="Column2"/>
    <tableColumn id="3" xr3:uid="{00000000-0010-0000-7600-000003000000}" name="Column3"/>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63000000}" name="Table79" displayName="Table79" ref="B4:E9" totalsRowShown="0" headerRowDxfId="45" dataDxfId="44">
  <autoFilter ref="B4:E9" xr:uid="{00000000-0009-0000-0100-00004F000000}"/>
  <tableColumns count="4">
    <tableColumn id="1" xr3:uid="{00000000-0010-0000-6300-000001000000}" name="Column1" dataDxfId="43"/>
    <tableColumn id="2" xr3:uid="{00000000-0010-0000-6300-000002000000}" name="Column2" dataDxfId="42"/>
    <tableColumn id="3" xr3:uid="{00000000-0010-0000-6300-000003000000}" name="Column3" dataDxfId="41"/>
    <tableColumn id="4" xr3:uid="{00000000-0010-0000-6300-000004000000}" name="Column4" dataDxfId="40"/>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64000000}" name="TWC_TV" displayName="TWC_TV" ref="B23:E27" totalsRowShown="0">
  <autoFilter ref="B23:E27" xr:uid="{00000000-0009-0000-0100-000016000000}"/>
  <tableColumns count="4">
    <tableColumn id="1" xr3:uid="{00000000-0010-0000-6400-000001000000}" name="Package #"/>
    <tableColumn id="2" xr3:uid="{00000000-0010-0000-6400-000002000000}" name="Package"/>
    <tableColumn id="3" xr3:uid="{00000000-0010-0000-6400-000003000000}" name="Price"/>
    <tableColumn id="4" xr3:uid="{00000000-0010-0000-6400-000004000000}" name="Plus Phone"/>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65000000}" name="Verizon_Internet24" displayName="Verizon_Internet24" ref="B32:E39" totalsRowShown="0">
  <autoFilter ref="B32:E39" xr:uid="{00000000-0009-0000-0100-000017000000}"/>
  <tableColumns count="4">
    <tableColumn id="1" xr3:uid="{00000000-0010-0000-6500-000001000000}" name="Package #"/>
    <tableColumn id="2" xr3:uid="{00000000-0010-0000-6500-000002000000}" name="Package"/>
    <tableColumn id="3" xr3:uid="{00000000-0010-0000-6500-000003000000}" name="1st year"/>
    <tableColumn id="5" xr3:uid="{00000000-0010-0000-6500-000005000000}" name="Plus"/>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66000000}" name="Table1525" displayName="Table1525" ref="B5:I9" totalsRowShown="0" tableBorderDxfId="39">
  <autoFilter ref="B5:I9" xr:uid="{00000000-0009-0000-0100-000018000000}"/>
  <tableColumns count="8">
    <tableColumn id="1" xr3:uid="{00000000-0010-0000-6600-000001000000}" name="Package #"/>
    <tableColumn id="2" xr3:uid="{00000000-0010-0000-6600-000002000000}" name="Double Play2"/>
    <tableColumn id="3" xr3:uid="{00000000-0010-0000-6600-000003000000}" name="Lite 2/1"/>
    <tableColumn id="4" xr3:uid="{00000000-0010-0000-6600-000004000000}" name="Basic 3/12"/>
    <tableColumn id="5" xr3:uid="{00000000-0010-0000-6600-000005000000}" name="Standard 15/1"/>
    <tableColumn id="6" xr3:uid="{00000000-0010-0000-6600-000006000000}" name="Turbo 20/2"/>
    <tableColumn id="7" xr3:uid="{00000000-0010-0000-6600-000007000000}" name="Extreme 30/5"/>
    <tableColumn id="8" xr3:uid="{00000000-0010-0000-6600-000008000000}" name="Ultimate 50/5"/>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67000000}" name="Table1927" displayName="Table1927" ref="K3:M10" totalsRowShown="0">
  <autoFilter ref="K3:M10" xr:uid="{00000000-0009-0000-0100-00001A000000}"/>
  <tableColumns count="3">
    <tableColumn id="1" xr3:uid="{00000000-0010-0000-6700-000001000000}" name="Column1"/>
    <tableColumn id="2" xr3:uid="{00000000-0010-0000-6700-000002000000}" name="Column2"/>
    <tableColumn id="3" xr3:uid="{00000000-0010-0000-6700-000003000000}" name="Pric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08000000}" name="Table151781993" displayName="Table151781993" ref="A91:G95" totalsRowShown="0" tableBorderDxfId="142">
  <autoFilter ref="A91:G95" xr:uid="{00000000-0009-0000-0100-00005C000000}"/>
  <tableColumns count="7">
    <tableColumn id="1" xr3:uid="{00000000-0010-0000-0800-000001000000}" name="Package #"/>
    <tableColumn id="2" xr3:uid="{00000000-0010-0000-0800-000002000000}" name="Triple Play2"/>
    <tableColumn id="3" xr3:uid="{00000000-0010-0000-0800-000003000000}" name="50/50"/>
    <tableColumn id="4" xr3:uid="{00000000-0010-0000-0800-000004000000}" name="75/75"/>
    <tableColumn id="5" xr3:uid="{00000000-0010-0000-0800-000005000000}" name="150/150"/>
    <tableColumn id="6" xr3:uid="{00000000-0010-0000-0800-000006000000}" name="300/300"/>
    <tableColumn id="7" xr3:uid="{00000000-0010-0000-0800-000007000000}" name="500/500"/>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68000000}" name="Table528" displayName="Table528" ref="A44:C53" totalsRowShown="0" headerRowDxfId="38" dataDxfId="36" headerRowBorderDxfId="37" tableBorderDxfId="35" totalsRowBorderDxfId="34">
  <autoFilter ref="A44:C53" xr:uid="{00000000-0009-0000-0100-00001B000000}"/>
  <tableColumns count="3">
    <tableColumn id="3" xr3:uid="{00000000-0010-0000-6800-000003000000}" name="Equipment #" dataDxfId="33"/>
    <tableColumn id="1" xr3:uid="{00000000-0010-0000-6800-000001000000}" name="Boxes" dataDxfId="32"/>
    <tableColumn id="2" xr3:uid="{00000000-0010-0000-6800-000002000000}" name="Price" dataDxfId="31"/>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69000000}" name="Table829" displayName="Table829" ref="H44:J51" totalsRowShown="0" headerRowDxfId="30" headerRowBorderDxfId="29" tableBorderDxfId="28" totalsRowBorderDxfId="27">
  <autoFilter ref="H44:J51" xr:uid="{00000000-0009-0000-0100-00001C000000}"/>
  <tableColumns count="3">
    <tableColumn id="1" xr3:uid="{00000000-0010-0000-6900-000001000000}" name="Movies" dataDxfId="26"/>
    <tableColumn id="2" xr3:uid="{00000000-0010-0000-6900-000002000000}" name="Cost" dataDxfId="25"/>
    <tableColumn id="4" xr3:uid="{00000000-0010-0000-6900-000004000000}" name="Checked?"/>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6A000000}" name="Table152530" displayName="Table152530" ref="B13:I17" totalsRowShown="0" tableBorderDxfId="24">
  <autoFilter ref="B13:I17" xr:uid="{00000000-0009-0000-0100-00001D000000}"/>
  <tableColumns count="8">
    <tableColumn id="1" xr3:uid="{00000000-0010-0000-6A00-000001000000}" name="Package #"/>
    <tableColumn id="2" xr3:uid="{00000000-0010-0000-6A00-000002000000}" name="Triple Play2"/>
    <tableColumn id="9" xr3:uid="{00000000-0010-0000-6A00-000009000000}" name="Lite 2/1"/>
    <tableColumn id="3" xr3:uid="{00000000-0010-0000-6A00-000003000000}" name="Basic 3/1"/>
    <tableColumn id="4" xr3:uid="{00000000-0010-0000-6A00-000004000000}" name="Standard 15/1"/>
    <tableColumn id="5" xr3:uid="{00000000-0010-0000-6A00-000005000000}" name="Turbo 20/2"/>
    <tableColumn id="6" xr3:uid="{00000000-0010-0000-6A00-000006000000}" name="Extreme 30/5"/>
    <tableColumn id="7" xr3:uid="{00000000-0010-0000-6A00-000007000000}" name="Ultimate 50/5"/>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6B000000}" name="Table46" displayName="Table46" ref="B57:C66" totalsRowShown="0">
  <autoFilter ref="B57:C66" xr:uid="{00000000-0009-0000-0100-00002E000000}"/>
  <tableColumns count="2">
    <tableColumn id="1" xr3:uid="{00000000-0010-0000-6B00-000001000000}" name="Column1"/>
    <tableColumn id="2" xr3:uid="{00000000-0010-0000-6B00-000002000000}" name="Column2"/>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6C000000}" name="Verizon_TV56" displayName="Verizon_TV56" ref="B22:F26" totalsRowShown="0">
  <autoFilter ref="B22:F26" xr:uid="{00000000-0009-0000-0100-000037000000}"/>
  <tableColumns count="5">
    <tableColumn id="1" xr3:uid="{00000000-0010-0000-6C00-000001000000}" name="Package #"/>
    <tableColumn id="2" xr3:uid="{00000000-0010-0000-6C00-000002000000}" name="Package"/>
    <tableColumn id="3" xr3:uid="{00000000-0010-0000-6C00-000003000000}" name="Price"/>
    <tableColumn id="4" xr3:uid="{00000000-0010-0000-6C00-000004000000}" name="Plus Phone"/>
    <tableColumn id="5" xr3:uid="{00000000-0010-0000-6C00-000005000000}" name="Plus Phone Yr 2"/>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6D000000}" name="Verizon_Internet57" displayName="Verizon_Internet57" ref="B31:G36" totalsRowShown="0">
  <autoFilter ref="B31:G36" xr:uid="{00000000-0009-0000-0100-000038000000}"/>
  <tableColumns count="6">
    <tableColumn id="1" xr3:uid="{00000000-0010-0000-6D00-000001000000}" name="Package #"/>
    <tableColumn id="2" xr3:uid="{00000000-0010-0000-6D00-000002000000}" name="Package"/>
    <tableColumn id="3" xr3:uid="{00000000-0010-0000-6D00-000003000000}" name="1st year"/>
    <tableColumn id="4" xr3:uid="{00000000-0010-0000-6D00-000004000000}" name="2nd Year"/>
    <tableColumn id="5" xr3:uid="{00000000-0010-0000-6D00-000005000000}" name="Plus Phone"/>
    <tableColumn id="6" xr3:uid="{00000000-0010-0000-6D00-000006000000}" name="Plus Phone Yr 2"/>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6E000000}" name="Table1558" displayName="Table1558" ref="B4:H8" totalsRowShown="0" tableBorderDxfId="23">
  <autoFilter ref="B4:H8" xr:uid="{00000000-0009-0000-0100-000039000000}"/>
  <tableColumns count="7">
    <tableColumn id="1" xr3:uid="{00000000-0010-0000-6E00-000001000000}" name="Package #"/>
    <tableColumn id="2" xr3:uid="{00000000-0010-0000-6E00-000002000000}" name="Double Play2"/>
    <tableColumn id="3" xr3:uid="{00000000-0010-0000-6E00-000003000000}" name="15"/>
    <tableColumn id="4" xr3:uid="{00000000-0010-0000-6E00-000004000000}" name="50"/>
    <tableColumn id="5" xr3:uid="{00000000-0010-0000-6E00-000005000000}" name="200"/>
    <tableColumn id="6" xr3:uid="{00000000-0010-0000-6E00-000006000000}" name="300"/>
    <tableColumn id="7" xr3:uid="{00000000-0010-0000-6E00-000007000000}" name="400"/>
  </tableColumns>
  <tableStyleInfo name="TableStyleMedium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6F000000}" name="Table151759" displayName="Table151759" ref="B12:H16" totalsRowShown="0" tableBorderDxfId="22">
  <autoFilter ref="B12:H16" xr:uid="{00000000-0009-0000-0100-00003A000000}"/>
  <tableColumns count="7">
    <tableColumn id="1" xr3:uid="{00000000-0010-0000-6F00-000001000000}" name="Package #"/>
    <tableColumn id="2" xr3:uid="{00000000-0010-0000-6F00-000002000000}" name="Triple Play2"/>
    <tableColumn id="3" xr3:uid="{00000000-0010-0000-6F00-000003000000}" name="15"/>
    <tableColumn id="4" xr3:uid="{00000000-0010-0000-6F00-000004000000}" name="50"/>
    <tableColumn id="5" xr3:uid="{00000000-0010-0000-6F00-000005000000}" name="200"/>
    <tableColumn id="6" xr3:uid="{00000000-0010-0000-6F00-000006000000}" name="300"/>
    <tableColumn id="7" xr3:uid="{00000000-0010-0000-6F00-000007000000}" name="400"/>
  </tableColumns>
  <tableStyleInfo name="TableStyleMedium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70000000}" name="Table1960" displayName="Table1960" ref="I2:L9" totalsRowShown="0">
  <autoFilter ref="I2:L9" xr:uid="{00000000-0009-0000-0100-00003B000000}"/>
  <tableColumns count="4">
    <tableColumn id="1" xr3:uid="{00000000-0010-0000-7000-000001000000}" name="Column1"/>
    <tableColumn id="2" xr3:uid="{00000000-0010-0000-7000-000002000000}" name="Column2"/>
    <tableColumn id="3" xr3:uid="{00000000-0010-0000-7000-000003000000}" name="1st Year"/>
    <tableColumn id="4" xr3:uid="{00000000-0010-0000-7000-000004000000}" name="Second Year"/>
  </tableColumns>
  <tableStyleInfo name="TableStyleMedium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71000000}" name="Table561" displayName="Table561" ref="A42:D53" totalsRowShown="0" headerRowDxfId="21" dataDxfId="19" headerRowBorderDxfId="20" tableBorderDxfId="18" totalsRowBorderDxfId="17">
  <autoFilter ref="A42:D53" xr:uid="{00000000-0009-0000-0100-00003C000000}"/>
  <tableColumns count="4">
    <tableColumn id="3" xr3:uid="{00000000-0010-0000-7100-000003000000}" name="Equipment #" dataDxfId="16"/>
    <tableColumn id="1" xr3:uid="{00000000-0010-0000-7100-000001000000}" name="Boxes" dataDxfId="15"/>
    <tableColumn id="2" xr3:uid="{00000000-0010-0000-7100-000002000000}" name="Price" dataDxfId="14"/>
    <tableColumn id="4" xr3:uid="{00000000-0010-0000-7100-000004000000}" name="DVR" dataDxfId="1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table" Target="../tables/table30.xml"/><Relationship Id="rId6" Type="http://schemas.openxmlformats.org/officeDocument/2006/relationships/table" Target="../tables/table35.xml"/><Relationship Id="rId5" Type="http://schemas.openxmlformats.org/officeDocument/2006/relationships/table" Target="../tables/table34.xml"/><Relationship Id="rId4" Type="http://schemas.openxmlformats.org/officeDocument/2006/relationships/table" Target="../tables/table3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44.xml"/><Relationship Id="rId3" Type="http://schemas.openxmlformats.org/officeDocument/2006/relationships/table" Target="../tables/table39.xml"/><Relationship Id="rId7" Type="http://schemas.openxmlformats.org/officeDocument/2006/relationships/table" Target="../tables/table43.xml"/><Relationship Id="rId12" Type="http://schemas.openxmlformats.org/officeDocument/2006/relationships/comments" Target="../comments1.xml"/><Relationship Id="rId2" Type="http://schemas.openxmlformats.org/officeDocument/2006/relationships/table" Target="../tables/table38.xml"/><Relationship Id="rId1" Type="http://schemas.openxmlformats.org/officeDocument/2006/relationships/vmlDrawing" Target="../drawings/vmlDrawing2.vml"/><Relationship Id="rId6" Type="http://schemas.openxmlformats.org/officeDocument/2006/relationships/table" Target="../tables/table42.xml"/><Relationship Id="rId11" Type="http://schemas.openxmlformats.org/officeDocument/2006/relationships/table" Target="../tables/table47.xml"/><Relationship Id="rId5" Type="http://schemas.openxmlformats.org/officeDocument/2006/relationships/table" Target="../tables/table41.xml"/><Relationship Id="rId10" Type="http://schemas.openxmlformats.org/officeDocument/2006/relationships/table" Target="../tables/table46.xml"/><Relationship Id="rId4" Type="http://schemas.openxmlformats.org/officeDocument/2006/relationships/table" Target="../tables/table40.xml"/><Relationship Id="rId9" Type="http://schemas.openxmlformats.org/officeDocument/2006/relationships/table" Target="../tables/table4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56.xml"/><Relationship Id="rId13" Type="http://schemas.openxmlformats.org/officeDocument/2006/relationships/table" Target="../tables/table61.xml"/><Relationship Id="rId3" Type="http://schemas.openxmlformats.org/officeDocument/2006/relationships/table" Target="../tables/table51.xml"/><Relationship Id="rId7" Type="http://schemas.openxmlformats.org/officeDocument/2006/relationships/table" Target="../tables/table55.xml"/><Relationship Id="rId12" Type="http://schemas.openxmlformats.org/officeDocument/2006/relationships/table" Target="../tables/table60.xml"/><Relationship Id="rId2" Type="http://schemas.openxmlformats.org/officeDocument/2006/relationships/table" Target="../tables/table50.xml"/><Relationship Id="rId16" Type="http://schemas.openxmlformats.org/officeDocument/2006/relationships/table" Target="../tables/table64.xml"/><Relationship Id="rId1" Type="http://schemas.openxmlformats.org/officeDocument/2006/relationships/printerSettings" Target="../printerSettings/printerSettings7.bin"/><Relationship Id="rId6" Type="http://schemas.openxmlformats.org/officeDocument/2006/relationships/table" Target="../tables/table54.xml"/><Relationship Id="rId11" Type="http://schemas.openxmlformats.org/officeDocument/2006/relationships/table" Target="../tables/table59.xml"/><Relationship Id="rId5" Type="http://schemas.openxmlformats.org/officeDocument/2006/relationships/table" Target="../tables/table53.xml"/><Relationship Id="rId15" Type="http://schemas.openxmlformats.org/officeDocument/2006/relationships/table" Target="../tables/table63.xml"/><Relationship Id="rId10" Type="http://schemas.openxmlformats.org/officeDocument/2006/relationships/table" Target="../tables/table58.xml"/><Relationship Id="rId4" Type="http://schemas.openxmlformats.org/officeDocument/2006/relationships/table" Target="../tables/table52.xml"/><Relationship Id="rId9" Type="http://schemas.openxmlformats.org/officeDocument/2006/relationships/table" Target="../tables/table57.xml"/><Relationship Id="rId14" Type="http://schemas.openxmlformats.org/officeDocument/2006/relationships/table" Target="../tables/table62.xml"/></Relationships>
</file>

<file path=xl/worksheets/_rels/sheet15.xml.rels><?xml version="1.0" encoding="UTF-8" standalone="yes"?>
<Relationships xmlns="http://schemas.openxmlformats.org/package/2006/relationships"><Relationship Id="rId8" Type="http://schemas.openxmlformats.org/officeDocument/2006/relationships/table" Target="../tables/table71.xml"/><Relationship Id="rId3" Type="http://schemas.openxmlformats.org/officeDocument/2006/relationships/table" Target="../tables/table66.xml"/><Relationship Id="rId7" Type="http://schemas.openxmlformats.org/officeDocument/2006/relationships/table" Target="../tables/table70.xml"/><Relationship Id="rId2" Type="http://schemas.openxmlformats.org/officeDocument/2006/relationships/table" Target="../tables/table65.xml"/><Relationship Id="rId1" Type="http://schemas.openxmlformats.org/officeDocument/2006/relationships/printerSettings" Target="../printerSettings/printerSettings8.bin"/><Relationship Id="rId6" Type="http://schemas.openxmlformats.org/officeDocument/2006/relationships/table" Target="../tables/table69.xml"/><Relationship Id="rId5" Type="http://schemas.openxmlformats.org/officeDocument/2006/relationships/table" Target="../tables/table68.xml"/><Relationship Id="rId4" Type="http://schemas.openxmlformats.org/officeDocument/2006/relationships/table" Target="../tables/table67.xml"/><Relationship Id="rId9" Type="http://schemas.openxmlformats.org/officeDocument/2006/relationships/table" Target="../tables/table72.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75.xml"/><Relationship Id="rId2" Type="http://schemas.openxmlformats.org/officeDocument/2006/relationships/table" Target="../tables/table74.xml"/><Relationship Id="rId1" Type="http://schemas.openxmlformats.org/officeDocument/2006/relationships/table" Target="../tables/table73.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8.xml"/><Relationship Id="rId2" Type="http://schemas.openxmlformats.org/officeDocument/2006/relationships/table" Target="../tables/table77.xml"/><Relationship Id="rId1" Type="http://schemas.openxmlformats.org/officeDocument/2006/relationships/table" Target="../tables/table76.xml"/><Relationship Id="rId6" Type="http://schemas.openxmlformats.org/officeDocument/2006/relationships/table" Target="../tables/table81.xml"/><Relationship Id="rId5" Type="http://schemas.openxmlformats.org/officeDocument/2006/relationships/table" Target="../tables/table80.xml"/><Relationship Id="rId4" Type="http://schemas.openxmlformats.org/officeDocument/2006/relationships/table" Target="../tables/table79.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4.xml"/><Relationship Id="rId2" Type="http://schemas.openxmlformats.org/officeDocument/2006/relationships/table" Target="../tables/table83.xml"/><Relationship Id="rId1" Type="http://schemas.openxmlformats.org/officeDocument/2006/relationships/table" Target="../tables/table8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st.att.com/login" TargetMode="External"/><Relationship Id="rId1" Type="http://schemas.openxmlformats.org/officeDocument/2006/relationships/hyperlink" Target="https://www.e-access.att.com/mycsp"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texasbestcreditrepair.com/Consultation-Details.html"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s://www.directenergy.com/texas/electricity-plans/liberty-plan/msid/739/pid/liberty?utm_source=BD&amp;utm_medium=360Home" TargetMode="External"/><Relationship Id="rId18" Type="http://schemas.openxmlformats.org/officeDocument/2006/relationships/hyperlink" Target="http://www.championenergyservices.com/residential-energy/rates-and-plans/" TargetMode="External"/><Relationship Id="rId26" Type="http://schemas.openxmlformats.org/officeDocument/2006/relationships/hyperlink" Target="https://www.reliant.com/public/loadNewEnroll.htm" TargetMode="External"/><Relationship Id="rId39" Type="http://schemas.openxmlformats.org/officeDocument/2006/relationships/hyperlink" Target="https://www.twcindependentretailer.com/login/" TargetMode="External"/><Relationship Id="rId3" Type="http://schemas.openxmlformats.org/officeDocument/2006/relationships/hyperlink" Target="https://www.bounceenergy.com/texas/fixed-rate-electricity-12/msid/1027/pid/t12?utm_source=BD&amp;utm_medium=360Home" TargetMode="External"/><Relationship Id="rId21" Type="http://schemas.openxmlformats.org/officeDocument/2006/relationships/hyperlink" Target="https://www.atmosenergy.com/home/start_service.html" TargetMode="External"/><Relationship Id="rId34" Type="http://schemas.openxmlformats.org/officeDocument/2006/relationships/hyperlink" Target="https://www.att.com/shop/unified/availability.html?destination_page=BYOB" TargetMode="External"/><Relationship Id="rId42" Type="http://schemas.openxmlformats.org/officeDocument/2006/relationships/hyperlink" Target="http://safe.frontpointsecurity.com/spa-landing-page-quote-wizard?source=%7b18F9AF50-748E-4B83-89B5-83D92DAB8972%7d" TargetMode="External"/><Relationship Id="rId47" Type="http://schemas.openxmlformats.org/officeDocument/2006/relationships/hyperlink" Target="https://retailer.dish.com/sellershub/start.swe?SWECmd=GotoView&amp;SWEView=RTL+CX+Login+View&amp;SWERF=1&amp;SWEHo=retailer.dish.com&amp;SWEBU=1&amp;SWEApplet0=RTL+CX+Login+Applet&amp;SWERowId0=VRId-0" TargetMode="External"/><Relationship Id="rId50" Type="http://schemas.openxmlformats.org/officeDocument/2006/relationships/printerSettings" Target="../printerSettings/printerSettings11.bin"/><Relationship Id="rId7" Type="http://schemas.openxmlformats.org/officeDocument/2006/relationships/hyperlink" Target="https://www.firstchoicepower.com/texas/electricity-plans/month-to-month-electricity/msid/552/pid/icp?utm_source=BD&amp;utm_medium=360Home" TargetMode="External"/><Relationship Id="rId12" Type="http://schemas.openxmlformats.org/officeDocument/2006/relationships/hyperlink" Target="https://www.bounceenergy.com/texas/save-money/msid/1027/pid/tsp?utm_source=BD&amp;utm_medium=360Home" TargetMode="External"/><Relationship Id="rId17" Type="http://schemas.openxmlformats.org/officeDocument/2006/relationships/hyperlink" Target="http://www.4changeenergy.com/360homeconnect" TargetMode="External"/><Relationship Id="rId25" Type="http://schemas.openxmlformats.org/officeDocument/2006/relationships/hyperlink" Target="https://www.techspatch.com/" TargetMode="External"/><Relationship Id="rId33" Type="http://schemas.openxmlformats.org/officeDocument/2006/relationships/hyperlink" Target="https://order.suddenlink.com/Buyflow/Storefront?gclid=Cj0KEQiAqemzBRDh2vGKmMnqoegBEiQAqJPuyIbMa73NEXolKF1UnymCHEjflFrzIZ2RWbbVb8HzUgsaAqmh8P8HAQ" TargetMode="External"/><Relationship Id="rId38" Type="http://schemas.openxmlformats.org/officeDocument/2006/relationships/hyperlink" Target="https://fiber.google.com/cities/austin/?feeditemid&amp;targetid=kwd-62547069244&amp;loc_physical_ms=9028319&amp;loc_interest_ms&amp;adpos=1t1&amp;matchtype=e&amp;network=g&amp;device=c&amp;gclid=CjwKEAiA27G1BRCEopST9M39gykSJADQyqAl_OqmVgWg1mLeXjmSIeRTHazlkgCc8287v1w0-xkfmhoCWJrw_wcB&amp;gcl" TargetMode="External"/><Relationship Id="rId46" Type="http://schemas.openxmlformats.org/officeDocument/2006/relationships/hyperlink" Target="https://indirectwlp-frontier.activationnow.com/webclient/login.jsp;JSESSIONID=8ee662dd-9376-404e-9322-8d04d5952b1b" TargetMode="External"/><Relationship Id="rId2" Type="http://schemas.openxmlformats.org/officeDocument/2006/relationships/hyperlink" Target="https://www.directenergy.com/texas/electricity-plans/price-protection-24/msid/739/pid/pp24?utm_source=BD&amp;utm_medium=360Home" TargetMode="External"/><Relationship Id="rId16" Type="http://schemas.openxmlformats.org/officeDocument/2006/relationships/hyperlink" Target="https://www.trieagleenergy.com/TX/residential/default.aspx" TargetMode="External"/><Relationship Id="rId20" Type="http://schemas.openxmlformats.org/officeDocument/2006/relationships/hyperlink" Target="https://www.texasgasservice.com/MyAccount/StartService.aspx" TargetMode="External"/><Relationship Id="rId29" Type="http://schemas.openxmlformats.org/officeDocument/2006/relationships/hyperlink" Target="http://offer.startexpower.com/search/?&amp;utm_source=google&amp;utm_medium=cpc&amp;utm_term=%2Bstartex%20%2Bpower&amp;mkwid=szOeotYff_dc&amp;pcrid=86558612915&amp;plc=&amp;pkw=%2Bstartex%20%2Bpower&amp;pmt=b&amp;cvosrc=ppc.google.%2Bstartex%20%2Bpowerhttp://www.bandwidthbuilders.com/secure" TargetMode="External"/><Relationship Id="rId41" Type="http://schemas.openxmlformats.org/officeDocument/2006/relationships/hyperlink" Target="https://www.cirroenergy.com/" TargetMode="External"/><Relationship Id="rId1" Type="http://schemas.openxmlformats.org/officeDocument/2006/relationships/hyperlink" Target="https://www.directenergy.com/texas/electricity-plans/price-protection-12/msid/739/pid/pp12?utm_source=BD&amp;utm_medium=360Home" TargetMode="External"/><Relationship Id="rId6" Type="http://schemas.openxmlformats.org/officeDocument/2006/relationships/hyperlink" Target="https://www.firstchoicepower.com/texas/electricity-plans/fixed-rate-electricity-24/msid/552/pid/tcs24?utm_source=BD&amp;utm_medium=360Home" TargetMode="External"/><Relationship Id="rId11" Type="http://schemas.openxmlformats.org/officeDocument/2006/relationships/hyperlink" Target="https://www.bounceenergy.com/texas/be-in-control-24/msid/1027/pid/becon24?utm_source=BD&amp;utm_medium=360Home" TargetMode="External"/><Relationship Id="rId24" Type="http://schemas.openxmlformats.org/officeDocument/2006/relationships/hyperlink" Target="https://skyline.tier32.com/Login.aspx" TargetMode="External"/><Relationship Id="rId32" Type="http://schemas.openxmlformats.org/officeDocument/2006/relationships/hyperlink" Target="https://www.charter.com/browse/content/lfo-7n?v=LFOSEM&amp;affpn=1-877-473-0328&amp;cmp=pds_lfo&amp;o=sem&amp;kob=false&amp;lfokp=charter&amp;TransID=61614563165::charter::e::Google::c&amp;&amp;gclid=CjwKEAiA2IO0BRDXmLndksSB0WgSJADNKqqorWBHkgqmCuPfN4tAI6B81bKv_cycUOg3_U1AJZ3f6RoCL9Lw_wc" TargetMode="External"/><Relationship Id="rId37" Type="http://schemas.openxmlformats.org/officeDocument/2006/relationships/hyperlink" Target="http://mygrande.com/order/15-mbps-internet" TargetMode="External"/><Relationship Id="rId40" Type="http://schemas.openxmlformats.org/officeDocument/2006/relationships/hyperlink" Target="http://www.centerpointenergy.com/en-us/pages/changeservicearea.aspx?requesturl=/en-us/residential/customer-service/start-stop-transfer-service/start-natural-gas-service?wt.ac=top_trans" TargetMode="External"/><Relationship Id="rId45" Type="http://schemas.openxmlformats.org/officeDocument/2006/relationships/hyperlink" Target="https://www.sparkenergy.com/en/products-and-services/" TargetMode="External"/><Relationship Id="rId5" Type="http://schemas.openxmlformats.org/officeDocument/2006/relationships/hyperlink" Target="https://www.firstchoicepower.com/texas/electricity-plans/fixed-rate-electricity-12/msid/552/pid/tcs12?utm_source=BD&amp;utm_medium=360Home" TargetMode="External"/><Relationship Id="rId15" Type="http://schemas.openxmlformats.org/officeDocument/2006/relationships/hyperlink" Target="http://www.amigoenergy.com/360hc.aspx" TargetMode="External"/><Relationship Id="rId23" Type="http://schemas.openxmlformats.org/officeDocument/2006/relationships/hyperlink" Target="http://www.bandwidthbuilders.com/secure/" TargetMode="External"/><Relationship Id="rId28" Type="http://schemas.openxmlformats.org/officeDocument/2006/relationships/hyperlink" Target="http://discountpowertx.com/residential/" TargetMode="External"/><Relationship Id="rId36" Type="http://schemas.openxmlformats.org/officeDocument/2006/relationships/hyperlink" Target="https://www.twcindependentretailer.com/login/" TargetMode="External"/><Relationship Id="rId49" Type="http://schemas.openxmlformats.org/officeDocument/2006/relationships/hyperlink" Target="http://www.taraenergy.com/" TargetMode="External"/><Relationship Id="rId10" Type="http://schemas.openxmlformats.org/officeDocument/2006/relationships/hyperlink" Target="https://www.bounceenergy.com/texas/fixed-rate-electricity-6/msid/1027/pid/ff6?utm_source=BD&amp;utm_medium=360Home" TargetMode="External"/><Relationship Id="rId19" Type="http://schemas.openxmlformats.org/officeDocument/2006/relationships/hyperlink" Target="https://www.txu.com/Home/residential/plans-offers.aspx?PromoCode=GGLPPCAD&amp;WT.mc_id=SCH-R-331-C-16-9021061&amp;KID=59ad3417-b73d-4d76-88eb-772986e971de&amp;gclid=CjwKEAiA27G1BRCEopST9M39gykSJADQyqAlqepcmiRyllyPXxjgiOw7rMo7X1B8cNW7CjUEYIwgcRoCc0Xw_wcB&amp;prom=GGLPPCAD" TargetMode="External"/><Relationship Id="rId31" Type="http://schemas.openxmlformats.org/officeDocument/2006/relationships/hyperlink" Target="https://www.verizon.com/ForYourHome/ordering/CheckAvailability.aspx?j=eyJ0IjoiMS04NzctMzg3LTIxMDUiLCJwIjoiNzM3LTI5OSIsImMiOjE0NTA5MzY3NzcsImIiOiIiLCJ3IjpudWxsLCJ2IjoiMTYwNzM3Mjk5IiwibyI6IlJlZFZlbnR1cmVzIn0%3D&amp;v=5629a3b43650339ee955015a17ac6072" TargetMode="External"/><Relationship Id="rId44" Type="http://schemas.openxmlformats.org/officeDocument/2006/relationships/hyperlink" Target="http://www.bandwidthbuilders.com/secure/" TargetMode="External"/><Relationship Id="rId4" Type="http://schemas.openxmlformats.org/officeDocument/2006/relationships/hyperlink" Target="https://www.bounceenergy.com/texas/fixed-rate-electricity-24/msid/1027/pid/tremend24?utm_source=BD&amp;utm_medium=360Home" TargetMode="External"/><Relationship Id="rId9" Type="http://schemas.openxmlformats.org/officeDocument/2006/relationships/hyperlink" Target="https://www.directenergy.com/nest/msid/739/pid/cc24?utm_source=BD&amp;utm_medium=360Home" TargetMode="External"/><Relationship Id="rId14" Type="http://schemas.openxmlformats.org/officeDocument/2006/relationships/hyperlink" Target="https://www.frontierutilities.com:8081/AgentEnrollmentTX/Index.aspx" TargetMode="External"/><Relationship Id="rId22" Type="http://schemas.openxmlformats.org/officeDocument/2006/relationships/hyperlink" Target="https://retailer.directv.com/NASApp/directv/Login" TargetMode="External"/><Relationship Id="rId27" Type="http://schemas.openxmlformats.org/officeDocument/2006/relationships/hyperlink" Target="https://www.greenmountainenergy.com/for-home/shop-for-electricity/" TargetMode="External"/><Relationship Id="rId30" Type="http://schemas.openxmlformats.org/officeDocument/2006/relationships/hyperlink" Target="http://www.gexaenergy.com/customer-type" TargetMode="External"/><Relationship Id="rId35" Type="http://schemas.openxmlformats.org/officeDocument/2006/relationships/hyperlink" Target="http://www.xfinity.com/" TargetMode="External"/><Relationship Id="rId43" Type="http://schemas.openxmlformats.org/officeDocument/2006/relationships/hyperlink" Target="https://www.coserv.com/contact-us/new-service" TargetMode="External"/><Relationship Id="rId48" Type="http://schemas.openxmlformats.org/officeDocument/2006/relationships/hyperlink" Target="https://admportal.myhughesnet.com/cdclogin/cdcservlet?Navbar=no&amp;hideHeaderURL=true&amp;hideHeader=true&amp;hideFooter=true&amp;goto=https%3A%2F%2Fsecure.hughesnet.com%3A443%2Freseller%2Findex.cfm%3FsunwMethod%3DGET&amp;RequestID=1784683746&amp;MajorVersion=1&amp;MinorVersion=0&amp;P" TargetMode="External"/><Relationship Id="rId8" Type="http://schemas.openxmlformats.org/officeDocument/2006/relationships/hyperlink" Target="https://www.directenergy.com/texas/electricity-plans/tou-price-protection-plan-12/msid/739/pid/tousaturday12?utm_source=BD&amp;utm_medium=360Home"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28.xml.rels><?xml version="1.0" encoding="UTF-8" standalone="yes"?>
<Relationships xmlns="http://schemas.openxmlformats.org/package/2006/relationships"><Relationship Id="rId8" Type="http://schemas.openxmlformats.org/officeDocument/2006/relationships/table" Target="../tables/table93.xml"/><Relationship Id="rId3" Type="http://schemas.openxmlformats.org/officeDocument/2006/relationships/table" Target="../tables/table88.xml"/><Relationship Id="rId7" Type="http://schemas.openxmlformats.org/officeDocument/2006/relationships/table" Target="../tables/table92.xml"/><Relationship Id="rId2" Type="http://schemas.openxmlformats.org/officeDocument/2006/relationships/table" Target="../tables/table87.xml"/><Relationship Id="rId1" Type="http://schemas.openxmlformats.org/officeDocument/2006/relationships/table" Target="../tables/table86.xml"/><Relationship Id="rId6" Type="http://schemas.openxmlformats.org/officeDocument/2006/relationships/table" Target="../tables/table91.xml"/><Relationship Id="rId5" Type="http://schemas.openxmlformats.org/officeDocument/2006/relationships/table" Target="../tables/table90.xml"/><Relationship Id="rId4" Type="http://schemas.openxmlformats.org/officeDocument/2006/relationships/table" Target="../tables/table89.xml"/></Relationships>
</file>

<file path=xl/worksheets/_rels/sheet29.xml.rels><?xml version="1.0" encoding="UTF-8" standalone="yes"?>
<Relationships xmlns="http://schemas.openxmlformats.org/package/2006/relationships"><Relationship Id="rId8" Type="http://schemas.openxmlformats.org/officeDocument/2006/relationships/table" Target="../tables/table101.xml"/><Relationship Id="rId3" Type="http://schemas.openxmlformats.org/officeDocument/2006/relationships/table" Target="../tables/table96.xml"/><Relationship Id="rId7" Type="http://schemas.openxmlformats.org/officeDocument/2006/relationships/table" Target="../tables/table100.xml"/><Relationship Id="rId2" Type="http://schemas.openxmlformats.org/officeDocument/2006/relationships/table" Target="../tables/table95.xml"/><Relationship Id="rId1" Type="http://schemas.openxmlformats.org/officeDocument/2006/relationships/table" Target="../tables/table94.xml"/><Relationship Id="rId6" Type="http://schemas.openxmlformats.org/officeDocument/2006/relationships/table" Target="../tables/table99.xml"/><Relationship Id="rId5" Type="http://schemas.openxmlformats.org/officeDocument/2006/relationships/table" Target="../tables/table98.xml"/><Relationship Id="rId4" Type="http://schemas.openxmlformats.org/officeDocument/2006/relationships/table" Target="../tables/table97.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estlocaloffers.org/360-home"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 Id="rId4"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16.xml"/><Relationship Id="rId117" Type="http://schemas.openxmlformats.org/officeDocument/2006/relationships/ctrlProp" Target="../ctrlProps/ctrlProp107.xml"/><Relationship Id="rId21" Type="http://schemas.openxmlformats.org/officeDocument/2006/relationships/ctrlProp" Target="../ctrlProps/ctrlProp11.xml"/><Relationship Id="rId42" Type="http://schemas.openxmlformats.org/officeDocument/2006/relationships/ctrlProp" Target="../ctrlProps/ctrlProp32.xml"/><Relationship Id="rId47" Type="http://schemas.openxmlformats.org/officeDocument/2006/relationships/ctrlProp" Target="../ctrlProps/ctrlProp37.xml"/><Relationship Id="rId63" Type="http://schemas.openxmlformats.org/officeDocument/2006/relationships/ctrlProp" Target="../ctrlProps/ctrlProp53.xml"/><Relationship Id="rId68" Type="http://schemas.openxmlformats.org/officeDocument/2006/relationships/ctrlProp" Target="../ctrlProps/ctrlProp58.xml"/><Relationship Id="rId84" Type="http://schemas.openxmlformats.org/officeDocument/2006/relationships/ctrlProp" Target="../ctrlProps/ctrlProp74.xml"/><Relationship Id="rId89" Type="http://schemas.openxmlformats.org/officeDocument/2006/relationships/ctrlProp" Target="../ctrlProps/ctrlProp79.xml"/><Relationship Id="rId112" Type="http://schemas.openxmlformats.org/officeDocument/2006/relationships/ctrlProp" Target="../ctrlProps/ctrlProp102.xml"/><Relationship Id="rId16" Type="http://schemas.openxmlformats.org/officeDocument/2006/relationships/ctrlProp" Target="../ctrlProps/ctrlProp6.xml"/><Relationship Id="rId107" Type="http://schemas.openxmlformats.org/officeDocument/2006/relationships/ctrlProp" Target="../ctrlProps/ctrlProp97.xml"/><Relationship Id="rId11" Type="http://schemas.openxmlformats.org/officeDocument/2006/relationships/ctrlProp" Target="../ctrlProps/ctrlProp1.xml"/><Relationship Id="rId32" Type="http://schemas.openxmlformats.org/officeDocument/2006/relationships/ctrlProp" Target="../ctrlProps/ctrlProp22.xml"/><Relationship Id="rId37" Type="http://schemas.openxmlformats.org/officeDocument/2006/relationships/ctrlProp" Target="../ctrlProps/ctrlProp27.xml"/><Relationship Id="rId53" Type="http://schemas.openxmlformats.org/officeDocument/2006/relationships/ctrlProp" Target="../ctrlProps/ctrlProp43.xml"/><Relationship Id="rId58" Type="http://schemas.openxmlformats.org/officeDocument/2006/relationships/ctrlProp" Target="../ctrlProps/ctrlProp48.xml"/><Relationship Id="rId74" Type="http://schemas.openxmlformats.org/officeDocument/2006/relationships/ctrlProp" Target="../ctrlProps/ctrlProp64.xml"/><Relationship Id="rId79" Type="http://schemas.openxmlformats.org/officeDocument/2006/relationships/ctrlProp" Target="../ctrlProps/ctrlProp69.xml"/><Relationship Id="rId102" Type="http://schemas.openxmlformats.org/officeDocument/2006/relationships/ctrlProp" Target="../ctrlProps/ctrlProp92.xml"/><Relationship Id="rId5" Type="http://schemas.openxmlformats.org/officeDocument/2006/relationships/hyperlink" Target="https://www.att.com/channels/att-tv/" TargetMode="External"/><Relationship Id="rId61" Type="http://schemas.openxmlformats.org/officeDocument/2006/relationships/ctrlProp" Target="../ctrlProps/ctrlProp51.xml"/><Relationship Id="rId82" Type="http://schemas.openxmlformats.org/officeDocument/2006/relationships/ctrlProp" Target="../ctrlProps/ctrlProp72.xml"/><Relationship Id="rId90" Type="http://schemas.openxmlformats.org/officeDocument/2006/relationships/ctrlProp" Target="../ctrlProps/ctrlProp80.xml"/><Relationship Id="rId95" Type="http://schemas.openxmlformats.org/officeDocument/2006/relationships/ctrlProp" Target="../ctrlProps/ctrlProp85.xml"/><Relationship Id="rId19" Type="http://schemas.openxmlformats.org/officeDocument/2006/relationships/ctrlProp" Target="../ctrlProps/ctrlProp9.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 Id="rId35" Type="http://schemas.openxmlformats.org/officeDocument/2006/relationships/ctrlProp" Target="../ctrlProps/ctrlProp25.xml"/><Relationship Id="rId43" Type="http://schemas.openxmlformats.org/officeDocument/2006/relationships/ctrlProp" Target="../ctrlProps/ctrlProp33.xml"/><Relationship Id="rId48" Type="http://schemas.openxmlformats.org/officeDocument/2006/relationships/ctrlProp" Target="../ctrlProps/ctrlProp38.xml"/><Relationship Id="rId56" Type="http://schemas.openxmlformats.org/officeDocument/2006/relationships/ctrlProp" Target="../ctrlProps/ctrlProp46.xml"/><Relationship Id="rId64" Type="http://schemas.openxmlformats.org/officeDocument/2006/relationships/ctrlProp" Target="../ctrlProps/ctrlProp54.xml"/><Relationship Id="rId69" Type="http://schemas.openxmlformats.org/officeDocument/2006/relationships/ctrlProp" Target="../ctrlProps/ctrlProp59.xml"/><Relationship Id="rId77" Type="http://schemas.openxmlformats.org/officeDocument/2006/relationships/ctrlProp" Target="../ctrlProps/ctrlProp67.xml"/><Relationship Id="rId100" Type="http://schemas.openxmlformats.org/officeDocument/2006/relationships/ctrlProp" Target="../ctrlProps/ctrlProp90.xml"/><Relationship Id="rId105" Type="http://schemas.openxmlformats.org/officeDocument/2006/relationships/ctrlProp" Target="../ctrlProps/ctrlProp95.xml"/><Relationship Id="rId113" Type="http://schemas.openxmlformats.org/officeDocument/2006/relationships/ctrlProp" Target="../ctrlProps/ctrlProp103.xml"/><Relationship Id="rId118" Type="http://schemas.openxmlformats.org/officeDocument/2006/relationships/ctrlProp" Target="../ctrlProps/ctrlProp108.xml"/><Relationship Id="rId8" Type="http://schemas.openxmlformats.org/officeDocument/2006/relationships/printerSettings" Target="../printerSettings/printerSettings4.bin"/><Relationship Id="rId51" Type="http://schemas.openxmlformats.org/officeDocument/2006/relationships/ctrlProp" Target="../ctrlProps/ctrlProp41.xml"/><Relationship Id="rId72" Type="http://schemas.openxmlformats.org/officeDocument/2006/relationships/ctrlProp" Target="../ctrlProps/ctrlProp62.xml"/><Relationship Id="rId80" Type="http://schemas.openxmlformats.org/officeDocument/2006/relationships/ctrlProp" Target="../ctrlProps/ctrlProp70.xml"/><Relationship Id="rId85" Type="http://schemas.openxmlformats.org/officeDocument/2006/relationships/ctrlProp" Target="../ctrlProps/ctrlProp75.xml"/><Relationship Id="rId93" Type="http://schemas.openxmlformats.org/officeDocument/2006/relationships/ctrlProp" Target="../ctrlProps/ctrlProp83.xml"/><Relationship Id="rId98" Type="http://schemas.openxmlformats.org/officeDocument/2006/relationships/ctrlProp" Target="../ctrlProps/ctrlProp88.xml"/><Relationship Id="rId121" Type="http://schemas.openxmlformats.org/officeDocument/2006/relationships/ctrlProp" Target="../ctrlProps/ctrlProp111.xml"/><Relationship Id="rId3" Type="http://schemas.openxmlformats.org/officeDocument/2006/relationships/hyperlink" Target="http://www.directv.com/international/en_espanol"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33" Type="http://schemas.openxmlformats.org/officeDocument/2006/relationships/ctrlProp" Target="../ctrlProps/ctrlProp23.xml"/><Relationship Id="rId38" Type="http://schemas.openxmlformats.org/officeDocument/2006/relationships/ctrlProp" Target="../ctrlProps/ctrlProp28.xml"/><Relationship Id="rId46" Type="http://schemas.openxmlformats.org/officeDocument/2006/relationships/ctrlProp" Target="../ctrlProps/ctrlProp36.xml"/><Relationship Id="rId59" Type="http://schemas.openxmlformats.org/officeDocument/2006/relationships/ctrlProp" Target="../ctrlProps/ctrlProp49.xml"/><Relationship Id="rId67" Type="http://schemas.openxmlformats.org/officeDocument/2006/relationships/ctrlProp" Target="../ctrlProps/ctrlProp57.xml"/><Relationship Id="rId103" Type="http://schemas.openxmlformats.org/officeDocument/2006/relationships/ctrlProp" Target="../ctrlProps/ctrlProp93.xml"/><Relationship Id="rId108" Type="http://schemas.openxmlformats.org/officeDocument/2006/relationships/ctrlProp" Target="../ctrlProps/ctrlProp98.xml"/><Relationship Id="rId116" Type="http://schemas.openxmlformats.org/officeDocument/2006/relationships/ctrlProp" Target="../ctrlProps/ctrlProp106.xml"/><Relationship Id="rId20" Type="http://schemas.openxmlformats.org/officeDocument/2006/relationships/ctrlProp" Target="../ctrlProps/ctrlProp10.xml"/><Relationship Id="rId41" Type="http://schemas.openxmlformats.org/officeDocument/2006/relationships/ctrlProp" Target="../ctrlProps/ctrlProp31.xml"/><Relationship Id="rId54" Type="http://schemas.openxmlformats.org/officeDocument/2006/relationships/ctrlProp" Target="../ctrlProps/ctrlProp44.xml"/><Relationship Id="rId62" Type="http://schemas.openxmlformats.org/officeDocument/2006/relationships/ctrlProp" Target="../ctrlProps/ctrlProp52.xml"/><Relationship Id="rId70" Type="http://schemas.openxmlformats.org/officeDocument/2006/relationships/ctrlProp" Target="../ctrlProps/ctrlProp60.xml"/><Relationship Id="rId75" Type="http://schemas.openxmlformats.org/officeDocument/2006/relationships/ctrlProp" Target="../ctrlProps/ctrlProp65.xml"/><Relationship Id="rId83" Type="http://schemas.openxmlformats.org/officeDocument/2006/relationships/ctrlProp" Target="../ctrlProps/ctrlProp73.xml"/><Relationship Id="rId88" Type="http://schemas.openxmlformats.org/officeDocument/2006/relationships/ctrlProp" Target="../ctrlProps/ctrlProp78.xml"/><Relationship Id="rId91" Type="http://schemas.openxmlformats.org/officeDocument/2006/relationships/ctrlProp" Target="../ctrlProps/ctrlProp81.xml"/><Relationship Id="rId96" Type="http://schemas.openxmlformats.org/officeDocument/2006/relationships/ctrlProp" Target="../ctrlProps/ctrlProp86.xml"/><Relationship Id="rId111" Type="http://schemas.openxmlformats.org/officeDocument/2006/relationships/ctrlProp" Target="../ctrlProps/ctrlProp101.xml"/><Relationship Id="rId1" Type="http://schemas.openxmlformats.org/officeDocument/2006/relationships/hyperlink" Target="http://mygrande.com/austin/tv/cable-channel-lineup/" TargetMode="External"/><Relationship Id="rId6" Type="http://schemas.openxmlformats.org/officeDocument/2006/relationships/hyperlink" Target="https://www.att.com/mktg/v1/channels/directv/"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36" Type="http://schemas.openxmlformats.org/officeDocument/2006/relationships/ctrlProp" Target="../ctrlProps/ctrlProp26.xml"/><Relationship Id="rId49" Type="http://schemas.openxmlformats.org/officeDocument/2006/relationships/ctrlProp" Target="../ctrlProps/ctrlProp39.xml"/><Relationship Id="rId57" Type="http://schemas.openxmlformats.org/officeDocument/2006/relationships/ctrlProp" Target="../ctrlProps/ctrlProp47.xml"/><Relationship Id="rId106" Type="http://schemas.openxmlformats.org/officeDocument/2006/relationships/ctrlProp" Target="../ctrlProps/ctrlProp96.xml"/><Relationship Id="rId114" Type="http://schemas.openxmlformats.org/officeDocument/2006/relationships/ctrlProp" Target="../ctrlProps/ctrlProp104.xml"/><Relationship Id="rId119" Type="http://schemas.openxmlformats.org/officeDocument/2006/relationships/ctrlProp" Target="../ctrlProps/ctrlProp109.xml"/><Relationship Id="rId10" Type="http://schemas.openxmlformats.org/officeDocument/2006/relationships/vmlDrawing" Target="../drawings/vmlDrawing1.vml"/><Relationship Id="rId31" Type="http://schemas.openxmlformats.org/officeDocument/2006/relationships/ctrlProp" Target="../ctrlProps/ctrlProp21.xml"/><Relationship Id="rId44" Type="http://schemas.openxmlformats.org/officeDocument/2006/relationships/ctrlProp" Target="../ctrlProps/ctrlProp34.xml"/><Relationship Id="rId52" Type="http://schemas.openxmlformats.org/officeDocument/2006/relationships/ctrlProp" Target="../ctrlProps/ctrlProp42.xml"/><Relationship Id="rId60" Type="http://schemas.openxmlformats.org/officeDocument/2006/relationships/ctrlProp" Target="../ctrlProps/ctrlProp50.xml"/><Relationship Id="rId65" Type="http://schemas.openxmlformats.org/officeDocument/2006/relationships/ctrlProp" Target="../ctrlProps/ctrlProp55.xml"/><Relationship Id="rId73" Type="http://schemas.openxmlformats.org/officeDocument/2006/relationships/ctrlProp" Target="../ctrlProps/ctrlProp63.xml"/><Relationship Id="rId78" Type="http://schemas.openxmlformats.org/officeDocument/2006/relationships/ctrlProp" Target="../ctrlProps/ctrlProp68.xml"/><Relationship Id="rId81" Type="http://schemas.openxmlformats.org/officeDocument/2006/relationships/ctrlProp" Target="../ctrlProps/ctrlProp71.xml"/><Relationship Id="rId86" Type="http://schemas.openxmlformats.org/officeDocument/2006/relationships/ctrlProp" Target="../ctrlProps/ctrlProp76.xml"/><Relationship Id="rId94" Type="http://schemas.openxmlformats.org/officeDocument/2006/relationships/ctrlProp" Target="../ctrlProps/ctrlProp84.xml"/><Relationship Id="rId99" Type="http://schemas.openxmlformats.org/officeDocument/2006/relationships/ctrlProp" Target="../ctrlProps/ctrlProp89.xml"/><Relationship Id="rId101" Type="http://schemas.openxmlformats.org/officeDocument/2006/relationships/ctrlProp" Target="../ctrlProps/ctrlProp91.xml"/><Relationship Id="rId4" Type="http://schemas.openxmlformats.org/officeDocument/2006/relationships/hyperlink" Target="https://www.cox.com/content/dam/cox/residential/documents/tv/channel-lineup/arizona/cl_phoenix.pdf" TargetMode="External"/><Relationship Id="rId9" Type="http://schemas.openxmlformats.org/officeDocument/2006/relationships/drawing" Target="../drawings/drawing1.xml"/><Relationship Id="rId13" Type="http://schemas.openxmlformats.org/officeDocument/2006/relationships/ctrlProp" Target="../ctrlProps/ctrlProp3.xml"/><Relationship Id="rId18" Type="http://schemas.openxmlformats.org/officeDocument/2006/relationships/ctrlProp" Target="../ctrlProps/ctrlProp8.xml"/><Relationship Id="rId39" Type="http://schemas.openxmlformats.org/officeDocument/2006/relationships/ctrlProp" Target="../ctrlProps/ctrlProp29.xml"/><Relationship Id="rId109" Type="http://schemas.openxmlformats.org/officeDocument/2006/relationships/ctrlProp" Target="../ctrlProps/ctrlProp99.xml"/><Relationship Id="rId34" Type="http://schemas.openxmlformats.org/officeDocument/2006/relationships/ctrlProp" Target="../ctrlProps/ctrlProp24.xml"/><Relationship Id="rId50" Type="http://schemas.openxmlformats.org/officeDocument/2006/relationships/ctrlProp" Target="../ctrlProps/ctrlProp40.xml"/><Relationship Id="rId55" Type="http://schemas.openxmlformats.org/officeDocument/2006/relationships/ctrlProp" Target="../ctrlProps/ctrlProp45.xml"/><Relationship Id="rId76" Type="http://schemas.openxmlformats.org/officeDocument/2006/relationships/ctrlProp" Target="../ctrlProps/ctrlProp66.xml"/><Relationship Id="rId97" Type="http://schemas.openxmlformats.org/officeDocument/2006/relationships/ctrlProp" Target="../ctrlProps/ctrlProp87.xml"/><Relationship Id="rId104" Type="http://schemas.openxmlformats.org/officeDocument/2006/relationships/ctrlProp" Target="../ctrlProps/ctrlProp94.xml"/><Relationship Id="rId120" Type="http://schemas.openxmlformats.org/officeDocument/2006/relationships/ctrlProp" Target="../ctrlProps/ctrlProp110.xml"/><Relationship Id="rId7" Type="http://schemas.openxmlformats.org/officeDocument/2006/relationships/hyperlink" Target="http://www.suddenlink.com/television/lineupsearch.php" TargetMode="External"/><Relationship Id="rId71" Type="http://schemas.openxmlformats.org/officeDocument/2006/relationships/ctrlProp" Target="../ctrlProps/ctrlProp61.xml"/><Relationship Id="rId92" Type="http://schemas.openxmlformats.org/officeDocument/2006/relationships/ctrlProp" Target="../ctrlProps/ctrlProp82.xml"/><Relationship Id="rId2" Type="http://schemas.openxmlformats.org/officeDocument/2006/relationships/hyperlink" Target="https://www.comcast.com/Customers/clu/ChannelLineup.ashx" TargetMode="External"/><Relationship Id="rId29" Type="http://schemas.openxmlformats.org/officeDocument/2006/relationships/ctrlProp" Target="../ctrlProps/ctrlProp19.xml"/><Relationship Id="rId24" Type="http://schemas.openxmlformats.org/officeDocument/2006/relationships/ctrlProp" Target="../ctrlProps/ctrlProp14.xml"/><Relationship Id="rId40" Type="http://schemas.openxmlformats.org/officeDocument/2006/relationships/ctrlProp" Target="../ctrlProps/ctrlProp30.xml"/><Relationship Id="rId45" Type="http://schemas.openxmlformats.org/officeDocument/2006/relationships/ctrlProp" Target="../ctrlProps/ctrlProp35.xml"/><Relationship Id="rId66" Type="http://schemas.openxmlformats.org/officeDocument/2006/relationships/ctrlProp" Target="../ctrlProps/ctrlProp56.xml"/><Relationship Id="rId87" Type="http://schemas.openxmlformats.org/officeDocument/2006/relationships/ctrlProp" Target="../ctrlProps/ctrlProp77.xml"/><Relationship Id="rId110" Type="http://schemas.openxmlformats.org/officeDocument/2006/relationships/ctrlProp" Target="../ctrlProps/ctrlProp100.xml"/><Relationship Id="rId115" Type="http://schemas.openxmlformats.org/officeDocument/2006/relationships/ctrlProp" Target="../ctrlProps/ctrlProp105.xml"/></Relationships>
</file>

<file path=xl/worksheets/_rels/sheet9.xml.rels><?xml version="1.0" encoding="UTF-8" standalone="yes"?>
<Relationships xmlns="http://schemas.openxmlformats.org/package/2006/relationships"><Relationship Id="rId8" Type="http://schemas.openxmlformats.org/officeDocument/2006/relationships/table" Target="../tables/table27.xml"/><Relationship Id="rId3" Type="http://schemas.openxmlformats.org/officeDocument/2006/relationships/table" Target="../tables/table22.xml"/><Relationship Id="rId7" Type="http://schemas.openxmlformats.org/officeDocument/2006/relationships/table" Target="../tables/table26.xml"/><Relationship Id="rId2" Type="http://schemas.openxmlformats.org/officeDocument/2006/relationships/table" Target="../tables/table21.xml"/><Relationship Id="rId1" Type="http://schemas.openxmlformats.org/officeDocument/2006/relationships/table" Target="../tables/table20.xml"/><Relationship Id="rId6" Type="http://schemas.openxmlformats.org/officeDocument/2006/relationships/table" Target="../tables/table25.xml"/><Relationship Id="rId5" Type="http://schemas.openxmlformats.org/officeDocument/2006/relationships/table" Target="../tables/table24.xml"/><Relationship Id="rId10" Type="http://schemas.openxmlformats.org/officeDocument/2006/relationships/table" Target="../tables/table29.xml"/><Relationship Id="rId4" Type="http://schemas.openxmlformats.org/officeDocument/2006/relationships/table" Target="../tables/table23.xml"/><Relationship Id="rId9"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H92"/>
  <sheetViews>
    <sheetView zoomScale="85" zoomScaleNormal="85" workbookViewId="0">
      <selection activeCell="B58" sqref="B58:C58"/>
    </sheetView>
  </sheetViews>
  <sheetFormatPr defaultRowHeight="14.4" x14ac:dyDescent="0.3"/>
  <cols>
    <col min="1" max="1" width="7.6640625" customWidth="1"/>
    <col min="2" max="2" width="9.109375" customWidth="1"/>
    <col min="3" max="3" width="11.33203125" bestFit="1" customWidth="1"/>
    <col min="8" max="8" width="10" customWidth="1"/>
    <col min="11" max="11" width="11.33203125" bestFit="1" customWidth="1"/>
    <col min="12" max="13" width="9.5546875" bestFit="1" customWidth="1"/>
    <col min="14" max="14" width="9.109375" bestFit="1" customWidth="1"/>
    <col min="15" max="15" width="9.5546875" bestFit="1" customWidth="1"/>
    <col min="17" max="17" width="6.5546875" customWidth="1"/>
    <col min="19" max="19" width="9.109375" customWidth="1"/>
    <col min="20" max="20" width="16.109375" customWidth="1"/>
    <col min="21" max="21" width="13.6640625" customWidth="1"/>
    <col min="24" max="24" width="11.88671875" customWidth="1"/>
    <col min="25" max="25" width="10.33203125" customWidth="1"/>
  </cols>
  <sheetData>
    <row r="1" spans="1:34" ht="21" x14ac:dyDescent="0.4">
      <c r="A1" s="99"/>
      <c r="B1" s="987" t="s">
        <v>180</v>
      </c>
      <c r="C1" s="987"/>
      <c r="D1" s="987"/>
      <c r="E1" s="987"/>
      <c r="F1" s="987"/>
      <c r="G1" s="987"/>
      <c r="H1" s="987"/>
      <c r="I1" s="987"/>
      <c r="J1" s="987"/>
      <c r="K1" s="987"/>
      <c r="L1" s="987"/>
      <c r="M1" s="987"/>
      <c r="N1" s="987"/>
      <c r="O1" s="987"/>
      <c r="P1" s="987"/>
      <c r="Q1" s="99"/>
      <c r="R1" s="99"/>
      <c r="S1" s="99"/>
      <c r="T1" s="99"/>
      <c r="U1" s="99"/>
      <c r="V1" s="99"/>
      <c r="W1" s="99"/>
      <c r="X1" s="99"/>
      <c r="Y1" s="99"/>
      <c r="Z1" s="99"/>
      <c r="AA1" s="99"/>
      <c r="AB1" s="99"/>
      <c r="AC1" s="99"/>
      <c r="AD1" s="99"/>
      <c r="AE1" s="99"/>
      <c r="AF1" s="99"/>
      <c r="AG1" s="91"/>
      <c r="AH1" s="91"/>
    </row>
    <row r="2" spans="1:34" ht="15" thickBot="1" x14ac:dyDescent="0.35">
      <c r="A2" s="91"/>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row>
    <row r="3" spans="1:34" ht="15.75" customHeight="1" thickBot="1" x14ac:dyDescent="0.35">
      <c r="A3" s="91"/>
      <c r="B3" s="1015" t="s">
        <v>966</v>
      </c>
      <c r="C3" s="145" t="s">
        <v>176</v>
      </c>
      <c r="D3" s="100">
        <v>12</v>
      </c>
      <c r="E3" s="101">
        <v>24</v>
      </c>
      <c r="F3" s="403">
        <v>36</v>
      </c>
      <c r="G3" s="998" t="s">
        <v>177</v>
      </c>
      <c r="H3" s="999"/>
      <c r="I3" s="91"/>
      <c r="J3" s="1000" t="s">
        <v>967</v>
      </c>
      <c r="K3" s="102" t="s">
        <v>178</v>
      </c>
      <c r="L3" s="103">
        <v>12</v>
      </c>
      <c r="M3" s="104">
        <v>24</v>
      </c>
      <c r="N3" s="405">
        <v>36</v>
      </c>
      <c r="O3" s="996" t="s">
        <v>177</v>
      </c>
      <c r="P3" s="997"/>
      <c r="Q3" s="91"/>
      <c r="R3" s="994" t="s">
        <v>773</v>
      </c>
      <c r="S3" s="995"/>
      <c r="T3" s="410" t="s">
        <v>774</v>
      </c>
      <c r="U3" s="411" t="s">
        <v>776</v>
      </c>
      <c r="V3" s="91"/>
      <c r="W3" s="91"/>
      <c r="X3" s="91"/>
      <c r="Y3" s="91"/>
      <c r="Z3" s="91"/>
      <c r="AA3" s="91"/>
      <c r="AB3" s="91"/>
      <c r="AC3" s="91"/>
      <c r="AD3" s="91"/>
      <c r="AE3" s="91"/>
      <c r="AF3" s="91"/>
      <c r="AG3" s="91"/>
      <c r="AH3" s="91"/>
    </row>
    <row r="4" spans="1:34" s="511" customFormat="1" ht="18.75" customHeight="1" x14ac:dyDescent="0.35">
      <c r="A4" s="91"/>
      <c r="B4" s="1016"/>
      <c r="C4" s="1025" t="s">
        <v>324</v>
      </c>
      <c r="D4" s="207">
        <v>10.8</v>
      </c>
      <c r="E4" s="105">
        <v>9.9</v>
      </c>
      <c r="F4" s="296"/>
      <c r="G4" s="485"/>
      <c r="H4" s="486"/>
      <c r="I4" s="91"/>
      <c r="J4" s="1001"/>
      <c r="K4" s="962" t="s">
        <v>324</v>
      </c>
      <c r="L4" s="106">
        <v>11.5</v>
      </c>
      <c r="M4" s="107">
        <v>10.1</v>
      </c>
      <c r="N4" s="297"/>
      <c r="O4" s="477"/>
      <c r="P4" s="478"/>
      <c r="Q4" s="91"/>
      <c r="R4" s="950" t="s">
        <v>324</v>
      </c>
      <c r="S4" s="951"/>
      <c r="T4" s="408" t="s">
        <v>848</v>
      </c>
      <c r="U4" s="968">
        <v>0</v>
      </c>
      <c r="V4" s="91"/>
      <c r="W4" s="91"/>
      <c r="X4" s="91"/>
      <c r="Y4" s="91"/>
      <c r="Z4" s="91"/>
      <c r="AA4" s="91"/>
      <c r="AB4" s="91"/>
      <c r="AC4" s="91"/>
      <c r="AD4" s="91"/>
      <c r="AE4" s="91"/>
      <c r="AF4" s="91"/>
      <c r="AG4" s="91"/>
      <c r="AH4" s="91"/>
    </row>
    <row r="5" spans="1:34" s="511" customFormat="1" ht="18.75" customHeight="1" x14ac:dyDescent="0.3">
      <c r="A5" s="91"/>
      <c r="B5" s="1016"/>
      <c r="C5" s="1026"/>
      <c r="D5" s="444">
        <v>10.8</v>
      </c>
      <c r="E5" s="441">
        <v>10</v>
      </c>
      <c r="F5" s="491"/>
      <c r="G5" s="487"/>
      <c r="H5" s="488"/>
      <c r="I5" s="91"/>
      <c r="J5" s="1001"/>
      <c r="K5" s="963"/>
      <c r="L5" s="443">
        <v>11.5</v>
      </c>
      <c r="M5" s="442">
        <v>10.3</v>
      </c>
      <c r="N5" s="483"/>
      <c r="O5" s="479"/>
      <c r="P5" s="480"/>
      <c r="Q5" s="91"/>
      <c r="R5" s="952"/>
      <c r="S5" s="953"/>
      <c r="T5" s="438" t="s">
        <v>849</v>
      </c>
      <c r="U5" s="969"/>
      <c r="V5" s="91"/>
      <c r="W5" s="437"/>
      <c r="X5" s="437"/>
      <c r="Y5" s="437"/>
      <c r="Z5" s="91"/>
      <c r="AA5" s="91"/>
      <c r="AB5" s="91"/>
      <c r="AC5" s="91"/>
      <c r="AD5" s="91"/>
      <c r="AE5" s="91"/>
      <c r="AF5" s="91"/>
      <c r="AG5" s="91"/>
      <c r="AH5" s="91"/>
    </row>
    <row r="6" spans="1:34" s="511" customFormat="1" ht="19.5" customHeight="1" thickBot="1" x14ac:dyDescent="0.35">
      <c r="A6" s="91"/>
      <c r="B6" s="1016"/>
      <c r="C6" s="1027"/>
      <c r="D6" s="456">
        <v>10.8</v>
      </c>
      <c r="E6" s="453">
        <v>10.4</v>
      </c>
      <c r="F6" s="492"/>
      <c r="G6" s="489"/>
      <c r="H6" s="490"/>
      <c r="I6" s="91"/>
      <c r="J6" s="1001"/>
      <c r="K6" s="964"/>
      <c r="L6" s="455">
        <v>11.5</v>
      </c>
      <c r="M6" s="454">
        <v>10.8</v>
      </c>
      <c r="N6" s="484"/>
      <c r="O6" s="481"/>
      <c r="P6" s="482"/>
      <c r="Q6" s="91"/>
      <c r="R6" s="954"/>
      <c r="S6" s="955"/>
      <c r="T6" s="409" t="s">
        <v>850</v>
      </c>
      <c r="U6" s="970"/>
      <c r="V6" s="91"/>
      <c r="W6" s="91"/>
      <c r="X6" s="91"/>
      <c r="Y6" s="91"/>
      <c r="Z6" s="91"/>
      <c r="AA6" s="91"/>
      <c r="AB6" s="91"/>
      <c r="AC6" s="91"/>
      <c r="AD6" s="91"/>
      <c r="AE6" s="91"/>
      <c r="AF6" s="91"/>
      <c r="AG6" s="91"/>
      <c r="AH6" s="91"/>
    </row>
    <row r="7" spans="1:34" s="511" customFormat="1" ht="18.75" customHeight="1" x14ac:dyDescent="0.35">
      <c r="A7" s="91"/>
      <c r="B7" s="1016"/>
      <c r="C7" s="956" t="s">
        <v>352</v>
      </c>
      <c r="D7" s="207">
        <v>10.9</v>
      </c>
      <c r="E7" s="105">
        <v>10.4</v>
      </c>
      <c r="F7" s="296" t="s">
        <v>343</v>
      </c>
      <c r="G7" s="1003" t="s">
        <v>103</v>
      </c>
      <c r="H7" s="1004"/>
      <c r="I7" s="91"/>
      <c r="J7" s="1001"/>
      <c r="K7" s="959" t="s">
        <v>352</v>
      </c>
      <c r="L7" s="107">
        <v>11.9</v>
      </c>
      <c r="M7" s="107">
        <v>10.9</v>
      </c>
      <c r="N7" s="297" t="s">
        <v>343</v>
      </c>
      <c r="O7" s="988" t="s">
        <v>103</v>
      </c>
      <c r="P7" s="989"/>
      <c r="Q7" s="91"/>
      <c r="R7" s="929" t="s">
        <v>352</v>
      </c>
      <c r="S7" s="930"/>
      <c r="T7" s="974" t="s">
        <v>778</v>
      </c>
      <c r="U7" s="971">
        <v>4.95</v>
      </c>
      <c r="V7" s="91"/>
      <c r="W7" s="91"/>
      <c r="X7" s="91"/>
      <c r="Y7" s="91"/>
      <c r="Z7" s="91"/>
      <c r="AA7" s="91"/>
      <c r="AB7" s="91"/>
      <c r="AC7" s="91"/>
      <c r="AD7" s="91"/>
      <c r="AE7" s="91"/>
      <c r="AF7" s="91"/>
      <c r="AG7" s="91"/>
      <c r="AH7" s="91"/>
    </row>
    <row r="8" spans="1:34" s="511" customFormat="1" ht="18.75" customHeight="1" x14ac:dyDescent="0.3">
      <c r="A8" s="91"/>
      <c r="B8" s="1016"/>
      <c r="C8" s="957"/>
      <c r="D8" s="444">
        <v>8.9</v>
      </c>
      <c r="E8" s="441">
        <v>10.4</v>
      </c>
      <c r="F8" s="446" t="s">
        <v>343</v>
      </c>
      <c r="G8" s="1005"/>
      <c r="H8" s="1006"/>
      <c r="I8" s="91"/>
      <c r="J8" s="1001"/>
      <c r="K8" s="960"/>
      <c r="L8" s="442">
        <v>9.9</v>
      </c>
      <c r="M8" s="442">
        <v>10.9</v>
      </c>
      <c r="N8" s="450" t="s">
        <v>343</v>
      </c>
      <c r="O8" s="990"/>
      <c r="P8" s="991"/>
      <c r="Q8" s="91"/>
      <c r="R8" s="931"/>
      <c r="S8" s="932"/>
      <c r="T8" s="975"/>
      <c r="U8" s="972"/>
      <c r="V8" s="91"/>
      <c r="W8" s="91"/>
      <c r="X8" s="91"/>
      <c r="Y8" s="91"/>
      <c r="Z8" s="91"/>
      <c r="AA8" s="91"/>
      <c r="AB8" s="91"/>
      <c r="AC8" s="91"/>
      <c r="AD8" s="91"/>
      <c r="AE8" s="91"/>
      <c r="AF8" s="91"/>
      <c r="AG8" s="91"/>
      <c r="AH8" s="91"/>
    </row>
    <row r="9" spans="1:34" s="511" customFormat="1" ht="15" thickBot="1" x14ac:dyDescent="0.35">
      <c r="A9" s="91"/>
      <c r="B9" s="1016"/>
      <c r="C9" s="958"/>
      <c r="D9" s="456">
        <v>13.7</v>
      </c>
      <c r="E9" s="453">
        <v>13.9</v>
      </c>
      <c r="F9" s="457" t="s">
        <v>343</v>
      </c>
      <c r="G9" s="1007"/>
      <c r="H9" s="1008"/>
      <c r="I9" s="91"/>
      <c r="J9" s="1001"/>
      <c r="K9" s="961"/>
      <c r="L9" s="454">
        <v>15</v>
      </c>
      <c r="M9" s="454">
        <v>14.4</v>
      </c>
      <c r="N9" s="458" t="s">
        <v>343</v>
      </c>
      <c r="O9" s="992"/>
      <c r="P9" s="993"/>
      <c r="Q9" s="91"/>
      <c r="R9" s="933"/>
      <c r="S9" s="934"/>
      <c r="T9" s="976"/>
      <c r="U9" s="973"/>
      <c r="V9" s="91"/>
      <c r="W9" s="91"/>
      <c r="X9" s="91"/>
      <c r="Y9" s="91"/>
      <c r="Z9" s="91"/>
      <c r="AA9" s="91"/>
      <c r="AB9" s="91"/>
      <c r="AC9" s="91"/>
      <c r="AD9" s="91"/>
      <c r="AE9" s="91"/>
      <c r="AF9" s="91"/>
      <c r="AG9" s="91"/>
      <c r="AH9" s="91"/>
    </row>
    <row r="10" spans="1:34" s="511" customFormat="1" ht="18.75" customHeight="1" x14ac:dyDescent="0.4">
      <c r="A10" s="91"/>
      <c r="B10" s="1016"/>
      <c r="C10" s="965" t="s">
        <v>353</v>
      </c>
      <c r="D10" s="207">
        <v>10.9</v>
      </c>
      <c r="E10" s="142">
        <v>10.3</v>
      </c>
      <c r="F10" s="406">
        <v>10.3</v>
      </c>
      <c r="G10" s="1009"/>
      <c r="H10" s="1010"/>
      <c r="I10" s="140"/>
      <c r="J10" s="1001"/>
      <c r="K10" s="962" t="s">
        <v>353</v>
      </c>
      <c r="L10" s="106">
        <v>11.3</v>
      </c>
      <c r="M10" s="277">
        <v>10.9</v>
      </c>
      <c r="N10" s="407">
        <v>10.9</v>
      </c>
      <c r="O10" s="1019"/>
      <c r="P10" s="1020"/>
      <c r="Q10" s="139"/>
      <c r="R10" s="950" t="s">
        <v>775</v>
      </c>
      <c r="S10" s="951"/>
      <c r="T10" s="944" t="s">
        <v>778</v>
      </c>
      <c r="U10" s="947">
        <v>4.95</v>
      </c>
      <c r="V10" s="91"/>
      <c r="W10" s="139"/>
      <c r="X10" s="91"/>
      <c r="Y10" s="91"/>
      <c r="Z10" s="91"/>
      <c r="AA10" s="91"/>
      <c r="AB10" s="139"/>
      <c r="AC10" s="91"/>
      <c r="AD10" s="91"/>
      <c r="AE10" s="91"/>
      <c r="AF10" s="91"/>
      <c r="AG10" s="91"/>
      <c r="AH10" s="91"/>
    </row>
    <row r="11" spans="1:34" s="511" customFormat="1" ht="18.75" customHeight="1" x14ac:dyDescent="0.3">
      <c r="A11" s="91"/>
      <c r="B11" s="1016"/>
      <c r="C11" s="966"/>
      <c r="D11" s="444">
        <v>11.2</v>
      </c>
      <c r="E11" s="445">
        <v>10.6</v>
      </c>
      <c r="F11" s="447">
        <v>10.6</v>
      </c>
      <c r="G11" s="1011"/>
      <c r="H11" s="1012"/>
      <c r="I11" s="140"/>
      <c r="J11" s="1001"/>
      <c r="K11" s="963"/>
      <c r="L11" s="443">
        <v>11.6</v>
      </c>
      <c r="M11" s="448">
        <v>11.2</v>
      </c>
      <c r="N11" s="449">
        <v>11.2</v>
      </c>
      <c r="O11" s="1021"/>
      <c r="P11" s="1022"/>
      <c r="Q11" s="139"/>
      <c r="R11" s="952"/>
      <c r="S11" s="953"/>
      <c r="T11" s="945"/>
      <c r="U11" s="948"/>
      <c r="V11" s="91"/>
      <c r="W11" s="139"/>
      <c r="X11" s="91"/>
      <c r="Y11" s="91"/>
      <c r="Z11" s="91"/>
      <c r="AA11" s="91"/>
      <c r="AB11" s="139"/>
      <c r="AC11" s="91"/>
      <c r="AD11" s="91"/>
      <c r="AE11" s="91"/>
      <c r="AF11" s="91"/>
      <c r="AG11" s="91"/>
      <c r="AH11" s="91"/>
    </row>
    <row r="12" spans="1:34" s="511" customFormat="1" ht="17.25" customHeight="1" thickBot="1" x14ac:dyDescent="0.35">
      <c r="A12" s="91"/>
      <c r="B12" s="1016"/>
      <c r="C12" s="967"/>
      <c r="D12" s="456">
        <v>11.7</v>
      </c>
      <c r="E12" s="453">
        <v>11.1</v>
      </c>
      <c r="F12" s="460">
        <v>11.1</v>
      </c>
      <c r="G12" s="1013"/>
      <c r="H12" s="1014"/>
      <c r="I12" s="512"/>
      <c r="J12" s="1001"/>
      <c r="K12" s="964"/>
      <c r="L12" s="455">
        <v>12.1</v>
      </c>
      <c r="M12" s="454">
        <v>11.7</v>
      </c>
      <c r="N12" s="459">
        <v>11.7</v>
      </c>
      <c r="O12" s="1023"/>
      <c r="P12" s="1024"/>
      <c r="Q12" s="91"/>
      <c r="R12" s="954"/>
      <c r="S12" s="955"/>
      <c r="T12" s="946"/>
      <c r="U12" s="949"/>
      <c r="V12" s="91"/>
      <c r="W12" s="91"/>
      <c r="X12" s="91"/>
      <c r="Y12" s="91"/>
      <c r="Z12" s="91"/>
      <c r="AA12" s="91"/>
      <c r="AB12" s="91"/>
      <c r="AC12" s="91"/>
      <c r="AD12" s="91"/>
      <c r="AE12" s="91"/>
      <c r="AF12" s="91"/>
      <c r="AG12" s="91"/>
      <c r="AH12" s="91"/>
    </row>
    <row r="13" spans="1:34" s="511" customFormat="1" ht="17.25" customHeight="1" thickBot="1" x14ac:dyDescent="0.4">
      <c r="A13" s="91"/>
      <c r="B13" s="1016"/>
      <c r="C13" s="956" t="s">
        <v>978</v>
      </c>
      <c r="D13" s="500">
        <v>10</v>
      </c>
      <c r="E13" s="501">
        <v>9.6</v>
      </c>
      <c r="F13" s="501" t="s">
        <v>343</v>
      </c>
      <c r="G13" s="913"/>
      <c r="H13" s="914"/>
      <c r="I13" s="512"/>
      <c r="J13" s="1001"/>
      <c r="K13" s="935" t="s">
        <v>978</v>
      </c>
      <c r="L13" s="498">
        <v>10.199999999999999</v>
      </c>
      <c r="M13" s="498">
        <v>9.9</v>
      </c>
      <c r="N13" s="499" t="s">
        <v>343</v>
      </c>
      <c r="O13" s="920"/>
      <c r="P13" s="921"/>
      <c r="Q13" s="91"/>
      <c r="R13" s="950" t="s">
        <v>978</v>
      </c>
      <c r="S13" s="951"/>
      <c r="T13" s="917">
        <v>175</v>
      </c>
      <c r="U13" s="509"/>
      <c r="V13" s="91"/>
      <c r="W13" s="91"/>
      <c r="X13" s="91"/>
      <c r="Y13" s="91"/>
      <c r="Z13" s="91"/>
      <c r="AA13" s="91"/>
      <c r="AB13" s="91"/>
      <c r="AC13" s="91"/>
      <c r="AD13" s="91"/>
      <c r="AE13" s="91"/>
      <c r="AF13" s="91"/>
      <c r="AG13" s="91"/>
      <c r="AH13" s="91"/>
    </row>
    <row r="14" spans="1:34" s="511" customFormat="1" ht="17.25" customHeight="1" thickBot="1" x14ac:dyDescent="0.35">
      <c r="A14" s="91"/>
      <c r="B14" s="1016"/>
      <c r="C14" s="957"/>
      <c r="D14" s="502">
        <v>10.199999999999999</v>
      </c>
      <c r="E14" s="502">
        <v>9.8000000000000007</v>
      </c>
      <c r="F14" s="502" t="s">
        <v>343</v>
      </c>
      <c r="G14" s="915"/>
      <c r="H14" s="916"/>
      <c r="I14" s="512"/>
      <c r="J14" s="1001"/>
      <c r="K14" s="936"/>
      <c r="L14" s="496">
        <v>10.4</v>
      </c>
      <c r="M14" s="496">
        <v>10.1</v>
      </c>
      <c r="N14" s="497" t="s">
        <v>343</v>
      </c>
      <c r="O14" s="922"/>
      <c r="P14" s="923"/>
      <c r="Q14" s="91"/>
      <c r="R14" s="952"/>
      <c r="S14" s="953"/>
      <c r="T14" s="918"/>
      <c r="U14" s="514">
        <v>0</v>
      </c>
      <c r="V14" s="91"/>
      <c r="W14" s="91"/>
      <c r="X14" s="91"/>
      <c r="Y14" s="91"/>
      <c r="Z14" s="91"/>
      <c r="AA14" s="91"/>
      <c r="AB14" s="91"/>
      <c r="AC14" s="91"/>
      <c r="AD14" s="91"/>
      <c r="AE14" s="91"/>
      <c r="AF14" s="91"/>
      <c r="AG14" s="91"/>
      <c r="AH14" s="91"/>
    </row>
    <row r="15" spans="1:34" s="511" customFormat="1" ht="17.25" customHeight="1" thickBot="1" x14ac:dyDescent="0.35">
      <c r="A15" s="91"/>
      <c r="B15" s="1016"/>
      <c r="C15" s="957"/>
      <c r="D15" s="729">
        <v>10.5</v>
      </c>
      <c r="E15" s="730">
        <v>10.1</v>
      </c>
      <c r="F15" s="731" t="s">
        <v>343</v>
      </c>
      <c r="G15" s="915"/>
      <c r="H15" s="916"/>
      <c r="I15" s="512"/>
      <c r="J15" s="1001"/>
      <c r="K15" s="937"/>
      <c r="L15" s="496">
        <v>10.8</v>
      </c>
      <c r="M15" s="496">
        <v>10.5</v>
      </c>
      <c r="N15" s="497" t="s">
        <v>343</v>
      </c>
      <c r="O15" s="924"/>
      <c r="P15" s="925"/>
      <c r="Q15" s="91"/>
      <c r="R15" s="954"/>
      <c r="S15" s="955"/>
      <c r="T15" s="919"/>
      <c r="U15" s="509"/>
      <c r="V15" s="91"/>
      <c r="W15" s="91"/>
      <c r="X15" s="91"/>
      <c r="Y15" s="91"/>
      <c r="Z15" s="91"/>
      <c r="AA15" s="91"/>
      <c r="AB15" s="91"/>
      <c r="AC15" s="91"/>
      <c r="AD15" s="91"/>
      <c r="AE15" s="91"/>
      <c r="AF15" s="91"/>
      <c r="AG15" s="91"/>
      <c r="AH15" s="91"/>
    </row>
    <row r="16" spans="1:34" s="511" customFormat="1" ht="15.75" customHeight="1" thickBot="1" x14ac:dyDescent="0.35">
      <c r="A16" s="91"/>
      <c r="B16" s="1017"/>
      <c r="C16" s="1028"/>
      <c r="D16" s="938"/>
      <c r="E16" s="939"/>
      <c r="F16" s="940"/>
      <c r="G16" s="732"/>
      <c r="H16" s="733"/>
      <c r="I16" s="91"/>
      <c r="J16" s="1001"/>
      <c r="K16" s="941"/>
      <c r="L16" s="938"/>
      <c r="M16" s="939"/>
      <c r="N16" s="940"/>
      <c r="O16" s="742"/>
      <c r="P16" s="744"/>
      <c r="Q16" s="91"/>
      <c r="R16" s="929"/>
      <c r="S16" s="930"/>
      <c r="T16" s="926"/>
      <c r="U16" s="510"/>
      <c r="V16" s="91"/>
      <c r="W16" s="91"/>
      <c r="X16" s="91"/>
      <c r="Y16" s="91"/>
      <c r="Z16" s="91"/>
      <c r="AA16" s="91"/>
      <c r="AB16" s="91"/>
      <c r="AC16" s="91"/>
      <c r="AD16" s="91"/>
      <c r="AE16" s="91"/>
      <c r="AF16" s="91"/>
      <c r="AG16" s="91"/>
      <c r="AH16" s="91"/>
    </row>
    <row r="17" spans="1:34" s="511" customFormat="1" ht="18.75" customHeight="1" x14ac:dyDescent="0.4">
      <c r="A17" s="91"/>
      <c r="B17" s="1017"/>
      <c r="C17" s="1029"/>
      <c r="D17" s="732"/>
      <c r="E17" s="739"/>
      <c r="F17" s="733"/>
      <c r="G17" s="734"/>
      <c r="H17" s="735"/>
      <c r="I17" s="91"/>
      <c r="J17" s="1001"/>
      <c r="K17" s="942"/>
      <c r="L17" s="742"/>
      <c r="M17" s="743"/>
      <c r="N17" s="744"/>
      <c r="O17" s="741"/>
      <c r="P17" s="746"/>
      <c r="Q17" s="91"/>
      <c r="R17" s="931"/>
      <c r="S17" s="932"/>
      <c r="T17" s="927"/>
      <c r="U17" s="416"/>
      <c r="V17" s="91"/>
      <c r="W17" s="91"/>
      <c r="X17" s="91"/>
      <c r="Y17" s="91"/>
      <c r="Z17" s="91"/>
      <c r="AA17" s="91"/>
      <c r="AB17" s="91"/>
      <c r="AC17" s="91"/>
      <c r="AD17" s="91"/>
      <c r="AE17" s="91"/>
      <c r="AF17" s="91"/>
      <c r="AG17" s="91"/>
      <c r="AH17" s="91"/>
    </row>
    <row r="18" spans="1:34" s="727" customFormat="1" ht="18.75" customHeight="1" x14ac:dyDescent="0.3">
      <c r="A18" s="91"/>
      <c r="B18" s="1017"/>
      <c r="C18" s="1029"/>
      <c r="D18" s="734"/>
      <c r="E18" s="738"/>
      <c r="F18" s="735"/>
      <c r="G18" s="734"/>
      <c r="H18" s="735"/>
      <c r="I18" s="91"/>
      <c r="J18" s="1001"/>
      <c r="K18" s="942"/>
      <c r="L18" s="741"/>
      <c r="M18" s="745"/>
      <c r="N18" s="746"/>
      <c r="O18" s="741"/>
      <c r="P18" s="746"/>
      <c r="Q18" s="91"/>
      <c r="R18" s="931"/>
      <c r="S18" s="932"/>
      <c r="T18" s="927"/>
      <c r="U18" s="439"/>
      <c r="V18" s="91"/>
      <c r="W18" s="91"/>
      <c r="X18" s="91"/>
      <c r="Y18" s="91"/>
      <c r="Z18" s="91"/>
      <c r="AA18" s="91"/>
      <c r="AB18" s="91"/>
      <c r="AC18" s="91"/>
      <c r="AD18" s="91"/>
      <c r="AE18" s="91"/>
      <c r="AF18" s="91"/>
      <c r="AG18" s="91"/>
      <c r="AH18" s="91"/>
    </row>
    <row r="19" spans="1:34" s="511" customFormat="1" ht="18.75" customHeight="1" thickBot="1" x14ac:dyDescent="0.35">
      <c r="A19" s="91"/>
      <c r="B19" s="1017"/>
      <c r="C19" s="1030"/>
      <c r="D19" s="736"/>
      <c r="E19" s="740"/>
      <c r="F19" s="737"/>
      <c r="G19" s="734"/>
      <c r="H19" s="735"/>
      <c r="I19" s="91"/>
      <c r="J19" s="1001"/>
      <c r="K19" s="943"/>
      <c r="L19" s="747"/>
      <c r="M19" s="748"/>
      <c r="N19" s="749"/>
      <c r="O19" s="741"/>
      <c r="P19" s="746"/>
      <c r="Q19" s="91"/>
      <c r="R19" s="931"/>
      <c r="S19" s="932"/>
      <c r="T19" s="927"/>
      <c r="U19" s="439"/>
      <c r="V19" s="91"/>
      <c r="W19" s="91"/>
      <c r="X19" s="91"/>
      <c r="Y19" s="91"/>
      <c r="Z19" s="91"/>
      <c r="AA19" s="91"/>
      <c r="AB19" s="91"/>
      <c r="AC19" s="91"/>
      <c r="AD19" s="91"/>
      <c r="AE19" s="91"/>
      <c r="AF19" s="91"/>
      <c r="AG19" s="91"/>
      <c r="AH19" s="91"/>
    </row>
    <row r="20" spans="1:34" s="511" customFormat="1" ht="18.75" customHeight="1" thickBot="1" x14ac:dyDescent="0.35">
      <c r="A20" s="91"/>
      <c r="B20" s="1017"/>
      <c r="C20" s="1063" t="s">
        <v>785</v>
      </c>
      <c r="D20" s="1064"/>
      <c r="E20" s="1064"/>
      <c r="F20" s="1065"/>
      <c r="G20" s="814">
        <v>60</v>
      </c>
      <c r="H20" s="728"/>
      <c r="I20" s="91"/>
      <c r="J20" s="1001"/>
      <c r="K20" s="983" t="s">
        <v>851</v>
      </c>
      <c r="L20" s="984"/>
      <c r="M20" s="984"/>
      <c r="N20" s="985"/>
      <c r="O20" s="432">
        <v>60</v>
      </c>
      <c r="P20" s="470"/>
      <c r="Q20" s="91"/>
      <c r="R20" s="933"/>
      <c r="S20" s="934"/>
      <c r="T20" s="928"/>
      <c r="U20" s="182"/>
      <c r="V20" s="91"/>
      <c r="W20" s="91"/>
      <c r="X20" s="91"/>
      <c r="Y20" s="91"/>
      <c r="Z20" s="91"/>
      <c r="AA20" s="91"/>
      <c r="AB20" s="91"/>
      <c r="AC20" s="91"/>
      <c r="AD20" s="91"/>
      <c r="AE20" s="91"/>
      <c r="AF20" s="91"/>
      <c r="AG20" s="91"/>
      <c r="AH20" s="91"/>
    </row>
    <row r="21" spans="1:34" s="511" customFormat="1" ht="15.75" customHeight="1" x14ac:dyDescent="0.35">
      <c r="A21" s="91"/>
      <c r="B21" s="1016"/>
      <c r="C21" s="1060" t="s">
        <v>772</v>
      </c>
      <c r="D21" s="374">
        <v>11.1</v>
      </c>
      <c r="E21" s="105">
        <v>10.9</v>
      </c>
      <c r="F21" s="413">
        <v>10.7</v>
      </c>
      <c r="G21" s="307"/>
      <c r="H21" s="468"/>
      <c r="I21" s="404"/>
      <c r="J21" s="1001"/>
      <c r="K21" s="935" t="s">
        <v>772</v>
      </c>
      <c r="L21" s="308">
        <v>11.1</v>
      </c>
      <c r="M21" s="308">
        <v>10.9</v>
      </c>
      <c r="N21" s="412">
        <v>10.7</v>
      </c>
      <c r="O21" s="431"/>
      <c r="P21" s="471"/>
      <c r="Q21" s="91"/>
      <c r="R21" s="950" t="s">
        <v>772</v>
      </c>
      <c r="S21" s="951"/>
      <c r="T21" s="1127" t="s">
        <v>798</v>
      </c>
      <c r="U21" s="408">
        <v>0</v>
      </c>
      <c r="V21" s="91"/>
      <c r="W21" s="91"/>
      <c r="X21" s="91"/>
      <c r="Y21" s="91"/>
      <c r="Z21" s="91"/>
      <c r="AA21" s="91"/>
      <c r="AB21" s="91"/>
      <c r="AC21" s="91"/>
      <c r="AD21" s="91"/>
      <c r="AE21" s="91"/>
      <c r="AF21" s="91"/>
      <c r="AG21" s="91"/>
      <c r="AH21" s="91"/>
    </row>
    <row r="22" spans="1:34" s="511" customFormat="1" ht="18.75" customHeight="1" x14ac:dyDescent="0.35">
      <c r="A22" s="91"/>
      <c r="B22" s="1016"/>
      <c r="C22" s="1061"/>
      <c r="D22" s="440">
        <v>11.3</v>
      </c>
      <c r="E22" s="441">
        <v>11.1</v>
      </c>
      <c r="F22" s="461">
        <v>10.9</v>
      </c>
      <c r="G22" s="462"/>
      <c r="H22" s="469"/>
      <c r="I22" s="404"/>
      <c r="J22" s="1001"/>
      <c r="K22" s="936"/>
      <c r="L22" s="464">
        <v>11.4</v>
      </c>
      <c r="M22" s="464">
        <v>11.2</v>
      </c>
      <c r="N22" s="465">
        <v>11</v>
      </c>
      <c r="O22" s="463"/>
      <c r="P22" s="472"/>
      <c r="Q22" s="91"/>
      <c r="R22" s="952"/>
      <c r="S22" s="953"/>
      <c r="T22" s="1128"/>
      <c r="U22" s="415" t="s">
        <v>777</v>
      </c>
      <c r="V22" s="91"/>
      <c r="W22" s="91"/>
      <c r="X22" s="91"/>
      <c r="Y22" s="91"/>
      <c r="Z22" s="91"/>
      <c r="AA22" s="91"/>
      <c r="AB22" s="91"/>
      <c r="AC22" s="91"/>
      <c r="AD22" s="91"/>
      <c r="AE22" s="91"/>
      <c r="AF22" s="91"/>
      <c r="AG22" s="91"/>
      <c r="AH22" s="91"/>
    </row>
    <row r="23" spans="1:34" s="511" customFormat="1" ht="15" thickBot="1" x14ac:dyDescent="0.35">
      <c r="A23" s="91"/>
      <c r="B23" s="1016"/>
      <c r="C23" s="1062"/>
      <c r="D23" s="452">
        <v>13.6</v>
      </c>
      <c r="E23" s="453">
        <v>13.4</v>
      </c>
      <c r="F23" s="466">
        <v>13.2</v>
      </c>
      <c r="G23" s="515"/>
      <c r="H23" s="516"/>
      <c r="I23" s="404"/>
      <c r="J23" s="1001"/>
      <c r="K23" s="937"/>
      <c r="L23" s="493">
        <v>13.8</v>
      </c>
      <c r="M23" s="493">
        <v>13.6</v>
      </c>
      <c r="N23" s="494">
        <v>13.4</v>
      </c>
      <c r="O23" s="467"/>
      <c r="P23" s="495"/>
      <c r="Q23" s="91"/>
      <c r="R23" s="952"/>
      <c r="S23" s="953"/>
      <c r="T23" s="1128"/>
      <c r="U23" s="415"/>
      <c r="V23" s="91"/>
      <c r="W23" s="91"/>
      <c r="X23" s="91"/>
      <c r="Y23" s="91"/>
      <c r="Z23" s="91"/>
      <c r="AA23" s="91"/>
      <c r="AB23" s="91"/>
      <c r="AC23" s="91"/>
      <c r="AD23" s="91"/>
      <c r="AE23" s="91"/>
      <c r="AF23" s="91"/>
      <c r="AG23" s="91"/>
      <c r="AH23" s="91"/>
    </row>
    <row r="24" spans="1:34" s="511" customFormat="1" ht="15" thickBot="1" x14ac:dyDescent="0.35">
      <c r="A24" s="91"/>
      <c r="B24" s="1018"/>
      <c r="C24" s="91"/>
      <c r="D24" s="91"/>
      <c r="E24" s="91"/>
      <c r="F24" s="91"/>
      <c r="G24" s="91"/>
      <c r="H24" s="91"/>
      <c r="I24" s="91"/>
      <c r="J24" s="1002"/>
      <c r="K24" s="91"/>
      <c r="L24" s="91"/>
      <c r="M24" s="91"/>
      <c r="N24" s="91"/>
      <c r="O24" s="91"/>
      <c r="P24" s="91"/>
      <c r="Q24" s="91"/>
      <c r="R24" s="954"/>
      <c r="S24" s="955"/>
      <c r="T24" s="1129"/>
      <c r="U24" s="414"/>
      <c r="V24" s="91"/>
      <c r="W24" s="91"/>
      <c r="X24" s="91"/>
      <c r="Y24" s="91"/>
      <c r="Z24" s="91"/>
      <c r="AA24" s="91"/>
      <c r="AB24" s="91"/>
      <c r="AC24" s="91"/>
      <c r="AD24" s="91"/>
      <c r="AE24" s="91"/>
      <c r="AF24" s="91"/>
      <c r="AG24" s="91"/>
      <c r="AH24" s="91"/>
    </row>
    <row r="25" spans="1:34" ht="15" thickBot="1" x14ac:dyDescent="0.35">
      <c r="A25" s="91"/>
      <c r="B25" s="91"/>
      <c r="C25" s="306"/>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row>
    <row r="26" spans="1:34" ht="15" thickBot="1" x14ac:dyDescent="0.35">
      <c r="A26" s="91"/>
      <c r="B26" s="306"/>
      <c r="C26" s="91"/>
      <c r="D26" s="91"/>
      <c r="E26" s="91"/>
      <c r="F26" s="91"/>
      <c r="G26" s="475"/>
      <c r="H26" s="451"/>
      <c r="I26" s="91"/>
      <c r="J26" s="762"/>
      <c r="K26" s="765" t="s">
        <v>652</v>
      </c>
      <c r="L26" s="766">
        <v>12</v>
      </c>
      <c r="M26" s="767">
        <v>24</v>
      </c>
      <c r="N26" s="768">
        <v>36</v>
      </c>
      <c r="O26" s="1125" t="s">
        <v>177</v>
      </c>
      <c r="P26" s="1126"/>
      <c r="Q26" s="91"/>
      <c r="R26" s="404"/>
      <c r="S26" s="91"/>
      <c r="T26" s="91"/>
      <c r="U26" s="91"/>
      <c r="V26" s="91"/>
      <c r="W26" s="91"/>
      <c r="X26" s="91"/>
      <c r="Y26" s="91"/>
      <c r="Z26" s="91"/>
      <c r="AA26" s="91"/>
      <c r="AB26" s="91"/>
      <c r="AC26" s="91"/>
      <c r="AD26" s="91"/>
      <c r="AE26" s="91"/>
      <c r="AF26" s="91"/>
      <c r="AG26" s="91"/>
      <c r="AH26" s="91"/>
    </row>
    <row r="27" spans="1:34" ht="18.600000000000001" thickBot="1" x14ac:dyDescent="0.4">
      <c r="A27" s="91"/>
      <c r="B27" s="91"/>
      <c r="C27" s="815" t="s">
        <v>651</v>
      </c>
      <c r="D27" s="663">
        <v>12</v>
      </c>
      <c r="E27" s="664">
        <v>24</v>
      </c>
      <c r="F27" s="665">
        <v>36</v>
      </c>
      <c r="G27" s="1037" t="s">
        <v>177</v>
      </c>
      <c r="H27" s="1038"/>
      <c r="I27" s="451"/>
      <c r="J27" s="761"/>
      <c r="K27" s="1088" t="s">
        <v>324</v>
      </c>
      <c r="L27" s="772">
        <v>11.5</v>
      </c>
      <c r="M27" s="773">
        <v>10.5</v>
      </c>
      <c r="N27" s="774"/>
      <c r="O27" s="792"/>
      <c r="P27" s="793"/>
      <c r="Q27" s="91"/>
      <c r="R27" s="91"/>
      <c r="S27" s="820" t="s">
        <v>652</v>
      </c>
      <c r="T27" s="821">
        <v>12</v>
      </c>
      <c r="U27" s="822">
        <v>24</v>
      </c>
      <c r="V27" s="823">
        <v>36</v>
      </c>
      <c r="W27" s="1117" t="s">
        <v>177</v>
      </c>
      <c r="X27" s="1118"/>
      <c r="Y27" s="91"/>
      <c r="Z27" s="91"/>
      <c r="AA27" s="91"/>
      <c r="AB27" s="91"/>
      <c r="AC27" s="91"/>
      <c r="AD27" s="91"/>
      <c r="AE27" s="91"/>
      <c r="AF27" s="91"/>
      <c r="AG27" s="91"/>
      <c r="AH27" s="91"/>
    </row>
    <row r="28" spans="1:34" ht="19.2" x14ac:dyDescent="0.35">
      <c r="A28" s="91"/>
      <c r="B28" s="759"/>
      <c r="C28" s="1039" t="s">
        <v>324</v>
      </c>
      <c r="D28" s="636">
        <v>12.1</v>
      </c>
      <c r="E28" s="637">
        <v>10.8</v>
      </c>
      <c r="F28" s="638"/>
      <c r="G28" s="626"/>
      <c r="H28" s="627"/>
      <c r="I28" s="451"/>
      <c r="J28" s="761" t="s">
        <v>959</v>
      </c>
      <c r="K28" s="1089"/>
      <c r="L28" s="769">
        <v>11.5</v>
      </c>
      <c r="M28" s="770">
        <v>10.7</v>
      </c>
      <c r="N28" s="771"/>
      <c r="O28" s="794"/>
      <c r="P28" s="795"/>
      <c r="Q28" s="91"/>
      <c r="R28" s="91"/>
      <c r="S28" s="986" t="s">
        <v>324</v>
      </c>
      <c r="T28" s="824">
        <v>10.4</v>
      </c>
      <c r="U28" s="825">
        <v>9.8000000000000007</v>
      </c>
      <c r="V28" s="826"/>
      <c r="W28" s="827"/>
      <c r="X28" s="828"/>
      <c r="Y28" s="91"/>
      <c r="Z28" s="91"/>
      <c r="AA28" s="91"/>
      <c r="AB28" s="91"/>
      <c r="AC28" s="91"/>
      <c r="AD28" s="91"/>
      <c r="AE28" s="91"/>
      <c r="AF28" s="91"/>
      <c r="AG28" s="91"/>
      <c r="AH28" s="91"/>
    </row>
    <row r="29" spans="1:34" ht="22.8" thickBot="1" x14ac:dyDescent="0.35">
      <c r="A29" s="91"/>
      <c r="B29" s="759"/>
      <c r="C29" s="1040"/>
      <c r="D29" s="645">
        <v>12.1</v>
      </c>
      <c r="E29" s="646">
        <v>11.2</v>
      </c>
      <c r="F29" s="647"/>
      <c r="G29" s="628"/>
      <c r="H29" s="629"/>
      <c r="I29" s="404"/>
      <c r="J29" s="763" t="s">
        <v>960</v>
      </c>
      <c r="K29" s="1090"/>
      <c r="L29" s="775">
        <v>11.5</v>
      </c>
      <c r="M29" s="776">
        <v>11.1</v>
      </c>
      <c r="N29" s="777"/>
      <c r="O29" s="796"/>
      <c r="P29" s="797"/>
      <c r="Q29" s="91"/>
      <c r="R29" s="91"/>
      <c r="S29" s="918"/>
      <c r="T29" s="829">
        <v>10.4</v>
      </c>
      <c r="U29" s="830">
        <v>10</v>
      </c>
      <c r="V29" s="831"/>
      <c r="W29" s="832"/>
      <c r="X29" s="833"/>
      <c r="Y29" s="91"/>
      <c r="Z29" s="91"/>
      <c r="AA29" s="91"/>
      <c r="AB29" s="91"/>
      <c r="AC29" s="91"/>
      <c r="AD29" s="91"/>
      <c r="AE29" s="91"/>
      <c r="AF29" s="91"/>
      <c r="AG29" s="91"/>
      <c r="AH29" s="91"/>
    </row>
    <row r="30" spans="1:34" ht="22.8" thickBot="1" x14ac:dyDescent="0.4">
      <c r="A30" s="91"/>
      <c r="B30" s="724"/>
      <c r="C30" s="1041"/>
      <c r="D30" s="655">
        <v>12.1</v>
      </c>
      <c r="E30" s="656">
        <v>12</v>
      </c>
      <c r="F30" s="657"/>
      <c r="G30" s="630"/>
      <c r="H30" s="631"/>
      <c r="I30" s="404"/>
      <c r="J30" s="763" t="s">
        <v>957</v>
      </c>
      <c r="K30" s="1073" t="s">
        <v>352</v>
      </c>
      <c r="L30" s="772">
        <v>11.8</v>
      </c>
      <c r="M30" s="773">
        <v>10.9</v>
      </c>
      <c r="N30" s="774" t="s">
        <v>343</v>
      </c>
      <c r="O30" s="1082" t="s">
        <v>103</v>
      </c>
      <c r="P30" s="1083"/>
      <c r="Q30" s="91"/>
      <c r="R30" s="816"/>
      <c r="S30" s="919"/>
      <c r="T30" s="834">
        <v>10.4</v>
      </c>
      <c r="U30" s="835">
        <v>10.3</v>
      </c>
      <c r="V30" s="836"/>
      <c r="W30" s="837"/>
      <c r="X30" s="838"/>
      <c r="Y30" s="91"/>
      <c r="Z30" s="91"/>
      <c r="AA30" s="91"/>
      <c r="AB30" s="91"/>
      <c r="AC30" s="91"/>
      <c r="AD30" s="91"/>
      <c r="AE30" s="91"/>
      <c r="AF30" s="91"/>
      <c r="AG30" s="91"/>
      <c r="AH30" s="91"/>
    </row>
    <row r="31" spans="1:34" ht="18.75" customHeight="1" x14ac:dyDescent="0.35">
      <c r="A31" s="91"/>
      <c r="B31" s="725"/>
      <c r="C31" s="980" t="s">
        <v>352</v>
      </c>
      <c r="D31" s="636">
        <v>10.9</v>
      </c>
      <c r="E31" s="637">
        <v>11.9</v>
      </c>
      <c r="F31" s="638" t="s">
        <v>343</v>
      </c>
      <c r="G31" s="1042" t="s">
        <v>103</v>
      </c>
      <c r="H31" s="1043"/>
      <c r="I31" s="404"/>
      <c r="J31" s="763"/>
      <c r="K31" s="1074"/>
      <c r="L31" s="769">
        <v>9.9</v>
      </c>
      <c r="M31" s="770">
        <v>10.9</v>
      </c>
      <c r="N31" s="778" t="s">
        <v>343</v>
      </c>
      <c r="O31" s="1084"/>
      <c r="P31" s="1085"/>
      <c r="Q31" s="91"/>
      <c r="R31" s="817"/>
      <c r="S31" s="1072" t="s">
        <v>352</v>
      </c>
      <c r="T31" s="839">
        <v>9.9</v>
      </c>
      <c r="U31" s="840">
        <v>9.9</v>
      </c>
      <c r="V31" s="841" t="s">
        <v>343</v>
      </c>
      <c r="W31" s="1111" t="s">
        <v>103</v>
      </c>
      <c r="X31" s="1112"/>
      <c r="Y31" s="91"/>
      <c r="Z31" s="91"/>
      <c r="AA31" s="91"/>
      <c r="AB31" s="91"/>
      <c r="AC31" s="91"/>
      <c r="AD31" s="91"/>
      <c r="AE31" s="91"/>
      <c r="AF31" s="91"/>
      <c r="AG31" s="91"/>
      <c r="AH31" s="91"/>
    </row>
    <row r="32" spans="1:34" ht="22.8" thickBot="1" x14ac:dyDescent="0.35">
      <c r="A32" s="91"/>
      <c r="B32" s="725"/>
      <c r="C32" s="981"/>
      <c r="D32" s="645">
        <v>14.1</v>
      </c>
      <c r="E32" s="646">
        <v>11.9</v>
      </c>
      <c r="F32" s="648" t="s">
        <v>343</v>
      </c>
      <c r="G32" s="1044"/>
      <c r="H32" s="1045"/>
      <c r="I32" s="404"/>
      <c r="J32" s="763" t="s">
        <v>961</v>
      </c>
      <c r="K32" s="1075"/>
      <c r="L32" s="775">
        <v>15.4</v>
      </c>
      <c r="M32" s="776">
        <v>14.4</v>
      </c>
      <c r="N32" s="777" t="s">
        <v>343</v>
      </c>
      <c r="O32" s="1086"/>
      <c r="P32" s="1087"/>
      <c r="Q32" s="91"/>
      <c r="R32" s="817" t="s">
        <v>959</v>
      </c>
      <c r="S32" s="918"/>
      <c r="T32" s="842">
        <v>13.3</v>
      </c>
      <c r="U32" s="843">
        <v>9.9</v>
      </c>
      <c r="V32" s="844" t="s">
        <v>343</v>
      </c>
      <c r="W32" s="1113"/>
      <c r="X32" s="1114"/>
      <c r="Y32" s="91"/>
      <c r="Z32" s="91"/>
      <c r="AA32" s="91"/>
      <c r="AB32" s="91"/>
      <c r="AC32" s="91"/>
      <c r="AD32" s="91"/>
      <c r="AE32" s="91"/>
      <c r="AF32" s="91"/>
      <c r="AG32" s="91"/>
      <c r="AH32" s="91"/>
    </row>
    <row r="33" spans="1:34" ht="22.8" thickBot="1" x14ac:dyDescent="0.45">
      <c r="A33" s="91"/>
      <c r="B33" s="760" t="s">
        <v>954</v>
      </c>
      <c r="C33" s="982"/>
      <c r="D33" s="655">
        <v>18.399999999999999</v>
      </c>
      <c r="E33" s="656">
        <v>15.4</v>
      </c>
      <c r="F33" s="657" t="s">
        <v>343</v>
      </c>
      <c r="G33" s="1046"/>
      <c r="H33" s="1047"/>
      <c r="I33" s="404"/>
      <c r="J33" s="761" t="s">
        <v>960</v>
      </c>
      <c r="K33" s="1088" t="s">
        <v>353</v>
      </c>
      <c r="L33" s="772">
        <v>10.9</v>
      </c>
      <c r="M33" s="779">
        <v>10.9</v>
      </c>
      <c r="N33" s="780">
        <v>10.3</v>
      </c>
      <c r="O33" s="1091"/>
      <c r="P33" s="1092"/>
      <c r="Q33" s="91"/>
      <c r="R33" s="818" t="s">
        <v>960</v>
      </c>
      <c r="S33" s="919"/>
      <c r="T33" s="845">
        <v>17.8</v>
      </c>
      <c r="U33" s="846">
        <v>13.4</v>
      </c>
      <c r="V33" s="847" t="s">
        <v>343</v>
      </c>
      <c r="W33" s="1115"/>
      <c r="X33" s="1116"/>
      <c r="Y33" s="91"/>
      <c r="Z33" s="91"/>
      <c r="AA33" s="91"/>
      <c r="AB33" s="91"/>
      <c r="AC33" s="91"/>
      <c r="AD33" s="91"/>
      <c r="AE33" s="91"/>
      <c r="AF33" s="91"/>
      <c r="AG33" s="91"/>
      <c r="AH33" s="91"/>
    </row>
    <row r="34" spans="1:34" ht="22.5" customHeight="1" x14ac:dyDescent="0.4">
      <c r="A34" s="91"/>
      <c r="B34" s="760" t="s">
        <v>955</v>
      </c>
      <c r="C34" s="1039" t="s">
        <v>353</v>
      </c>
      <c r="D34" s="636">
        <v>11.9</v>
      </c>
      <c r="E34" s="639">
        <v>11.9</v>
      </c>
      <c r="F34" s="640">
        <v>11.3</v>
      </c>
      <c r="G34" s="1048"/>
      <c r="H34" s="1049"/>
      <c r="I34" s="404"/>
      <c r="J34" s="761" t="s">
        <v>955</v>
      </c>
      <c r="K34" s="1089"/>
      <c r="L34" s="769">
        <v>11.2</v>
      </c>
      <c r="M34" s="781">
        <v>11.2</v>
      </c>
      <c r="N34" s="782">
        <v>10.6</v>
      </c>
      <c r="O34" s="1093"/>
      <c r="P34" s="1094"/>
      <c r="Q34" s="91"/>
      <c r="R34" s="818" t="s">
        <v>957</v>
      </c>
      <c r="S34" s="986" t="s">
        <v>353</v>
      </c>
      <c r="T34" s="824">
        <v>10.3</v>
      </c>
      <c r="U34" s="848">
        <v>10.3</v>
      </c>
      <c r="V34" s="849">
        <v>9.9</v>
      </c>
      <c r="W34" s="1105"/>
      <c r="X34" s="1106"/>
      <c r="Y34" s="91"/>
      <c r="Z34" s="91"/>
      <c r="AA34" s="91"/>
      <c r="AB34" s="91"/>
      <c r="AC34" s="91"/>
      <c r="AD34" s="91"/>
      <c r="AE34" s="91"/>
      <c r="AF34" s="91"/>
      <c r="AG34" s="91"/>
      <c r="AH34" s="91"/>
    </row>
    <row r="35" spans="1:34" ht="22.8" thickBot="1" x14ac:dyDescent="0.35">
      <c r="A35" s="91"/>
      <c r="B35" s="760" t="s">
        <v>956</v>
      </c>
      <c r="C35" s="1040"/>
      <c r="D35" s="645">
        <v>12.2</v>
      </c>
      <c r="E35" s="649">
        <v>12.2</v>
      </c>
      <c r="F35" s="650">
        <v>11.6</v>
      </c>
      <c r="G35" s="1050"/>
      <c r="H35" s="1051"/>
      <c r="I35" s="404"/>
      <c r="J35" s="761" t="s">
        <v>954</v>
      </c>
      <c r="K35" s="1090"/>
      <c r="L35" s="775">
        <v>11.7</v>
      </c>
      <c r="M35" s="776">
        <v>11.7</v>
      </c>
      <c r="N35" s="783">
        <v>11.1</v>
      </c>
      <c r="O35" s="1095"/>
      <c r="P35" s="1096"/>
      <c r="Q35" s="91"/>
      <c r="R35" s="818"/>
      <c r="S35" s="918"/>
      <c r="T35" s="829">
        <v>10.6</v>
      </c>
      <c r="U35" s="850">
        <v>10.6</v>
      </c>
      <c r="V35" s="851">
        <v>10.199999999999999</v>
      </c>
      <c r="W35" s="1107"/>
      <c r="X35" s="1108"/>
      <c r="Y35" s="91"/>
      <c r="Z35" s="91"/>
      <c r="AA35" s="91"/>
      <c r="AB35" s="91"/>
      <c r="AC35" s="91"/>
      <c r="AD35" s="91"/>
      <c r="AE35" s="91"/>
      <c r="AF35" s="91"/>
      <c r="AG35" s="91"/>
      <c r="AH35" s="91"/>
    </row>
    <row r="36" spans="1:34" ht="22.8" thickBot="1" x14ac:dyDescent="0.4">
      <c r="A36" s="404"/>
      <c r="B36" s="760" t="s">
        <v>957</v>
      </c>
      <c r="C36" s="1041"/>
      <c r="D36" s="655">
        <v>12.7</v>
      </c>
      <c r="E36" s="656">
        <v>12.7</v>
      </c>
      <c r="F36" s="658">
        <v>12.1</v>
      </c>
      <c r="G36" s="1052"/>
      <c r="H36" s="1053"/>
      <c r="I36" s="404"/>
      <c r="J36" s="761" t="s">
        <v>962</v>
      </c>
      <c r="K36" s="1073" t="s">
        <v>978</v>
      </c>
      <c r="L36" s="784">
        <v>10.8</v>
      </c>
      <c r="M36" s="785">
        <v>10.5</v>
      </c>
      <c r="N36" s="785" t="s">
        <v>343</v>
      </c>
      <c r="O36" s="1119"/>
      <c r="P36" s="1120"/>
      <c r="Q36" s="91"/>
      <c r="R36" s="818" t="s">
        <v>955</v>
      </c>
      <c r="S36" s="919"/>
      <c r="T36" s="834">
        <v>11.1</v>
      </c>
      <c r="U36" s="835">
        <v>11.1</v>
      </c>
      <c r="V36" s="852">
        <v>10.7</v>
      </c>
      <c r="W36" s="1109"/>
      <c r="X36" s="1110"/>
      <c r="Y36" s="91"/>
      <c r="Z36" s="404"/>
      <c r="AA36" s="404"/>
      <c r="AB36" s="404"/>
      <c r="AC36" s="404"/>
      <c r="AD36" s="404"/>
      <c r="AE36" s="404"/>
      <c r="AF36" s="404"/>
      <c r="AG36" s="91"/>
      <c r="AH36" s="91"/>
    </row>
    <row r="37" spans="1:34" ht="21" customHeight="1" x14ac:dyDescent="0.35">
      <c r="A37" s="404"/>
      <c r="B37" s="725"/>
      <c r="C37" s="980" t="s">
        <v>978</v>
      </c>
      <c r="D37" s="641">
        <v>11.1</v>
      </c>
      <c r="E37" s="642">
        <v>10.8</v>
      </c>
      <c r="F37" s="642" t="s">
        <v>343</v>
      </c>
      <c r="G37" s="1054"/>
      <c r="H37" s="1055"/>
      <c r="I37" s="404"/>
      <c r="J37" s="761" t="s">
        <v>959</v>
      </c>
      <c r="K37" s="1074"/>
      <c r="L37" s="786">
        <v>11.1</v>
      </c>
      <c r="M37" s="786">
        <v>10.7</v>
      </c>
      <c r="N37" s="786" t="s">
        <v>343</v>
      </c>
      <c r="O37" s="1121"/>
      <c r="P37" s="1122"/>
      <c r="Q37" s="91"/>
      <c r="R37" s="817" t="s">
        <v>964</v>
      </c>
      <c r="S37" s="1072" t="s">
        <v>978</v>
      </c>
      <c r="T37" s="853">
        <v>9.5</v>
      </c>
      <c r="U37" s="854">
        <v>9.1</v>
      </c>
      <c r="V37" s="854" t="s">
        <v>343</v>
      </c>
      <c r="W37" s="1099"/>
      <c r="X37" s="1100"/>
      <c r="Y37" s="91"/>
      <c r="Z37" s="404"/>
      <c r="AA37" s="404"/>
      <c r="AB37" s="404"/>
      <c r="AC37" s="404"/>
      <c r="AD37" s="404"/>
      <c r="AE37" s="404"/>
      <c r="AF37" s="404"/>
      <c r="AG37" s="91"/>
      <c r="AH37" s="91"/>
    </row>
    <row r="38" spans="1:34" ht="19.8" thickBot="1" x14ac:dyDescent="0.35">
      <c r="A38" s="404"/>
      <c r="B38" s="725"/>
      <c r="C38" s="981"/>
      <c r="D38" s="651">
        <v>11.5</v>
      </c>
      <c r="E38" s="651">
        <v>11.2</v>
      </c>
      <c r="F38" s="651" t="s">
        <v>343</v>
      </c>
      <c r="G38" s="1056"/>
      <c r="H38" s="1057"/>
      <c r="I38" s="404"/>
      <c r="J38" s="761" t="s">
        <v>963</v>
      </c>
      <c r="K38" s="1075"/>
      <c r="L38" s="787">
        <v>11.5</v>
      </c>
      <c r="M38" s="788">
        <v>11.1</v>
      </c>
      <c r="N38" s="777" t="s">
        <v>343</v>
      </c>
      <c r="O38" s="1123"/>
      <c r="P38" s="1124"/>
      <c r="Q38" s="91"/>
      <c r="R38" s="817" t="s">
        <v>962</v>
      </c>
      <c r="S38" s="918"/>
      <c r="T38" s="855">
        <v>9.6999999999999993</v>
      </c>
      <c r="U38" s="855">
        <v>9.3000000000000007</v>
      </c>
      <c r="V38" s="855" t="s">
        <v>343</v>
      </c>
      <c r="W38" s="1101"/>
      <c r="X38" s="1102"/>
      <c r="Y38" s="91"/>
      <c r="Z38" s="404"/>
      <c r="AA38" s="404"/>
      <c r="AB38" s="404"/>
      <c r="AC38" s="404"/>
      <c r="AD38" s="404"/>
      <c r="AE38" s="404"/>
      <c r="AF38" s="404"/>
      <c r="AG38" s="91"/>
      <c r="AH38" s="91"/>
    </row>
    <row r="39" spans="1:34" ht="19.8" thickBot="1" x14ac:dyDescent="0.35">
      <c r="A39" s="404"/>
      <c r="B39" s="725"/>
      <c r="C39" s="982"/>
      <c r="D39" s="659">
        <v>12.3</v>
      </c>
      <c r="E39" s="660">
        <v>12</v>
      </c>
      <c r="F39" s="657" t="s">
        <v>343</v>
      </c>
      <c r="G39" s="1058"/>
      <c r="H39" s="1059"/>
      <c r="I39" s="404"/>
      <c r="J39" s="761"/>
      <c r="K39" s="1079"/>
      <c r="L39" s="1076"/>
      <c r="M39" s="1077"/>
      <c r="N39" s="1078"/>
      <c r="O39" s="798"/>
      <c r="P39" s="799"/>
      <c r="Q39" s="91"/>
      <c r="R39" s="817" t="s">
        <v>954</v>
      </c>
      <c r="S39" s="919"/>
      <c r="T39" s="856">
        <v>10.1</v>
      </c>
      <c r="U39" s="857">
        <v>9.6</v>
      </c>
      <c r="V39" s="847" t="s">
        <v>343</v>
      </c>
      <c r="W39" s="1103"/>
      <c r="X39" s="1104"/>
      <c r="Y39" s="91"/>
      <c r="Z39" s="404"/>
      <c r="AA39" s="404"/>
      <c r="AB39" s="404"/>
      <c r="AC39" s="404"/>
      <c r="AD39" s="404"/>
      <c r="AE39" s="404"/>
      <c r="AF39" s="404"/>
      <c r="AG39" s="91"/>
      <c r="AH39" s="91"/>
    </row>
    <row r="40" spans="1:34" ht="18.75" customHeight="1" thickBot="1" x14ac:dyDescent="0.45">
      <c r="A40" s="404"/>
      <c r="B40" s="725"/>
      <c r="C40" s="1031"/>
      <c r="D40" s="1034"/>
      <c r="E40" s="1035"/>
      <c r="F40" s="1036"/>
      <c r="G40" s="750"/>
      <c r="H40" s="752"/>
      <c r="I40" s="404"/>
      <c r="J40" s="761"/>
      <c r="K40" s="1080"/>
      <c r="L40" s="356"/>
      <c r="M40" s="789"/>
      <c r="N40" s="358"/>
      <c r="O40" s="800"/>
      <c r="P40" s="801"/>
      <c r="Q40" s="91"/>
      <c r="R40" s="817" t="s">
        <v>965</v>
      </c>
      <c r="S40" s="899"/>
      <c r="T40" s="1068"/>
      <c r="U40" s="1069"/>
      <c r="V40" s="1070"/>
      <c r="W40" s="858"/>
      <c r="X40" s="859"/>
      <c r="Y40" s="91"/>
      <c r="Z40" s="404"/>
      <c r="AA40" s="404"/>
      <c r="AB40" s="404"/>
      <c r="AC40" s="404"/>
      <c r="AD40" s="404"/>
      <c r="AE40" s="404"/>
      <c r="AF40" s="404"/>
      <c r="AG40" s="91"/>
      <c r="AH40" s="91"/>
    </row>
    <row r="41" spans="1:34" ht="21" x14ac:dyDescent="0.4">
      <c r="A41" s="404"/>
      <c r="B41" s="725"/>
      <c r="C41" s="1032"/>
      <c r="D41" s="750"/>
      <c r="E41" s="751"/>
      <c r="F41" s="752"/>
      <c r="G41" s="753"/>
      <c r="H41" s="755"/>
      <c r="I41" s="404"/>
      <c r="J41" s="761"/>
      <c r="K41" s="1080"/>
      <c r="L41" s="359"/>
      <c r="M41" s="790"/>
      <c r="N41" s="360"/>
      <c r="O41" s="800"/>
      <c r="P41" s="801"/>
      <c r="Q41" s="91"/>
      <c r="R41" s="817"/>
      <c r="S41" s="900"/>
      <c r="T41" s="858"/>
      <c r="U41" s="860"/>
      <c r="V41" s="859"/>
      <c r="W41" s="861"/>
      <c r="X41" s="862"/>
      <c r="Y41" s="91"/>
      <c r="Z41" s="404"/>
      <c r="AA41" s="404"/>
      <c r="AB41" s="404"/>
      <c r="AC41" s="404"/>
      <c r="AD41" s="404"/>
      <c r="AE41" s="404"/>
      <c r="AF41" s="404"/>
      <c r="AG41" s="91"/>
      <c r="AH41" s="91"/>
    </row>
    <row r="42" spans="1:34" ht="15" thickBot="1" x14ac:dyDescent="0.35">
      <c r="A42" s="404"/>
      <c r="B42" s="725"/>
      <c r="C42" s="1032"/>
      <c r="D42" s="753"/>
      <c r="E42" s="754"/>
      <c r="F42" s="755"/>
      <c r="G42" s="753"/>
      <c r="H42" s="755"/>
      <c r="I42" s="404"/>
      <c r="J42" s="764"/>
      <c r="K42" s="1081"/>
      <c r="L42" s="361"/>
      <c r="M42" s="791"/>
      <c r="N42" s="363"/>
      <c r="O42" s="800"/>
      <c r="P42" s="801"/>
      <c r="Q42" s="91"/>
      <c r="R42" s="817"/>
      <c r="S42" s="900"/>
      <c r="T42" s="861"/>
      <c r="U42" s="863"/>
      <c r="V42" s="862"/>
      <c r="W42" s="861"/>
      <c r="X42" s="862"/>
      <c r="Y42" s="91"/>
      <c r="Z42" s="404"/>
      <c r="AA42" s="404"/>
      <c r="AB42" s="404"/>
      <c r="AC42" s="404"/>
      <c r="AD42" s="404"/>
      <c r="AE42" s="404"/>
      <c r="AF42" s="404"/>
      <c r="AG42" s="91"/>
      <c r="AH42" s="91"/>
    </row>
    <row r="43" spans="1:34" ht="15" thickBot="1" x14ac:dyDescent="0.35">
      <c r="A43" s="404"/>
      <c r="B43" s="725"/>
      <c r="C43" s="1033"/>
      <c r="D43" s="756"/>
      <c r="E43" s="757"/>
      <c r="F43" s="758"/>
      <c r="G43" s="753"/>
      <c r="H43" s="755"/>
      <c r="I43" s="404"/>
      <c r="J43" s="404"/>
      <c r="K43" s="1076" t="s">
        <v>785</v>
      </c>
      <c r="L43" s="1077"/>
      <c r="M43" s="1077"/>
      <c r="N43" s="1078"/>
      <c r="O43" s="802">
        <v>60</v>
      </c>
      <c r="P43" s="803"/>
      <c r="Q43" s="91"/>
      <c r="R43" s="817"/>
      <c r="S43" s="901"/>
      <c r="T43" s="864"/>
      <c r="U43" s="865"/>
      <c r="V43" s="866"/>
      <c r="W43" s="861"/>
      <c r="X43" s="862"/>
      <c r="Y43" s="91"/>
      <c r="Z43" s="404"/>
      <c r="AA43" s="404"/>
      <c r="AB43" s="404"/>
      <c r="AC43" s="404"/>
      <c r="AD43" s="404"/>
      <c r="AE43" s="404"/>
      <c r="AF43" s="404"/>
      <c r="AG43" s="91"/>
      <c r="AH43" s="91"/>
    </row>
    <row r="44" spans="1:34" ht="18.600000000000001" thickBot="1" x14ac:dyDescent="0.4">
      <c r="A44" s="404"/>
      <c r="B44" s="725"/>
      <c r="C44" s="977" t="s">
        <v>785</v>
      </c>
      <c r="D44" s="978"/>
      <c r="E44" s="978"/>
      <c r="F44" s="979"/>
      <c r="G44" s="666">
        <v>60</v>
      </c>
      <c r="H44" s="633"/>
      <c r="I44" s="404"/>
      <c r="J44" s="404"/>
      <c r="K44" s="1073" t="s">
        <v>772</v>
      </c>
      <c r="L44" s="785">
        <v>11.3</v>
      </c>
      <c r="M44" s="785">
        <v>11.1</v>
      </c>
      <c r="N44" s="811">
        <v>10.9</v>
      </c>
      <c r="O44" s="812"/>
      <c r="P44" s="804"/>
      <c r="Q44" s="91"/>
      <c r="R44" s="817"/>
      <c r="S44" s="1071" t="s">
        <v>785</v>
      </c>
      <c r="T44" s="1069"/>
      <c r="U44" s="1069"/>
      <c r="V44" s="1070"/>
      <c r="W44" s="867">
        <v>60</v>
      </c>
      <c r="X44" s="868"/>
      <c r="Y44" s="91"/>
      <c r="Z44" s="404"/>
      <c r="AA44" s="404"/>
      <c r="AB44" s="404"/>
      <c r="AC44" s="404"/>
      <c r="AD44" s="404"/>
      <c r="AE44" s="404"/>
      <c r="AF44" s="404"/>
      <c r="AG44" s="91"/>
      <c r="AH44" s="91"/>
    </row>
    <row r="45" spans="1:34" ht="18" x14ac:dyDescent="0.35">
      <c r="A45" s="404"/>
      <c r="B45" s="725"/>
      <c r="C45" s="980" t="s">
        <v>772</v>
      </c>
      <c r="D45" s="642">
        <v>12.1</v>
      </c>
      <c r="E45" s="642">
        <v>11.9</v>
      </c>
      <c r="F45" s="644">
        <v>11.7</v>
      </c>
      <c r="G45" s="643"/>
      <c r="H45" s="632"/>
      <c r="I45" s="404"/>
      <c r="J45" s="404"/>
      <c r="K45" s="1074"/>
      <c r="L45" s="808">
        <v>11.6</v>
      </c>
      <c r="M45" s="808">
        <v>11.4</v>
      </c>
      <c r="N45" s="809">
        <v>11.2</v>
      </c>
      <c r="O45" s="805"/>
      <c r="P45" s="806"/>
      <c r="Q45" s="91"/>
      <c r="R45" s="817"/>
      <c r="S45" s="1072" t="s">
        <v>772</v>
      </c>
      <c r="T45" s="854">
        <v>10.1</v>
      </c>
      <c r="U45" s="854">
        <v>9.9</v>
      </c>
      <c r="V45" s="869">
        <v>9.6999999999999993</v>
      </c>
      <c r="W45" s="870"/>
      <c r="X45" s="871"/>
      <c r="Y45" s="91"/>
      <c r="Z45" s="404"/>
      <c r="AA45" s="404"/>
      <c r="AB45" s="404"/>
      <c r="AC45" s="404"/>
      <c r="AD45" s="404"/>
      <c r="AE45" s="404"/>
      <c r="AF45" s="404"/>
      <c r="AG45" s="91"/>
      <c r="AH45" s="91"/>
    </row>
    <row r="46" spans="1:34" ht="18.600000000000001" thickBot="1" x14ac:dyDescent="0.4">
      <c r="A46" s="404"/>
      <c r="B46" s="726"/>
      <c r="C46" s="981"/>
      <c r="D46" s="653">
        <v>12.5</v>
      </c>
      <c r="E46" s="653">
        <v>12.3</v>
      </c>
      <c r="F46" s="654">
        <v>12.1</v>
      </c>
      <c r="G46" s="652"/>
      <c r="H46" s="634"/>
      <c r="I46" s="404"/>
      <c r="J46" s="404"/>
      <c r="K46" s="1075"/>
      <c r="L46" s="787">
        <v>14</v>
      </c>
      <c r="M46" s="787">
        <v>13.8</v>
      </c>
      <c r="N46" s="810">
        <v>13.6</v>
      </c>
      <c r="O46" s="813"/>
      <c r="P46" s="807"/>
      <c r="Q46" s="91"/>
      <c r="R46" s="819"/>
      <c r="S46" s="918"/>
      <c r="T46" s="872">
        <v>10.3</v>
      </c>
      <c r="U46" s="872">
        <v>10.1</v>
      </c>
      <c r="V46" s="873">
        <v>9.9</v>
      </c>
      <c r="W46" s="874"/>
      <c r="X46" s="875"/>
      <c r="Y46" s="91"/>
      <c r="Z46" s="404"/>
      <c r="AA46" s="404"/>
      <c r="AB46" s="404"/>
      <c r="AC46" s="404"/>
      <c r="AD46" s="404"/>
      <c r="AE46" s="404"/>
      <c r="AF46" s="404"/>
      <c r="AG46" s="91"/>
      <c r="AH46" s="91"/>
    </row>
    <row r="47" spans="1:34" ht="15" thickBot="1" x14ac:dyDescent="0.35">
      <c r="A47" s="404"/>
      <c r="B47" s="404"/>
      <c r="C47" s="982"/>
      <c r="D47" s="659">
        <v>15.3</v>
      </c>
      <c r="E47" s="659">
        <v>15.1</v>
      </c>
      <c r="F47" s="661">
        <v>14.9</v>
      </c>
      <c r="G47" s="662"/>
      <c r="H47" s="635"/>
      <c r="I47" s="404"/>
      <c r="J47" s="404"/>
      <c r="K47" s="404"/>
      <c r="L47" s="404"/>
      <c r="M47" s="404"/>
      <c r="N47" s="404"/>
      <c r="O47" s="404"/>
      <c r="P47" s="404"/>
      <c r="Q47" s="91"/>
      <c r="R47" s="404"/>
      <c r="S47" s="919"/>
      <c r="T47" s="856">
        <v>12.7</v>
      </c>
      <c r="U47" s="856">
        <v>12.5</v>
      </c>
      <c r="V47" s="876">
        <v>12.3</v>
      </c>
      <c r="W47" s="877"/>
      <c r="X47" s="878"/>
      <c r="Y47" s="91"/>
      <c r="Z47" s="404"/>
      <c r="AA47" s="404"/>
      <c r="AB47" s="404"/>
      <c r="AC47" s="404"/>
      <c r="AD47" s="404"/>
      <c r="AE47" s="404"/>
      <c r="AF47" s="404"/>
      <c r="AG47" s="91"/>
      <c r="AH47" s="91"/>
    </row>
    <row r="48" spans="1:34" ht="18.75" customHeight="1" thickBot="1" x14ac:dyDescent="0.35">
      <c r="A48" s="404"/>
      <c r="B48" s="404"/>
      <c r="C48" s="404"/>
      <c r="D48" s="404"/>
      <c r="E48" s="404"/>
      <c r="F48" s="404"/>
      <c r="G48" s="404"/>
      <c r="H48" s="404"/>
      <c r="I48" s="404"/>
      <c r="J48" s="404"/>
      <c r="K48" s="91"/>
      <c r="L48" s="91"/>
      <c r="M48" s="91"/>
      <c r="N48" s="91"/>
      <c r="O48" s="91"/>
      <c r="P48" s="91"/>
      <c r="Q48" s="91"/>
      <c r="R48" s="91"/>
      <c r="S48" s="91"/>
      <c r="T48" s="91"/>
      <c r="U48" s="91"/>
      <c r="V48" s="91"/>
      <c r="W48" s="91"/>
      <c r="X48" s="91"/>
      <c r="Y48" s="91"/>
      <c r="Z48" s="404"/>
      <c r="AA48" s="404"/>
      <c r="AB48" s="404"/>
      <c r="AC48" s="404"/>
      <c r="AD48" s="404"/>
      <c r="AE48" s="404"/>
      <c r="AF48" s="404"/>
      <c r="AG48" s="91"/>
      <c r="AH48" s="91"/>
    </row>
    <row r="49" spans="1:34" x14ac:dyDescent="0.3">
      <c r="A49" s="404"/>
      <c r="B49" s="897" t="s">
        <v>512</v>
      </c>
      <c r="C49" s="665"/>
      <c r="D49" s="665"/>
      <c r="E49" s="665"/>
      <c r="F49" s="665"/>
      <c r="G49" s="898"/>
      <c r="H49" s="91"/>
      <c r="I49" s="404"/>
      <c r="J49" s="404"/>
      <c r="K49" s="91"/>
      <c r="L49" s="91"/>
      <c r="M49" s="91"/>
      <c r="N49" s="91"/>
      <c r="O49" s="91"/>
      <c r="P49" s="91"/>
      <c r="Q49" s="91"/>
      <c r="R49" s="91"/>
      <c r="S49" s="91"/>
      <c r="T49" s="91"/>
      <c r="U49" s="91"/>
      <c r="V49" s="91"/>
      <c r="W49" s="91"/>
      <c r="X49" s="91"/>
      <c r="Y49" s="91"/>
      <c r="Z49" s="91"/>
      <c r="AA49" s="91"/>
      <c r="AB49" s="91"/>
      <c r="AC49" s="91"/>
      <c r="AD49" s="91"/>
      <c r="AE49" s="91"/>
      <c r="AF49" s="91"/>
      <c r="AG49" s="91"/>
      <c r="AH49" s="91"/>
    </row>
    <row r="50" spans="1:34" x14ac:dyDescent="0.3">
      <c r="A50" s="404"/>
      <c r="B50" s="887"/>
      <c r="C50" s="279"/>
      <c r="D50" s="279" t="s">
        <v>508</v>
      </c>
      <c r="E50" s="304" t="s">
        <v>511</v>
      </c>
      <c r="F50" s="305"/>
      <c r="G50" s="888"/>
      <c r="H50" s="91"/>
      <c r="I50" s="91"/>
      <c r="J50" s="91"/>
      <c r="K50" s="91"/>
      <c r="L50" s="91"/>
      <c r="M50" s="91"/>
      <c r="N50" s="91"/>
      <c r="O50" s="91"/>
      <c r="P50" s="91"/>
      <c r="Q50" s="91"/>
      <c r="R50" s="91"/>
      <c r="S50" s="404"/>
      <c r="T50" s="404"/>
      <c r="U50" s="404"/>
      <c r="V50" s="404"/>
      <c r="W50" s="404"/>
      <c r="X50" s="404"/>
      <c r="Y50" s="404"/>
      <c r="Z50" s="91"/>
      <c r="AA50" s="91"/>
      <c r="AB50" s="91"/>
      <c r="AC50" s="91"/>
      <c r="AD50" s="91"/>
      <c r="AE50" s="91"/>
      <c r="AF50" s="91"/>
      <c r="AG50" s="91"/>
      <c r="AH50" s="91"/>
    </row>
    <row r="51" spans="1:34" ht="18.75" customHeight="1" x14ac:dyDescent="0.55000000000000004">
      <c r="A51" s="404"/>
      <c r="B51" s="889" t="s">
        <v>513</v>
      </c>
      <c r="C51" s="278"/>
      <c r="D51" s="278"/>
      <c r="E51" s="283" t="s">
        <v>509</v>
      </c>
      <c r="F51" s="283" t="s">
        <v>510</v>
      </c>
      <c r="G51" s="890" t="s">
        <v>519</v>
      </c>
      <c r="H51" s="91"/>
      <c r="I51" s="91"/>
      <c r="J51" s="902"/>
      <c r="K51" s="91"/>
      <c r="L51" s="91"/>
      <c r="M51" s="91"/>
      <c r="N51" s="91"/>
      <c r="O51" s="91"/>
      <c r="P51" s="91"/>
      <c r="Q51" s="91"/>
      <c r="R51" s="91"/>
      <c r="S51" s="404"/>
      <c r="T51" s="404"/>
      <c r="U51" s="404"/>
      <c r="V51" s="404"/>
      <c r="W51" s="404"/>
      <c r="X51" s="404"/>
      <c r="Y51" s="404"/>
      <c r="Z51" s="91"/>
      <c r="AA51" s="91"/>
      <c r="AB51" s="91"/>
      <c r="AC51" s="91"/>
      <c r="AD51" s="91"/>
      <c r="AE51" s="91"/>
      <c r="AF51" s="91"/>
      <c r="AG51" s="91"/>
      <c r="AH51" s="91"/>
    </row>
    <row r="52" spans="1:34" ht="18.75" customHeight="1" x14ac:dyDescent="0.3">
      <c r="A52" s="404"/>
      <c r="B52" s="891" t="s">
        <v>504</v>
      </c>
      <c r="C52" s="281">
        <f>(C51*0.01)*2000</f>
        <v>0</v>
      </c>
      <c r="D52" s="281">
        <f>(D51*0.01)*2000</f>
        <v>0</v>
      </c>
      <c r="E52" s="281">
        <f>(C52-D52)</f>
        <v>0</v>
      </c>
      <c r="F52" s="281">
        <f>E52*12</f>
        <v>0</v>
      </c>
      <c r="G52" s="892">
        <f>F52*2</f>
        <v>0</v>
      </c>
      <c r="H52" s="91"/>
      <c r="I52" s="91"/>
      <c r="J52" s="91"/>
      <c r="K52" s="91"/>
      <c r="L52" s="91"/>
      <c r="M52" s="91"/>
      <c r="N52" s="91"/>
      <c r="O52" s="91"/>
      <c r="P52" s="91"/>
      <c r="Q52" s="91"/>
      <c r="R52" s="91"/>
      <c r="S52" s="404"/>
      <c r="T52" s="404"/>
      <c r="U52" s="404"/>
      <c r="V52" s="404"/>
      <c r="W52" s="404"/>
      <c r="X52" s="404"/>
      <c r="Y52" s="404"/>
      <c r="Z52" s="91"/>
      <c r="AA52" s="91"/>
      <c r="AB52" s="91"/>
      <c r="AC52" s="91"/>
      <c r="AD52" s="91"/>
      <c r="AE52" s="91"/>
      <c r="AF52" s="91"/>
      <c r="AG52" s="91"/>
      <c r="AH52" s="91"/>
    </row>
    <row r="53" spans="1:34" x14ac:dyDescent="0.3">
      <c r="A53" s="404"/>
      <c r="B53" s="889" t="s">
        <v>506</v>
      </c>
      <c r="C53" s="282">
        <f>(C51*0.01)*1500</f>
        <v>0</v>
      </c>
      <c r="D53" s="280">
        <f>(D51*0.01)*1500</f>
        <v>0</v>
      </c>
      <c r="E53" s="282">
        <f t="shared" ref="E53:E55" si="0">(C53-D53)</f>
        <v>0</v>
      </c>
      <c r="F53" s="282">
        <f t="shared" ref="F53:F55" si="1">E53*12</f>
        <v>0</v>
      </c>
      <c r="G53" s="893">
        <f>F53*2</f>
        <v>0</v>
      </c>
      <c r="H53" s="91"/>
      <c r="I53" s="91"/>
      <c r="J53" s="1097" t="s">
        <v>968</v>
      </c>
      <c r="K53" s="1098"/>
      <c r="L53" s="1098"/>
      <c r="M53" s="1098"/>
      <c r="N53" s="1098"/>
      <c r="O53" s="1098"/>
      <c r="P53" s="1098"/>
      <c r="Q53" s="1098"/>
      <c r="R53" s="1098"/>
      <c r="S53" s="1098"/>
      <c r="T53" s="1098"/>
      <c r="U53" s="1098"/>
      <c r="V53" s="1098"/>
      <c r="W53" s="1098"/>
      <c r="X53" s="1098"/>
      <c r="Y53" s="404"/>
      <c r="Z53" s="91"/>
      <c r="AA53" s="91"/>
      <c r="AB53" s="91"/>
      <c r="AC53" s="91"/>
      <c r="AD53" s="91"/>
      <c r="AE53" s="91"/>
      <c r="AF53" s="91"/>
      <c r="AG53" s="91"/>
      <c r="AH53" s="91"/>
    </row>
    <row r="54" spans="1:34" ht="18.75" customHeight="1" x14ac:dyDescent="0.3">
      <c r="A54" s="404"/>
      <c r="B54" s="891" t="s">
        <v>505</v>
      </c>
      <c r="C54" s="281">
        <f>(C51*0.01)*1000</f>
        <v>0</v>
      </c>
      <c r="D54" s="281">
        <f>(D51*0.01)*1000</f>
        <v>0</v>
      </c>
      <c r="E54" s="281">
        <f t="shared" si="0"/>
        <v>0</v>
      </c>
      <c r="F54" s="281">
        <f t="shared" si="1"/>
        <v>0</v>
      </c>
      <c r="G54" s="892">
        <f>F54*2</f>
        <v>0</v>
      </c>
      <c r="H54" s="91"/>
      <c r="I54" s="91"/>
      <c r="J54" s="1098"/>
      <c r="K54" s="1098"/>
      <c r="L54" s="1098"/>
      <c r="M54" s="1098"/>
      <c r="N54" s="1098"/>
      <c r="O54" s="1098"/>
      <c r="P54" s="1098"/>
      <c r="Q54" s="1098"/>
      <c r="R54" s="1098"/>
      <c r="S54" s="1098"/>
      <c r="T54" s="1098"/>
      <c r="U54" s="1098"/>
      <c r="V54" s="1098"/>
      <c r="W54" s="1098"/>
      <c r="X54" s="1098"/>
      <c r="Y54" s="404"/>
      <c r="Z54" s="91"/>
      <c r="AA54" s="91"/>
      <c r="AB54" s="91"/>
      <c r="AC54" s="91"/>
      <c r="AD54" s="91"/>
      <c r="AE54" s="91"/>
      <c r="AF54" s="91"/>
      <c r="AG54" s="91"/>
      <c r="AH54" s="91"/>
    </row>
    <row r="55" spans="1:34" ht="15" thickBot="1" x14ac:dyDescent="0.35">
      <c r="A55" s="404"/>
      <c r="B55" s="894" t="s">
        <v>507</v>
      </c>
      <c r="C55" s="895">
        <f>(C51*0.01)*700</f>
        <v>0</v>
      </c>
      <c r="D55" s="895">
        <f>(D51*0.01)*700</f>
        <v>0</v>
      </c>
      <c r="E55" s="895">
        <f t="shared" si="0"/>
        <v>0</v>
      </c>
      <c r="F55" s="895">
        <f t="shared" si="1"/>
        <v>0</v>
      </c>
      <c r="G55" s="896">
        <f>F55*2</f>
        <v>0</v>
      </c>
      <c r="H55" s="91"/>
      <c r="I55" s="91"/>
      <c r="J55" s="91"/>
      <c r="K55" s="91"/>
      <c r="L55" s="91"/>
      <c r="M55" s="91"/>
      <c r="N55" s="91"/>
      <c r="O55" s="91"/>
      <c r="P55" s="91"/>
      <c r="Q55" s="91"/>
      <c r="R55" s="91"/>
      <c r="S55" s="404"/>
      <c r="T55" s="404"/>
      <c r="U55" s="404"/>
      <c r="V55" s="404"/>
      <c r="W55" s="404"/>
      <c r="X55" s="404"/>
      <c r="Y55" s="404"/>
      <c r="Z55" s="91"/>
      <c r="AA55" s="91"/>
      <c r="AB55" s="91"/>
      <c r="AC55" s="91"/>
      <c r="AD55" s="91"/>
      <c r="AE55" s="91"/>
      <c r="AF55" s="91"/>
      <c r="AG55" s="91"/>
      <c r="AH55" s="91"/>
    </row>
    <row r="56" spans="1:34" x14ac:dyDescent="0.3">
      <c r="A56" s="404"/>
      <c r="B56" s="91"/>
      <c r="C56" s="91"/>
      <c r="D56" s="91"/>
      <c r="E56" s="91"/>
      <c r="F56" s="91"/>
      <c r="G56" s="91"/>
      <c r="H56" s="91"/>
      <c r="I56" s="91"/>
      <c r="J56" s="91"/>
      <c r="K56" s="91"/>
      <c r="L56" s="91"/>
      <c r="M56" s="91"/>
      <c r="N56" s="91"/>
      <c r="O56" s="91"/>
      <c r="P56" s="91"/>
      <c r="Q56" s="91"/>
      <c r="R56" s="91"/>
      <c r="S56" s="404"/>
      <c r="T56" s="404"/>
      <c r="U56" s="404"/>
      <c r="V56" s="404"/>
      <c r="W56" s="404"/>
      <c r="X56" s="404"/>
      <c r="Y56" s="404"/>
      <c r="Z56" s="91"/>
      <c r="AA56" s="91"/>
      <c r="AB56" s="91"/>
      <c r="AC56" s="91"/>
      <c r="AD56" s="91"/>
      <c r="AE56" s="91"/>
      <c r="AF56" s="91"/>
      <c r="AG56" s="91"/>
      <c r="AH56" s="91"/>
    </row>
    <row r="57" spans="1:34" ht="22.5" customHeight="1" thickBot="1" x14ac:dyDescent="0.35">
      <c r="A57" s="404"/>
      <c r="B57" s="91"/>
      <c r="C57" s="91"/>
      <c r="D57" s="91"/>
      <c r="E57" s="91"/>
      <c r="F57" s="91"/>
      <c r="G57" s="91"/>
      <c r="H57" s="91"/>
      <c r="I57" s="91"/>
      <c r="J57" s="91"/>
      <c r="K57" s="404"/>
      <c r="L57" s="91"/>
      <c r="M57" s="91"/>
      <c r="N57" s="91"/>
      <c r="O57" s="91"/>
      <c r="P57" s="91"/>
      <c r="Q57" s="91"/>
      <c r="R57" s="91"/>
      <c r="S57" s="404"/>
      <c r="T57" s="404"/>
      <c r="U57" s="404"/>
      <c r="V57" s="404"/>
      <c r="W57" s="404"/>
      <c r="X57" s="404"/>
      <c r="Y57" s="404"/>
      <c r="Z57" s="91"/>
      <c r="AA57" s="91"/>
      <c r="AB57" s="91"/>
      <c r="AC57" s="91"/>
      <c r="AD57" s="91"/>
      <c r="AE57" s="91"/>
      <c r="AF57" s="91"/>
      <c r="AG57" s="91"/>
      <c r="AH57" s="91"/>
    </row>
    <row r="58" spans="1:34" ht="15.75" customHeight="1" x14ac:dyDescent="0.3">
      <c r="A58" s="404"/>
      <c r="B58" s="1066"/>
      <c r="C58" s="1067"/>
      <c r="D58" s="879"/>
      <c r="E58" s="879"/>
      <c r="F58" s="879"/>
      <c r="G58" s="880"/>
      <c r="H58" s="404"/>
      <c r="I58" s="91"/>
      <c r="J58" s="91"/>
      <c r="K58" s="404"/>
      <c r="L58" s="91"/>
      <c r="M58" s="91"/>
      <c r="N58" s="91"/>
      <c r="O58" s="91"/>
      <c r="P58" s="91"/>
      <c r="Q58" s="91"/>
      <c r="R58" s="91"/>
      <c r="S58" s="404"/>
      <c r="T58" s="404"/>
      <c r="U58" s="404"/>
      <c r="V58" s="404"/>
      <c r="W58" s="404"/>
      <c r="X58" s="404"/>
      <c r="Y58" s="404"/>
      <c r="Z58" s="91"/>
      <c r="AA58" s="91"/>
      <c r="AB58" s="91"/>
      <c r="AC58" s="91"/>
      <c r="AD58" s="91"/>
      <c r="AE58" s="91"/>
      <c r="AF58" s="91"/>
      <c r="AG58" s="91"/>
      <c r="AH58" s="91"/>
    </row>
    <row r="59" spans="1:34" x14ac:dyDescent="0.3">
      <c r="A59" s="404"/>
      <c r="B59" s="881"/>
      <c r="C59" s="882"/>
      <c r="D59" s="882"/>
      <c r="E59" s="882"/>
      <c r="F59" s="882"/>
      <c r="G59" s="883"/>
      <c r="H59" s="404"/>
      <c r="I59" s="91"/>
      <c r="J59" s="91"/>
      <c r="K59" s="404"/>
      <c r="L59" s="91"/>
      <c r="M59" s="91"/>
      <c r="N59" s="91"/>
      <c r="O59" s="91"/>
      <c r="P59" s="91"/>
      <c r="Q59" s="91"/>
      <c r="R59" s="91"/>
      <c r="S59" s="404"/>
      <c r="T59" s="404"/>
      <c r="U59" s="404"/>
      <c r="V59" s="404"/>
      <c r="W59" s="404"/>
      <c r="X59" s="404"/>
      <c r="Y59" s="404"/>
      <c r="Z59" s="91"/>
      <c r="AA59" s="91"/>
      <c r="AB59" s="91"/>
      <c r="AC59" s="91"/>
      <c r="AD59" s="91"/>
      <c r="AE59" s="91"/>
      <c r="AF59" s="91"/>
      <c r="AG59" s="91"/>
      <c r="AH59" s="91"/>
    </row>
    <row r="60" spans="1:34" ht="20.25" customHeight="1" x14ac:dyDescent="0.3">
      <c r="A60" s="404"/>
      <c r="B60" s="881"/>
      <c r="C60" s="882"/>
      <c r="D60" s="882"/>
      <c r="E60" s="882"/>
      <c r="F60" s="882"/>
      <c r="G60" s="883"/>
      <c r="H60" s="404"/>
      <c r="I60" s="91"/>
      <c r="J60" s="91"/>
      <c r="K60" s="404"/>
      <c r="L60" s="91"/>
      <c r="M60" s="91"/>
      <c r="N60" s="91"/>
      <c r="O60" s="91"/>
      <c r="P60" s="91"/>
      <c r="Q60" s="91"/>
      <c r="R60" s="91"/>
      <c r="S60" s="404"/>
      <c r="T60" s="404"/>
      <c r="U60" s="404"/>
      <c r="V60" s="404"/>
      <c r="W60" s="404"/>
      <c r="X60" s="404"/>
      <c r="Y60" s="404"/>
      <c r="Z60" s="91"/>
      <c r="AA60" s="91"/>
      <c r="AB60" s="91"/>
      <c r="AC60" s="91"/>
      <c r="AD60" s="91"/>
      <c r="AE60" s="91"/>
      <c r="AF60" s="91"/>
      <c r="AG60" s="91"/>
      <c r="AH60" s="91"/>
    </row>
    <row r="61" spans="1:34" x14ac:dyDescent="0.3">
      <c r="A61" s="404"/>
      <c r="B61" s="881"/>
      <c r="C61" s="882"/>
      <c r="D61" s="882"/>
      <c r="E61" s="882"/>
      <c r="F61" s="882"/>
      <c r="G61" s="883"/>
      <c r="H61" s="404"/>
      <c r="I61" s="91"/>
      <c r="J61" s="91"/>
      <c r="K61" s="404"/>
      <c r="L61" s="91"/>
      <c r="M61" s="91"/>
      <c r="N61" s="91"/>
      <c r="O61" s="91"/>
      <c r="P61" s="91"/>
      <c r="Q61" s="91"/>
      <c r="R61" s="91"/>
      <c r="S61" s="404"/>
      <c r="T61" s="404"/>
      <c r="U61" s="404"/>
      <c r="V61" s="404"/>
      <c r="W61" s="404"/>
      <c r="X61" s="404"/>
      <c r="Y61" s="404"/>
      <c r="Z61" s="91"/>
      <c r="AA61" s="91"/>
      <c r="AB61" s="91"/>
      <c r="AC61" s="91"/>
      <c r="AD61" s="91"/>
      <c r="AE61" s="91"/>
      <c r="AF61" s="91"/>
      <c r="AG61" s="91"/>
      <c r="AH61" s="91"/>
    </row>
    <row r="62" spans="1:34" ht="15" thickBot="1" x14ac:dyDescent="0.35">
      <c r="A62" s="404"/>
      <c r="B62" s="884"/>
      <c r="C62" s="885"/>
      <c r="D62" s="885"/>
      <c r="E62" s="885"/>
      <c r="F62" s="885"/>
      <c r="G62" s="886"/>
      <c r="H62" s="404"/>
      <c r="I62" s="91"/>
      <c r="J62" s="91"/>
      <c r="K62" s="404"/>
      <c r="L62" s="91"/>
      <c r="M62" s="91"/>
      <c r="N62" s="91"/>
      <c r="O62" s="91"/>
      <c r="P62" s="91"/>
      <c r="Q62" s="91"/>
      <c r="R62" s="91"/>
      <c r="S62" s="404"/>
      <c r="T62" s="404"/>
      <c r="U62" s="404"/>
      <c r="V62" s="404"/>
      <c r="W62" s="404"/>
      <c r="X62" s="404"/>
      <c r="Y62" s="404"/>
      <c r="Z62" s="91"/>
      <c r="AA62" s="91"/>
      <c r="AB62" s="91"/>
      <c r="AC62" s="91"/>
      <c r="AD62" s="91"/>
      <c r="AE62" s="91"/>
      <c r="AF62" s="91"/>
      <c r="AG62" s="91"/>
      <c r="AH62" s="91"/>
    </row>
    <row r="63" spans="1:34" x14ac:dyDescent="0.3">
      <c r="A63" s="404"/>
      <c r="B63" s="674"/>
      <c r="C63" s="674"/>
      <c r="D63" s="674"/>
      <c r="E63" s="674"/>
      <c r="F63" s="674"/>
      <c r="G63" s="674"/>
      <c r="H63" s="404"/>
      <c r="I63" s="91"/>
      <c r="J63" s="91"/>
      <c r="K63" s="404"/>
      <c r="L63" s="91"/>
      <c r="M63" s="91"/>
      <c r="N63" s="91"/>
      <c r="O63" s="91"/>
      <c r="P63" s="91"/>
      <c r="Q63" s="91"/>
      <c r="R63" s="91"/>
      <c r="S63" s="404"/>
      <c r="T63" s="404"/>
      <c r="U63" s="404"/>
      <c r="V63" s="404"/>
      <c r="W63" s="404"/>
      <c r="X63" s="404"/>
      <c r="Y63" s="404"/>
      <c r="Z63" s="91"/>
      <c r="AA63" s="91"/>
      <c r="AB63" s="91"/>
      <c r="AC63" s="91"/>
      <c r="AD63" s="91"/>
      <c r="AE63" s="91"/>
      <c r="AF63" s="91"/>
      <c r="AG63" s="91"/>
      <c r="AH63" s="91"/>
    </row>
    <row r="64" spans="1:34" x14ac:dyDescent="0.3">
      <c r="A64" s="404"/>
      <c r="B64" s="91"/>
      <c r="C64" s="91"/>
      <c r="D64" s="91"/>
      <c r="E64" s="91"/>
      <c r="F64" s="91"/>
      <c r="G64" s="91"/>
      <c r="H64" s="91"/>
      <c r="I64" s="91"/>
      <c r="J64" s="91"/>
      <c r="K64" s="404"/>
      <c r="L64" s="91"/>
      <c r="M64" s="91"/>
      <c r="N64" s="91"/>
      <c r="O64" s="91"/>
      <c r="P64" s="91"/>
      <c r="Q64" s="91"/>
      <c r="R64" s="91"/>
      <c r="S64" s="404"/>
      <c r="T64" s="404"/>
      <c r="U64" s="404"/>
      <c r="V64" s="404"/>
      <c r="W64" s="404"/>
      <c r="X64" s="404"/>
      <c r="Y64" s="404"/>
      <c r="Z64" s="91"/>
      <c r="AA64" s="91"/>
      <c r="AB64" s="91"/>
      <c r="AC64" s="91"/>
      <c r="AD64" s="91"/>
      <c r="AE64" s="91"/>
      <c r="AF64" s="91"/>
      <c r="AG64" s="91"/>
      <c r="AH64" s="91"/>
    </row>
    <row r="65" spans="1:34" ht="15.75" customHeight="1" x14ac:dyDescent="0.3">
      <c r="A65" s="404"/>
      <c r="B65" s="91"/>
      <c r="C65" s="91"/>
      <c r="D65" s="91"/>
      <c r="E65" s="91"/>
      <c r="F65" s="91"/>
      <c r="G65" s="91"/>
      <c r="H65" s="91"/>
      <c r="I65" s="91"/>
      <c r="J65" s="91"/>
      <c r="K65" s="404"/>
      <c r="L65" s="91"/>
      <c r="M65" s="91"/>
      <c r="N65" s="91"/>
      <c r="O65" s="91"/>
      <c r="P65" s="91"/>
      <c r="Q65" s="91"/>
      <c r="R65" s="404"/>
      <c r="S65" s="404"/>
      <c r="T65" s="404"/>
      <c r="U65" s="404"/>
      <c r="V65" s="404"/>
      <c r="W65" s="404"/>
      <c r="X65" s="404"/>
      <c r="Y65" s="404"/>
      <c r="Z65" s="91"/>
      <c r="AA65" s="91"/>
      <c r="AB65" s="91"/>
      <c r="AC65" s="91"/>
      <c r="AD65" s="91"/>
      <c r="AE65" s="91"/>
      <c r="AF65" s="91"/>
      <c r="AG65" s="91"/>
      <c r="AH65" s="91"/>
    </row>
    <row r="66" spans="1:34" x14ac:dyDescent="0.3">
      <c r="A66" s="404"/>
      <c r="B66" s="91"/>
      <c r="C66" s="91"/>
      <c r="D66" s="91"/>
      <c r="E66" s="91"/>
      <c r="F66" s="91"/>
      <c r="G66" s="91"/>
      <c r="H66" s="91"/>
      <c r="I66" s="91"/>
      <c r="J66" s="91"/>
      <c r="K66" s="404"/>
      <c r="L66" s="91"/>
      <c r="M66" s="91"/>
      <c r="N66" s="91"/>
      <c r="O66" s="91"/>
      <c r="P66" s="91"/>
      <c r="Q66" s="91"/>
      <c r="R66" s="404"/>
      <c r="S66" s="404"/>
      <c r="T66" s="404"/>
      <c r="U66" s="404"/>
      <c r="V66" s="404"/>
      <c r="W66" s="404"/>
      <c r="X66" s="404"/>
      <c r="Y66" s="404"/>
      <c r="Z66" s="91"/>
      <c r="AA66" s="91"/>
      <c r="AB66" s="91"/>
      <c r="AC66" s="91"/>
      <c r="AD66" s="91"/>
      <c r="AE66" s="91"/>
      <c r="AF66" s="91"/>
      <c r="AG66" s="91"/>
      <c r="AH66" s="91"/>
    </row>
    <row r="67" spans="1:34" x14ac:dyDescent="0.3">
      <c r="A67" s="404"/>
      <c r="B67" s="91"/>
      <c r="C67" s="91"/>
      <c r="D67" s="91"/>
      <c r="E67" s="91"/>
      <c r="F67" s="91"/>
      <c r="G67" s="91"/>
      <c r="H67" s="91"/>
      <c r="I67" s="91"/>
      <c r="J67" s="91"/>
      <c r="K67" s="404"/>
      <c r="L67" s="91"/>
      <c r="M67" s="91"/>
      <c r="N67" s="91"/>
      <c r="O67" s="91"/>
      <c r="P67" s="91"/>
      <c r="Q67" s="91"/>
      <c r="R67" s="404"/>
      <c r="S67" s="404"/>
      <c r="T67" s="404"/>
      <c r="U67" s="404"/>
      <c r="V67" s="404"/>
      <c r="W67" s="404"/>
      <c r="X67" s="404"/>
      <c r="Y67" s="404"/>
      <c r="Z67" s="91"/>
      <c r="AA67" s="91"/>
      <c r="AB67" s="91"/>
      <c r="AC67" s="91"/>
      <c r="AD67" s="91"/>
      <c r="AE67" s="91"/>
      <c r="AF67" s="91"/>
      <c r="AG67" s="91"/>
      <c r="AH67" s="91"/>
    </row>
    <row r="68" spans="1:34" ht="18.75" customHeight="1" x14ac:dyDescent="0.3">
      <c r="A68" s="404"/>
      <c r="B68" s="91"/>
      <c r="C68" s="91"/>
      <c r="D68" s="91"/>
      <c r="E68" s="91"/>
      <c r="F68" s="91"/>
      <c r="G68" s="91"/>
      <c r="H68" s="91"/>
      <c r="I68" s="91"/>
      <c r="J68" s="91"/>
      <c r="K68" s="404"/>
      <c r="L68" s="91"/>
      <c r="M68" s="91"/>
      <c r="N68" s="91"/>
      <c r="O68" s="91"/>
      <c r="P68" s="91"/>
      <c r="Q68" s="91"/>
      <c r="R68" s="91"/>
      <c r="S68" s="404"/>
      <c r="T68" s="404"/>
      <c r="U68" s="404"/>
      <c r="V68" s="404"/>
      <c r="W68" s="404"/>
      <c r="X68" s="404"/>
      <c r="Y68" s="404"/>
      <c r="Z68" s="91"/>
      <c r="AA68" s="91"/>
      <c r="AB68" s="91"/>
      <c r="AC68" s="91"/>
      <c r="AD68" s="91"/>
      <c r="AE68" s="91"/>
      <c r="AF68" s="91"/>
      <c r="AG68" s="91"/>
      <c r="AH68" s="91"/>
    </row>
    <row r="69" spans="1:34" x14ac:dyDescent="0.3">
      <c r="A69" s="404"/>
      <c r="B69" s="91"/>
      <c r="C69" s="91"/>
      <c r="D69" s="91"/>
      <c r="E69" s="91"/>
      <c r="F69" s="91"/>
      <c r="G69" s="91"/>
      <c r="H69" s="91"/>
      <c r="I69" s="91"/>
      <c r="J69" s="91"/>
      <c r="K69" s="404"/>
      <c r="L69" s="91"/>
      <c r="M69" s="91"/>
      <c r="N69" s="91"/>
      <c r="O69" s="91"/>
      <c r="P69" s="91"/>
      <c r="Q69" s="91"/>
      <c r="R69" s="91"/>
      <c r="S69" s="404"/>
      <c r="T69" s="404"/>
      <c r="U69" s="404"/>
      <c r="V69" s="404"/>
      <c r="W69" s="404"/>
      <c r="X69" s="404"/>
      <c r="Y69" s="404"/>
      <c r="Z69" s="91"/>
      <c r="AA69" s="91"/>
      <c r="AB69" s="91"/>
      <c r="AC69" s="91"/>
      <c r="AD69" s="91"/>
      <c r="AE69" s="91"/>
      <c r="AF69" s="91"/>
      <c r="AG69" s="91"/>
      <c r="AH69" s="91"/>
    </row>
    <row r="70" spans="1:34" x14ac:dyDescent="0.3">
      <c r="A70" s="404"/>
      <c r="B70" s="91"/>
      <c r="C70" s="91"/>
      <c r="D70" s="91"/>
      <c r="E70" s="91"/>
      <c r="F70" s="91"/>
      <c r="G70" s="91"/>
      <c r="H70" s="91"/>
      <c r="I70" s="91"/>
      <c r="J70" s="91"/>
      <c r="K70" s="404"/>
      <c r="L70" s="91"/>
      <c r="M70" s="91"/>
      <c r="N70" s="91"/>
      <c r="O70" s="91"/>
      <c r="P70" s="91"/>
      <c r="Q70" s="91"/>
      <c r="R70" s="91"/>
      <c r="S70" s="404"/>
      <c r="T70" s="404"/>
      <c r="U70" s="404"/>
      <c r="V70" s="404"/>
      <c r="W70" s="404"/>
      <c r="X70" s="404"/>
      <c r="Y70" s="404"/>
      <c r="Z70" s="91"/>
      <c r="AA70" s="91"/>
      <c r="AB70" s="91"/>
      <c r="AC70" s="91"/>
      <c r="AD70" s="91"/>
      <c r="AE70" s="91"/>
      <c r="AF70" s="91"/>
      <c r="AG70" s="91"/>
      <c r="AH70" s="91"/>
    </row>
    <row r="71" spans="1:34" x14ac:dyDescent="0.3">
      <c r="A71" s="404"/>
      <c r="B71" s="404"/>
      <c r="C71" s="91"/>
      <c r="D71" s="91"/>
      <c r="E71" s="91"/>
      <c r="F71" s="91"/>
      <c r="G71" s="91"/>
      <c r="H71" s="91"/>
      <c r="I71" s="91"/>
      <c r="J71" s="91"/>
      <c r="K71" s="91"/>
      <c r="L71" s="91"/>
      <c r="M71" s="91"/>
      <c r="N71" s="91"/>
      <c r="O71" s="91"/>
      <c r="P71" s="91"/>
      <c r="Q71" s="91"/>
      <c r="R71" s="91"/>
      <c r="S71" s="91"/>
      <c r="T71" s="91"/>
      <c r="U71" s="91"/>
      <c r="V71" s="91"/>
      <c r="W71" s="91"/>
      <c r="X71" s="91"/>
      <c r="Y71" s="91"/>
      <c r="Z71" s="404"/>
      <c r="AA71" s="404"/>
      <c r="AB71" s="404"/>
      <c r="AC71" s="91"/>
      <c r="AD71" s="91"/>
      <c r="AE71" s="91"/>
      <c r="AF71" s="91"/>
      <c r="AG71" s="91"/>
      <c r="AH71" s="91"/>
    </row>
    <row r="72" spans="1:34" x14ac:dyDescent="0.3">
      <c r="A72" s="404"/>
      <c r="B72" s="404"/>
      <c r="C72" s="91"/>
      <c r="D72" s="91"/>
      <c r="E72" s="91"/>
      <c r="F72" s="91"/>
      <c r="G72" s="91"/>
      <c r="H72" s="91"/>
      <c r="I72" s="91"/>
      <c r="J72" s="91"/>
      <c r="K72" s="91"/>
      <c r="L72" s="91"/>
      <c r="M72" s="91"/>
      <c r="N72" s="91"/>
      <c r="O72" s="91"/>
      <c r="P72" s="91"/>
      <c r="Q72" s="91"/>
      <c r="R72" s="91"/>
      <c r="S72" s="91"/>
      <c r="T72" s="91"/>
      <c r="U72" s="91"/>
      <c r="V72" s="91"/>
      <c r="W72" s="91"/>
      <c r="X72" s="91"/>
      <c r="Y72" s="91"/>
      <c r="Z72" s="404"/>
      <c r="AA72" s="404"/>
      <c r="AB72" s="404"/>
      <c r="AC72" s="91"/>
      <c r="AD72" s="91"/>
      <c r="AE72" s="91"/>
      <c r="AF72" s="91"/>
      <c r="AG72" s="91"/>
      <c r="AH72" s="91"/>
    </row>
    <row r="73" spans="1:34" x14ac:dyDescent="0.3">
      <c r="A73" s="404"/>
      <c r="B73" s="404"/>
      <c r="C73" s="91"/>
      <c r="D73" s="91"/>
      <c r="E73" s="91"/>
      <c r="F73" s="91"/>
      <c r="G73" s="91"/>
      <c r="H73" s="91"/>
      <c r="I73" s="91"/>
      <c r="J73" s="91"/>
      <c r="K73" s="91"/>
      <c r="L73" s="91"/>
      <c r="M73" s="91"/>
      <c r="N73" s="91"/>
      <c r="O73" s="91"/>
      <c r="P73" s="91"/>
      <c r="Q73" s="91"/>
      <c r="R73" s="91"/>
      <c r="S73" s="91"/>
      <c r="T73" s="91"/>
      <c r="U73" s="91"/>
      <c r="V73" s="91"/>
      <c r="W73" s="91"/>
      <c r="X73" s="91"/>
      <c r="Y73" s="91"/>
      <c r="Z73" s="404"/>
      <c r="AA73" s="404"/>
      <c r="AB73" s="404"/>
      <c r="AC73" s="91"/>
      <c r="AD73" s="91"/>
      <c r="AE73" s="91"/>
      <c r="AF73" s="91"/>
      <c r="AG73" s="91"/>
      <c r="AH73" s="91"/>
    </row>
    <row r="74" spans="1:34" x14ac:dyDescent="0.3">
      <c r="A74" s="404"/>
      <c r="B74" s="91"/>
      <c r="C74" s="91"/>
      <c r="D74" s="91"/>
      <c r="E74" s="91"/>
      <c r="F74" s="91"/>
      <c r="G74" s="91"/>
      <c r="H74" s="91"/>
      <c r="I74" s="91"/>
      <c r="J74" s="91"/>
      <c r="K74" s="91"/>
      <c r="L74" s="91"/>
      <c r="M74" s="91"/>
      <c r="N74" s="91"/>
      <c r="O74" s="91"/>
      <c r="P74" s="91"/>
      <c r="Q74" s="91"/>
      <c r="R74" s="91"/>
      <c r="S74" s="91"/>
      <c r="T74" s="91"/>
      <c r="U74" s="91"/>
      <c r="V74" s="91"/>
      <c r="W74" s="91"/>
      <c r="X74" s="91"/>
      <c r="Y74" s="91"/>
      <c r="Z74" s="404"/>
      <c r="AA74" s="404"/>
      <c r="AB74" s="404"/>
      <c r="AC74" s="91"/>
      <c r="AD74" s="91"/>
      <c r="AE74" s="91"/>
      <c r="AF74" s="91"/>
      <c r="AG74" s="91"/>
      <c r="AH74" s="91"/>
    </row>
    <row r="75" spans="1:34" x14ac:dyDescent="0.3">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row>
    <row r="76" spans="1:34" x14ac:dyDescent="0.3">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row>
    <row r="77" spans="1:34" x14ac:dyDescent="0.3">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row>
    <row r="78" spans="1:34" x14ac:dyDescent="0.3">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row>
    <row r="79" spans="1:34" x14ac:dyDescent="0.3">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row>
    <row r="80" spans="1:34" x14ac:dyDescent="0.3">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row>
    <row r="81" spans="1:34" x14ac:dyDescent="0.3">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row>
    <row r="82" spans="1:34" x14ac:dyDescent="0.3">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row>
    <row r="83" spans="1:34" x14ac:dyDescent="0.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row>
    <row r="84" spans="1:34" x14ac:dyDescent="0.3">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row>
    <row r="85" spans="1:34" x14ac:dyDescent="0.3">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row>
    <row r="86" spans="1:34" x14ac:dyDescent="0.3">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row>
    <row r="87" spans="1:34" x14ac:dyDescent="0.3">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row>
    <row r="88" spans="1:34" x14ac:dyDescent="0.3">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row>
    <row r="89" spans="1:34" x14ac:dyDescent="0.3">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row>
    <row r="90" spans="1:34" x14ac:dyDescent="0.3">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row>
    <row r="91" spans="1:34" x14ac:dyDescent="0.3">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row>
    <row r="92" spans="1:34" x14ac:dyDescent="0.3">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row>
  </sheetData>
  <mergeCells count="79">
    <mergeCell ref="J53:X54"/>
    <mergeCell ref="K21:K23"/>
    <mergeCell ref="W37:X39"/>
    <mergeCell ref="W34:X36"/>
    <mergeCell ref="W31:X33"/>
    <mergeCell ref="W27:X27"/>
    <mergeCell ref="O36:P38"/>
    <mergeCell ref="O26:P26"/>
    <mergeCell ref="K27:K29"/>
    <mergeCell ref="T21:T24"/>
    <mergeCell ref="B58:C58"/>
    <mergeCell ref="T40:V40"/>
    <mergeCell ref="S44:V44"/>
    <mergeCell ref="S45:S47"/>
    <mergeCell ref="S31:S33"/>
    <mergeCell ref="S34:S36"/>
    <mergeCell ref="S37:S39"/>
    <mergeCell ref="K44:K46"/>
    <mergeCell ref="K43:N43"/>
    <mergeCell ref="K36:K38"/>
    <mergeCell ref="K39:K42"/>
    <mergeCell ref="L39:N39"/>
    <mergeCell ref="K30:K32"/>
    <mergeCell ref="O30:P32"/>
    <mergeCell ref="K33:K35"/>
    <mergeCell ref="O33:P35"/>
    <mergeCell ref="D16:F16"/>
    <mergeCell ref="C16:C19"/>
    <mergeCell ref="C40:C43"/>
    <mergeCell ref="D40:F40"/>
    <mergeCell ref="G27:H27"/>
    <mergeCell ref="C28:C30"/>
    <mergeCell ref="C31:C33"/>
    <mergeCell ref="G31:H33"/>
    <mergeCell ref="C34:C36"/>
    <mergeCell ref="G34:H36"/>
    <mergeCell ref="C37:C39"/>
    <mergeCell ref="G37:H39"/>
    <mergeCell ref="C21:C23"/>
    <mergeCell ref="C20:F20"/>
    <mergeCell ref="C44:F44"/>
    <mergeCell ref="C45:C47"/>
    <mergeCell ref="K20:N20"/>
    <mergeCell ref="S28:S30"/>
    <mergeCell ref="B1:P1"/>
    <mergeCell ref="O7:P9"/>
    <mergeCell ref="R3:S3"/>
    <mergeCell ref="O3:P3"/>
    <mergeCell ref="G3:H3"/>
    <mergeCell ref="J3:J24"/>
    <mergeCell ref="G7:H9"/>
    <mergeCell ref="G10:H12"/>
    <mergeCell ref="C13:C15"/>
    <mergeCell ref="B3:B24"/>
    <mergeCell ref="O10:P12"/>
    <mergeCell ref="C4:C6"/>
    <mergeCell ref="U4:U6"/>
    <mergeCell ref="R7:S9"/>
    <mergeCell ref="R4:S6"/>
    <mergeCell ref="U7:U9"/>
    <mergeCell ref="T7:T9"/>
    <mergeCell ref="C7:C9"/>
    <mergeCell ref="K7:K9"/>
    <mergeCell ref="K4:K6"/>
    <mergeCell ref="K10:K12"/>
    <mergeCell ref="C10:C12"/>
    <mergeCell ref="T10:T12"/>
    <mergeCell ref="U10:U12"/>
    <mergeCell ref="R10:S12"/>
    <mergeCell ref="R21:S24"/>
    <mergeCell ref="R13:S15"/>
    <mergeCell ref="G13:H15"/>
    <mergeCell ref="T13:T15"/>
    <mergeCell ref="O13:P15"/>
    <mergeCell ref="T16:T20"/>
    <mergeCell ref="R16:S20"/>
    <mergeCell ref="K13:K15"/>
    <mergeCell ref="L16:N16"/>
    <mergeCell ref="K16:K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0"/>
  <sheetViews>
    <sheetView workbookViewId="0">
      <selection activeCell="C4" sqref="C4"/>
    </sheetView>
  </sheetViews>
  <sheetFormatPr defaultRowHeight="14.4" x14ac:dyDescent="0.3"/>
  <cols>
    <col min="1" max="1" width="18.33203125" customWidth="1"/>
    <col min="2" max="2" width="26.88671875" customWidth="1"/>
    <col min="3" max="3" width="25.109375" customWidth="1"/>
    <col min="4" max="4" width="22.109375" bestFit="1" customWidth="1"/>
    <col min="5" max="5" width="16.33203125" customWidth="1"/>
    <col min="6" max="6" width="18.109375" customWidth="1"/>
    <col min="7" max="7" width="17.88671875" customWidth="1"/>
    <col min="9" max="9" width="14.33203125" customWidth="1"/>
  </cols>
  <sheetData>
    <row r="1" spans="1:9" x14ac:dyDescent="0.3">
      <c r="A1" t="s">
        <v>644</v>
      </c>
      <c r="B1" t="s">
        <v>641</v>
      </c>
      <c r="D1" t="s">
        <v>914</v>
      </c>
      <c r="I1" t="s">
        <v>756</v>
      </c>
    </row>
    <row r="2" spans="1:9" x14ac:dyDescent="0.3">
      <c r="A2">
        <v>1</v>
      </c>
      <c r="B2" t="s">
        <v>20</v>
      </c>
      <c r="D2" t="b">
        <v>0</v>
      </c>
      <c r="E2">
        <v>1</v>
      </c>
      <c r="I2">
        <f>VLOOKUP(G7,Table118[],3,FALSE)+D3</f>
        <v>49</v>
      </c>
    </row>
    <row r="3" spans="1:9" x14ac:dyDescent="0.3">
      <c r="D3">
        <f>IF(D2=TRUE,45,0)</f>
        <v>0</v>
      </c>
    </row>
    <row r="6" spans="1:9" x14ac:dyDescent="0.3">
      <c r="A6" t="s">
        <v>65</v>
      </c>
      <c r="B6" s="299" t="s">
        <v>644</v>
      </c>
      <c r="C6" s="299" t="s">
        <v>13</v>
      </c>
      <c r="D6" s="299" t="s">
        <v>68</v>
      </c>
      <c r="F6" s="299" t="s">
        <v>644</v>
      </c>
      <c r="G6" s="299" t="s">
        <v>757</v>
      </c>
      <c r="H6" s="299" t="s">
        <v>44</v>
      </c>
    </row>
    <row r="7" spans="1:9" x14ac:dyDescent="0.3">
      <c r="B7">
        <v>1</v>
      </c>
      <c r="C7" s="299" t="s">
        <v>280</v>
      </c>
      <c r="D7" s="223">
        <v>0</v>
      </c>
      <c r="F7" t="s">
        <v>360</v>
      </c>
      <c r="G7">
        <v>2</v>
      </c>
    </row>
    <row r="8" spans="1:9" x14ac:dyDescent="0.3">
      <c r="B8">
        <v>2</v>
      </c>
      <c r="C8" t="s">
        <v>834</v>
      </c>
      <c r="D8">
        <v>49</v>
      </c>
    </row>
    <row r="9" spans="1:9" x14ac:dyDescent="0.3">
      <c r="B9">
        <v>3</v>
      </c>
      <c r="C9" t="s">
        <v>835</v>
      </c>
      <c r="D9">
        <v>50</v>
      </c>
    </row>
    <row r="10" spans="1:9" x14ac:dyDescent="0.3">
      <c r="B10">
        <v>4</v>
      </c>
      <c r="C10" t="s">
        <v>836</v>
      </c>
      <c r="D10">
        <v>55</v>
      </c>
    </row>
    <row r="11" spans="1:9" x14ac:dyDescent="0.3">
      <c r="B11">
        <v>5</v>
      </c>
      <c r="C11" t="s">
        <v>837</v>
      </c>
      <c r="D11">
        <v>65</v>
      </c>
    </row>
    <row r="12" spans="1:9" x14ac:dyDescent="0.3">
      <c r="B12">
        <v>6</v>
      </c>
      <c r="C12" t="s">
        <v>913</v>
      </c>
      <c r="D12">
        <v>85</v>
      </c>
    </row>
    <row r="15" spans="1:9" x14ac:dyDescent="0.3">
      <c r="D15" s="299"/>
    </row>
    <row r="16" spans="1:9" x14ac:dyDescent="0.3">
      <c r="A16" t="s">
        <v>759</v>
      </c>
      <c r="B16" t="s">
        <v>762</v>
      </c>
      <c r="C16" t="s">
        <v>758</v>
      </c>
      <c r="D16" s="223"/>
    </row>
    <row r="17" spans="2:3" x14ac:dyDescent="0.3">
      <c r="B17" t="b">
        <v>1</v>
      </c>
      <c r="C17">
        <v>36</v>
      </c>
    </row>
    <row r="19" spans="2:3" x14ac:dyDescent="0.3">
      <c r="B19" t="s">
        <v>761</v>
      </c>
      <c r="C19" t="s">
        <v>93</v>
      </c>
    </row>
    <row r="20" spans="2:3" x14ac:dyDescent="0.3">
      <c r="B20" t="b">
        <v>0</v>
      </c>
      <c r="C20">
        <v>15</v>
      </c>
    </row>
  </sheetData>
  <pageMargins left="0.7" right="0.7" top="0.75" bottom="0.75" header="0.3" footer="0.3"/>
  <tableParts count="6">
    <tablePart r:id="rId1"/>
    <tablePart r:id="rId2"/>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R110"/>
  <sheetViews>
    <sheetView workbookViewId="0">
      <selection activeCell="F47" sqref="F47"/>
    </sheetView>
  </sheetViews>
  <sheetFormatPr defaultRowHeight="14.4" x14ac:dyDescent="0.3"/>
  <cols>
    <col min="1" max="10" width="18.44140625" customWidth="1"/>
    <col min="11" max="11" width="19.33203125" customWidth="1"/>
    <col min="12" max="14" width="18.44140625" customWidth="1"/>
  </cols>
  <sheetData>
    <row r="1" spans="1:18" x14ac:dyDescent="0.3">
      <c r="A1" t="s">
        <v>1</v>
      </c>
    </row>
    <row r="3" spans="1:18" x14ac:dyDescent="0.3">
      <c r="J3" t="s">
        <v>44</v>
      </c>
      <c r="K3" t="s">
        <v>59</v>
      </c>
      <c r="L3" t="s">
        <v>51</v>
      </c>
      <c r="M3" t="s">
        <v>5</v>
      </c>
      <c r="N3" t="s">
        <v>75</v>
      </c>
      <c r="Q3" t="s">
        <v>67</v>
      </c>
      <c r="R3" t="s">
        <v>38</v>
      </c>
    </row>
    <row r="4" spans="1:18" x14ac:dyDescent="0.3">
      <c r="J4">
        <v>1</v>
      </c>
      <c r="K4" t="s">
        <v>20</v>
      </c>
      <c r="L4">
        <f>B30</f>
        <v>49.99</v>
      </c>
      <c r="M4">
        <f>C30</f>
        <v>59.99</v>
      </c>
      <c r="N4">
        <v>1</v>
      </c>
      <c r="Q4">
        <f>VLOOKUP(N4,Table19[#All],3,FALSE)+E52</f>
        <v>49.99</v>
      </c>
      <c r="R4">
        <f>VLOOKUP(N4,Table19[#All],4,FALSE)+E52</f>
        <v>59.99</v>
      </c>
    </row>
    <row r="5" spans="1:18" ht="15" thickBot="1" x14ac:dyDescent="0.35">
      <c r="B5" s="2"/>
      <c r="C5" s="2"/>
      <c r="G5" s="503"/>
      <c r="H5" s="503"/>
      <c r="J5">
        <v>2</v>
      </c>
      <c r="K5" t="s">
        <v>73</v>
      </c>
      <c r="L5">
        <f>F31</f>
        <v>74.989999999999995</v>
      </c>
      <c r="M5">
        <f>G31</f>
        <v>84.99</v>
      </c>
    </row>
    <row r="6" spans="1:18" ht="15" thickTop="1" x14ac:dyDescent="0.3">
      <c r="B6" s="3"/>
      <c r="G6" s="503"/>
      <c r="H6" s="503"/>
      <c r="N6" t="s">
        <v>8</v>
      </c>
      <c r="Q6" t="s">
        <v>64</v>
      </c>
    </row>
    <row r="7" spans="1:18" x14ac:dyDescent="0.3">
      <c r="B7" s="3"/>
      <c r="C7" s="4"/>
      <c r="D7" s="503"/>
      <c r="E7" s="503"/>
      <c r="F7" s="503"/>
      <c r="G7" s="503"/>
      <c r="H7" s="503"/>
      <c r="I7" s="503"/>
      <c r="N7">
        <v>2</v>
      </c>
      <c r="Q7">
        <f>F44</f>
        <v>85</v>
      </c>
    </row>
    <row r="8" spans="1:18" x14ac:dyDescent="0.3">
      <c r="B8" s="5"/>
      <c r="C8" s="3"/>
      <c r="D8" s="503"/>
      <c r="E8" s="503"/>
      <c r="F8" s="503"/>
      <c r="G8" s="503"/>
      <c r="H8" s="503"/>
      <c r="I8" s="503"/>
    </row>
    <row r="9" spans="1:18" x14ac:dyDescent="0.3">
      <c r="B9" s="503"/>
      <c r="C9" s="5"/>
      <c r="D9" s="503"/>
      <c r="E9" s="503"/>
      <c r="F9" s="503"/>
      <c r="G9" s="503"/>
      <c r="H9" s="503"/>
      <c r="I9" s="503"/>
      <c r="N9" t="s">
        <v>12</v>
      </c>
    </row>
    <row r="10" spans="1:18" x14ac:dyDescent="0.3">
      <c r="C10" s="5"/>
      <c r="N10">
        <v>1</v>
      </c>
    </row>
    <row r="13" spans="1:18" ht="15" thickBot="1" x14ac:dyDescent="0.35">
      <c r="B13" s="2"/>
      <c r="C13" s="2"/>
      <c r="G13" s="503"/>
      <c r="H13" s="503"/>
    </row>
    <row r="14" spans="1:18" ht="15" thickTop="1" x14ac:dyDescent="0.3">
      <c r="B14" s="3"/>
      <c r="G14" s="503"/>
      <c r="H14" s="503"/>
    </row>
    <row r="15" spans="1:18" x14ac:dyDescent="0.3">
      <c r="B15" s="3"/>
      <c r="C15" s="4"/>
      <c r="D15" s="503"/>
      <c r="E15" s="503"/>
      <c r="F15" s="503"/>
      <c r="G15" s="503"/>
      <c r="H15" s="503"/>
      <c r="I15" s="503"/>
    </row>
    <row r="16" spans="1:18" x14ac:dyDescent="0.3">
      <c r="B16" s="5"/>
      <c r="C16" s="3"/>
      <c r="D16" s="503"/>
      <c r="E16" s="503"/>
      <c r="F16" s="503"/>
      <c r="G16" s="503"/>
      <c r="H16" s="503"/>
      <c r="I16" s="503"/>
    </row>
    <row r="17" spans="2:11" x14ac:dyDescent="0.3">
      <c r="B17" s="503"/>
      <c r="C17" s="5"/>
      <c r="D17" s="503"/>
      <c r="E17" s="503"/>
      <c r="F17" s="503"/>
      <c r="G17" s="503"/>
      <c r="H17" s="503"/>
      <c r="I17" s="503"/>
    </row>
    <row r="18" spans="2:11" x14ac:dyDescent="0.3">
      <c r="C18" s="5"/>
    </row>
    <row r="22" spans="2:11" x14ac:dyDescent="0.3">
      <c r="B22" s="1165"/>
      <c r="C22" s="1165"/>
      <c r="D22" s="1165"/>
      <c r="K22" t="s">
        <v>471</v>
      </c>
    </row>
    <row r="23" spans="2:11" x14ac:dyDescent="0.3">
      <c r="J23" t="s">
        <v>3</v>
      </c>
      <c r="K23">
        <v>12</v>
      </c>
    </row>
    <row r="25" spans="2:11" x14ac:dyDescent="0.3">
      <c r="B25" s="503"/>
      <c r="C25" s="503"/>
      <c r="D25" s="503"/>
      <c r="E25" s="503"/>
      <c r="F25" s="503"/>
      <c r="J25" t="s">
        <v>29</v>
      </c>
    </row>
    <row r="26" spans="2:11" x14ac:dyDescent="0.3">
      <c r="B26" s="503"/>
      <c r="C26" s="503"/>
      <c r="D26" s="503"/>
      <c r="E26" s="503"/>
      <c r="F26" s="503"/>
      <c r="J26" t="s">
        <v>28</v>
      </c>
    </row>
    <row r="27" spans="2:11" x14ac:dyDescent="0.3">
      <c r="B27" s="503"/>
      <c r="C27" s="503"/>
      <c r="D27" s="503"/>
      <c r="E27" s="503"/>
      <c r="F27" s="503"/>
    </row>
    <row r="28" spans="2:11" x14ac:dyDescent="0.3">
      <c r="J28">
        <v>1</v>
      </c>
      <c r="K28" s="27"/>
    </row>
    <row r="29" spans="2:11" x14ac:dyDescent="0.3">
      <c r="B29" t="s">
        <v>81</v>
      </c>
      <c r="C29" t="s">
        <v>79</v>
      </c>
    </row>
    <row r="30" spans="2:11" x14ac:dyDescent="0.3">
      <c r="B30">
        <f>VLOOKUP(N10,Verizon_Internet[#All],3,FALSE)</f>
        <v>49.99</v>
      </c>
      <c r="C30">
        <f>VLOOKUP(N10,Verizon_Internet[#All],4,FALSE)</f>
        <v>59.99</v>
      </c>
      <c r="F30" t="s">
        <v>80</v>
      </c>
      <c r="G30" t="s">
        <v>143</v>
      </c>
    </row>
    <row r="31" spans="2:11" x14ac:dyDescent="0.3">
      <c r="B31" s="1165" t="s">
        <v>65</v>
      </c>
      <c r="C31" s="1165"/>
      <c r="D31" s="1165"/>
      <c r="E31" s="1165"/>
      <c r="F31">
        <f>VLOOKUP(N10,Verizon_Internet[#All],5,FALSE)</f>
        <v>74.989999999999995</v>
      </c>
      <c r="G31">
        <f>VLOOKUP(N10,Verizon_Internet[#All],6,FALSE)</f>
        <v>84.99</v>
      </c>
    </row>
    <row r="32" spans="2:11" x14ac:dyDescent="0.3">
      <c r="B32" t="s">
        <v>49</v>
      </c>
      <c r="C32" t="s">
        <v>0</v>
      </c>
      <c r="D32" t="s">
        <v>39</v>
      </c>
      <c r="E32" t="s">
        <v>38</v>
      </c>
      <c r="F32" t="s">
        <v>70</v>
      </c>
      <c r="G32" t="s">
        <v>134</v>
      </c>
    </row>
    <row r="33" spans="1:11" x14ac:dyDescent="0.3">
      <c r="B33">
        <v>1</v>
      </c>
      <c r="C33" t="s">
        <v>210</v>
      </c>
      <c r="D33">
        <v>49.99</v>
      </c>
      <c r="E33">
        <v>59.99</v>
      </c>
      <c r="F33">
        <v>74.989999999999995</v>
      </c>
      <c r="G33">
        <v>84.99</v>
      </c>
      <c r="K33" s="87" t="s">
        <v>156</v>
      </c>
    </row>
    <row r="34" spans="1:11" x14ac:dyDescent="0.3">
      <c r="B34" s="608">
        <v>2</v>
      </c>
      <c r="C34" s="608" t="s">
        <v>287</v>
      </c>
      <c r="D34" s="608">
        <v>59.99</v>
      </c>
      <c r="E34" s="608">
        <v>69.989999999999995</v>
      </c>
      <c r="F34" s="608">
        <v>94.99</v>
      </c>
      <c r="G34" s="608">
        <v>104.99</v>
      </c>
      <c r="K34" s="87" t="b">
        <v>1</v>
      </c>
    </row>
    <row r="35" spans="1:11" x14ac:dyDescent="0.3">
      <c r="B35" s="503">
        <v>3</v>
      </c>
      <c r="C35" s="503" t="s">
        <v>799</v>
      </c>
      <c r="D35" s="503">
        <v>79.989999999999995</v>
      </c>
      <c r="E35" s="503">
        <v>79.989999999999995</v>
      </c>
      <c r="F35" s="503">
        <v>114.99</v>
      </c>
      <c r="G35" s="503">
        <v>114.99</v>
      </c>
    </row>
    <row r="38" spans="1:11" x14ac:dyDescent="0.3">
      <c r="C38" t="s">
        <v>66</v>
      </c>
    </row>
    <row r="39" spans="1:11" x14ac:dyDescent="0.3">
      <c r="C39">
        <v>63.99</v>
      </c>
      <c r="D39">
        <v>63.99</v>
      </c>
    </row>
    <row r="41" spans="1:11" x14ac:dyDescent="0.3">
      <c r="B41" s="26"/>
      <c r="C41" s="26"/>
    </row>
    <row r="42" spans="1:11" x14ac:dyDescent="0.3">
      <c r="B42" s="28"/>
      <c r="C42" s="29"/>
      <c r="D42" s="35"/>
    </row>
    <row r="43" spans="1:11" x14ac:dyDescent="0.3">
      <c r="A43" s="35"/>
      <c r="B43" s="30"/>
      <c r="C43" s="31"/>
      <c r="D43" s="34"/>
      <c r="F43" t="s">
        <v>214</v>
      </c>
      <c r="H43" s="39"/>
      <c r="I43" s="40"/>
      <c r="J43" s="41"/>
      <c r="K43" s="40"/>
    </row>
    <row r="44" spans="1:11" x14ac:dyDescent="0.3">
      <c r="A44" s="34"/>
      <c r="B44" s="30"/>
      <c r="C44" s="31"/>
      <c r="D44" s="34"/>
      <c r="F44">
        <f>IF(E42&gt;4,((E42-4)*(29.99)),85)</f>
        <v>85</v>
      </c>
      <c r="H44" s="37"/>
      <c r="I44" s="36"/>
      <c r="J44" s="38"/>
    </row>
    <row r="45" spans="1:11" x14ac:dyDescent="0.3">
      <c r="A45" s="34"/>
      <c r="B45" s="30"/>
      <c r="C45" s="31"/>
      <c r="D45" s="34"/>
      <c r="E45" s="95"/>
      <c r="H45" s="37"/>
      <c r="I45" s="36"/>
      <c r="J45" s="38"/>
    </row>
    <row r="46" spans="1:11" x14ac:dyDescent="0.3">
      <c r="A46" s="34"/>
      <c r="B46" s="30"/>
      <c r="C46" s="31"/>
      <c r="D46" s="34"/>
      <c r="H46" s="37"/>
      <c r="I46" s="36"/>
      <c r="J46" s="38"/>
    </row>
    <row r="47" spans="1:11" x14ac:dyDescent="0.3">
      <c r="A47" s="34"/>
      <c r="B47" s="30"/>
      <c r="C47" s="31"/>
      <c r="D47" s="34"/>
      <c r="H47" s="37"/>
      <c r="I47" s="36"/>
      <c r="J47" s="38"/>
    </row>
    <row r="48" spans="1:11" x14ac:dyDescent="0.3">
      <c r="A48" s="34"/>
      <c r="B48" s="30"/>
      <c r="C48" s="31"/>
      <c r="D48" s="34"/>
      <c r="H48" s="37"/>
      <c r="I48" s="36"/>
      <c r="J48" s="38"/>
    </row>
    <row r="49" spans="1:10" x14ac:dyDescent="0.3">
      <c r="A49" s="34"/>
      <c r="B49" s="30"/>
      <c r="C49" s="31"/>
      <c r="D49" s="34"/>
      <c r="H49" s="37"/>
      <c r="I49" s="36"/>
      <c r="J49" s="38"/>
    </row>
    <row r="50" spans="1:10" x14ac:dyDescent="0.3">
      <c r="A50" s="34"/>
      <c r="B50" s="30"/>
      <c r="C50" s="33"/>
      <c r="D50" s="34"/>
      <c r="H50" s="42"/>
      <c r="I50" s="43"/>
      <c r="J50" s="44"/>
    </row>
    <row r="51" spans="1:10" x14ac:dyDescent="0.3">
      <c r="A51" s="34"/>
      <c r="B51" s="32"/>
      <c r="C51" s="33"/>
      <c r="D51" s="34"/>
    </row>
    <row r="52" spans="1:10" x14ac:dyDescent="0.3">
      <c r="A52" s="34"/>
      <c r="B52" s="32"/>
      <c r="C52" s="33"/>
      <c r="D52" s="34"/>
      <c r="F52" t="s">
        <v>833</v>
      </c>
      <c r="J52" s="141"/>
    </row>
    <row r="53" spans="1:10" x14ac:dyDescent="0.3">
      <c r="A53" s="34"/>
      <c r="B53" s="32"/>
      <c r="C53" s="33"/>
      <c r="D53" s="34"/>
      <c r="J53" s="141"/>
    </row>
    <row r="54" spans="1:10" x14ac:dyDescent="0.3">
      <c r="A54" s="34"/>
    </row>
    <row r="55" spans="1:10" x14ac:dyDescent="0.3">
      <c r="I55" s="141"/>
      <c r="J55" s="141"/>
    </row>
    <row r="56" spans="1:10" x14ac:dyDescent="0.3">
      <c r="I56" s="141"/>
      <c r="J56" s="141"/>
    </row>
    <row r="57" spans="1:10" ht="15" thickBot="1" x14ac:dyDescent="0.35">
      <c r="B57" s="2"/>
    </row>
    <row r="58" spans="1:10" ht="15.6" thickTop="1" thickBot="1" x14ac:dyDescent="0.35">
      <c r="A58" s="2"/>
      <c r="C58" s="433"/>
      <c r="D58" s="433"/>
      <c r="E58" s="433"/>
      <c r="F58" s="433"/>
      <c r="G58" s="433"/>
    </row>
    <row r="59" spans="1:10" ht="15" thickTop="1" x14ac:dyDescent="0.3">
      <c r="A59" s="3"/>
      <c r="B59" s="3"/>
      <c r="H59" s="433"/>
    </row>
    <row r="60" spans="1:10" x14ac:dyDescent="0.3">
      <c r="A60" s="4"/>
      <c r="B60" s="4"/>
    </row>
    <row r="61" spans="1:10" x14ac:dyDescent="0.3">
      <c r="A61" s="3"/>
      <c r="B61" s="3"/>
    </row>
    <row r="62" spans="1:10" x14ac:dyDescent="0.3">
      <c r="A62" s="5"/>
      <c r="B62" s="5"/>
    </row>
    <row r="66" spans="1:8" ht="15" thickBot="1" x14ac:dyDescent="0.35">
      <c r="B66" s="2"/>
    </row>
    <row r="67" spans="1:8" ht="15.6" thickTop="1" thickBot="1" x14ac:dyDescent="0.35">
      <c r="A67" s="2"/>
      <c r="C67" s="433"/>
      <c r="D67" s="433"/>
      <c r="E67" s="433"/>
      <c r="F67" s="433"/>
      <c r="G67" s="433"/>
    </row>
    <row r="68" spans="1:8" ht="15" thickTop="1" x14ac:dyDescent="0.3">
      <c r="A68" s="3"/>
      <c r="B68" s="3"/>
      <c r="H68" s="433"/>
    </row>
    <row r="69" spans="1:8" x14ac:dyDescent="0.3">
      <c r="A69" s="4"/>
      <c r="B69" s="4"/>
    </row>
    <row r="70" spans="1:8" x14ac:dyDescent="0.3">
      <c r="A70" s="3"/>
      <c r="B70" s="3"/>
    </row>
    <row r="71" spans="1:8" x14ac:dyDescent="0.3">
      <c r="A71" s="5"/>
      <c r="B71" s="5"/>
    </row>
    <row r="75" spans="1:8" ht="15" thickBot="1" x14ac:dyDescent="0.35">
      <c r="B75" s="2"/>
    </row>
    <row r="76" spans="1:8" ht="15.6" thickTop="1" thickBot="1" x14ac:dyDescent="0.35">
      <c r="A76" s="2"/>
    </row>
    <row r="77" spans="1:8" ht="15" thickTop="1" x14ac:dyDescent="0.3">
      <c r="A77" s="3"/>
      <c r="B77" s="3"/>
    </row>
    <row r="78" spans="1:8" x14ac:dyDescent="0.3">
      <c r="A78" s="4"/>
      <c r="B78" s="4"/>
    </row>
    <row r="79" spans="1:8" x14ac:dyDescent="0.3">
      <c r="A79" s="3"/>
      <c r="B79" s="3"/>
    </row>
    <row r="80" spans="1:8" x14ac:dyDescent="0.3">
      <c r="A80" s="5"/>
      <c r="B80" s="5"/>
    </row>
    <row r="82" spans="1:2" ht="15" thickBot="1" x14ac:dyDescent="0.35">
      <c r="B82" s="2"/>
    </row>
    <row r="83" spans="1:2" ht="15.6" thickTop="1" thickBot="1" x14ac:dyDescent="0.35">
      <c r="A83" s="2"/>
    </row>
    <row r="84" spans="1:2" ht="15" thickTop="1" x14ac:dyDescent="0.3">
      <c r="A84" s="3"/>
      <c r="B84" s="3"/>
    </row>
    <row r="85" spans="1:2" x14ac:dyDescent="0.3">
      <c r="A85" s="4"/>
      <c r="B85" s="4"/>
    </row>
    <row r="86" spans="1:2" x14ac:dyDescent="0.3">
      <c r="A86" s="3"/>
      <c r="B86" s="3"/>
    </row>
    <row r="87" spans="1:2" x14ac:dyDescent="0.3">
      <c r="A87" s="5"/>
      <c r="B87" s="5"/>
    </row>
    <row r="90" spans="1:2" ht="15" thickBot="1" x14ac:dyDescent="0.35">
      <c r="B90" s="2"/>
    </row>
    <row r="91" spans="1:2" ht="15.6" thickTop="1" thickBot="1" x14ac:dyDescent="0.35">
      <c r="A91" s="2"/>
    </row>
    <row r="92" spans="1:2" ht="15" thickTop="1" x14ac:dyDescent="0.3">
      <c r="A92" s="3"/>
      <c r="B92" s="3"/>
    </row>
    <row r="93" spans="1:2" x14ac:dyDescent="0.3">
      <c r="A93" s="4"/>
      <c r="B93" s="4"/>
    </row>
    <row r="94" spans="1:2" x14ac:dyDescent="0.3">
      <c r="A94" s="3"/>
      <c r="B94" s="3"/>
    </row>
    <row r="95" spans="1:2" x14ac:dyDescent="0.3">
      <c r="A95" s="5"/>
      <c r="B95" s="5"/>
    </row>
    <row r="97" spans="1:5" ht="15" thickBot="1" x14ac:dyDescent="0.35">
      <c r="B97" s="2"/>
    </row>
    <row r="98" spans="1:5" ht="15.6" thickTop="1" thickBot="1" x14ac:dyDescent="0.35">
      <c r="A98" s="2"/>
    </row>
    <row r="99" spans="1:5" ht="15" thickTop="1" x14ac:dyDescent="0.3">
      <c r="A99" s="3"/>
      <c r="B99" s="3"/>
    </row>
    <row r="100" spans="1:5" x14ac:dyDescent="0.3">
      <c r="A100" s="4"/>
      <c r="B100" s="4"/>
    </row>
    <row r="101" spans="1:5" x14ac:dyDescent="0.3">
      <c r="A101" s="3"/>
      <c r="B101" s="3"/>
    </row>
    <row r="102" spans="1:5" x14ac:dyDescent="0.3">
      <c r="A102" s="5"/>
      <c r="B102" s="5"/>
    </row>
    <row r="107" spans="1:5" x14ac:dyDescent="0.3">
      <c r="B107" s="3"/>
      <c r="D107" s="433"/>
      <c r="E107" s="433"/>
    </row>
    <row r="108" spans="1:5" x14ac:dyDescent="0.3">
      <c r="C108" s="433"/>
      <c r="D108" s="433"/>
      <c r="E108" s="433"/>
    </row>
    <row r="109" spans="1:5" x14ac:dyDescent="0.3">
      <c r="C109" s="433"/>
      <c r="D109" s="433"/>
      <c r="E109" s="433"/>
    </row>
    <row r="110" spans="1:5" x14ac:dyDescent="0.3">
      <c r="C110" s="433"/>
      <c r="D110" s="433"/>
      <c r="E110" s="433"/>
    </row>
  </sheetData>
  <mergeCells count="2">
    <mergeCell ref="B22:D22"/>
    <mergeCell ref="B31:E31"/>
  </mergeCells>
  <pageMargins left="0.7" right="0.7" top="0.75" bottom="0.75" header="0.3" footer="0.3"/>
  <pageSetup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Y69"/>
  <sheetViews>
    <sheetView topLeftCell="J7" zoomScale="85" zoomScaleNormal="85" workbookViewId="0">
      <selection activeCell="Q35" sqref="Q35"/>
    </sheetView>
  </sheetViews>
  <sheetFormatPr defaultRowHeight="14.4" x14ac:dyDescent="0.3"/>
  <cols>
    <col min="1" max="2" width="17.109375" customWidth="1"/>
    <col min="3" max="3" width="22.6640625" customWidth="1"/>
    <col min="4" max="4" width="31.6640625" customWidth="1"/>
    <col min="5" max="9" width="17.109375" customWidth="1"/>
    <col min="10" max="10" width="19.44140625" customWidth="1"/>
    <col min="11" max="11" width="20.6640625" customWidth="1"/>
    <col min="12" max="12" width="25.109375" customWidth="1"/>
    <col min="13" max="13" width="21.6640625" customWidth="1"/>
    <col min="14" max="17" width="17.109375" customWidth="1"/>
    <col min="18" max="18" width="12.6640625" customWidth="1"/>
    <col min="19" max="19" width="11" customWidth="1"/>
    <col min="20" max="20" width="15.6640625" bestFit="1" customWidth="1"/>
    <col min="21" max="21" width="11.109375" bestFit="1" customWidth="1"/>
    <col min="22" max="22" width="10.88671875" customWidth="1"/>
    <col min="23" max="23" width="15.33203125" bestFit="1" customWidth="1"/>
    <col min="24" max="24" width="16.88671875" customWidth="1"/>
    <col min="25" max="25" width="17.88671875" customWidth="1"/>
    <col min="26" max="26" width="19" customWidth="1"/>
    <col min="27" max="27" width="11" customWidth="1"/>
    <col min="34" max="36" width="11" customWidth="1"/>
    <col min="38" max="38" width="14.88671875" bestFit="1" customWidth="1"/>
  </cols>
  <sheetData>
    <row r="1" spans="2:25" x14ac:dyDescent="0.3">
      <c r="M1" t="s">
        <v>768</v>
      </c>
    </row>
    <row r="2" spans="2:25" x14ac:dyDescent="0.3">
      <c r="K2" t="s">
        <v>586</v>
      </c>
      <c r="M2">
        <v>0</v>
      </c>
    </row>
    <row r="3" spans="2:25" x14ac:dyDescent="0.3">
      <c r="B3" t="s">
        <v>817</v>
      </c>
      <c r="D3" t="s">
        <v>43</v>
      </c>
      <c r="F3" t="s">
        <v>3</v>
      </c>
      <c r="J3" t="s">
        <v>51</v>
      </c>
      <c r="K3" t="s">
        <v>38</v>
      </c>
      <c r="L3" s="8"/>
      <c r="M3" t="s">
        <v>57</v>
      </c>
      <c r="S3" t="s">
        <v>887</v>
      </c>
      <c r="U3">
        <f>SUM(R7,S7,T7,U7,V7,W7,X7,Y7)</f>
        <v>14</v>
      </c>
    </row>
    <row r="4" spans="2:25" x14ac:dyDescent="0.3">
      <c r="B4" t="s">
        <v>42</v>
      </c>
      <c r="C4" t="s">
        <v>818</v>
      </c>
      <c r="D4">
        <v>0</v>
      </c>
      <c r="F4" t="s">
        <v>29</v>
      </c>
      <c r="H4" s="223" t="s">
        <v>551</v>
      </c>
      <c r="I4" s="299">
        <v>3</v>
      </c>
      <c r="J4" s="7" t="e">
        <f>IF(F8=2,J5,J5)+P26+J10</f>
        <v>#N/A</v>
      </c>
      <c r="K4" s="7">
        <f>IF(F8=2, K5+10,K5)+P26</f>
        <v>99.99</v>
      </c>
      <c r="L4" s="9"/>
      <c r="M4" t="e">
        <f>19.95+M5</f>
        <v>#N/A</v>
      </c>
    </row>
    <row r="5" spans="2:25" x14ac:dyDescent="0.3">
      <c r="B5">
        <v>0</v>
      </c>
      <c r="C5" s="221">
        <v>0</v>
      </c>
      <c r="D5">
        <v>1</v>
      </c>
      <c r="F5" t="s">
        <v>28</v>
      </c>
      <c r="J5" t="e">
        <f>VLOOKUP(I4,Directv[],3,FALSE)+Q26+G8+C17+O11+T12+V42+V28+Y59</f>
        <v>#N/A</v>
      </c>
      <c r="K5">
        <f>VLOOKUP(I4,Directv[],4,FALSE)+Q26+G8+C17+P11+U12+W42+W28+Y59</f>
        <v>99.99</v>
      </c>
      <c r="M5" t="e">
        <f>VLOOKUP(B17-1,Table114[#All],2,FALSE)+M2+U24+V53+W38+Y68+H15</f>
        <v>#N/A</v>
      </c>
      <c r="R5" t="s">
        <v>888</v>
      </c>
      <c r="S5" t="s">
        <v>889</v>
      </c>
      <c r="T5" t="s">
        <v>890</v>
      </c>
      <c r="U5" t="s">
        <v>891</v>
      </c>
      <c r="V5" t="s">
        <v>906</v>
      </c>
      <c r="W5" t="s">
        <v>907</v>
      </c>
      <c r="X5" t="s">
        <v>908</v>
      </c>
      <c r="Y5" t="s">
        <v>909</v>
      </c>
    </row>
    <row r="6" spans="2:25" x14ac:dyDescent="0.3">
      <c r="B6">
        <v>1</v>
      </c>
      <c r="C6" s="221">
        <v>0</v>
      </c>
      <c r="D6">
        <v>2</v>
      </c>
      <c r="R6" t="b">
        <v>1</v>
      </c>
      <c r="S6" t="b">
        <v>0</v>
      </c>
      <c r="T6" t="b">
        <v>0</v>
      </c>
      <c r="U6" t="b">
        <v>0</v>
      </c>
      <c r="V6" t="b">
        <v>0</v>
      </c>
      <c r="W6" t="b">
        <v>0</v>
      </c>
      <c r="X6" t="b">
        <v>0</v>
      </c>
      <c r="Y6" t="b">
        <v>0</v>
      </c>
    </row>
    <row r="7" spans="2:25" ht="15" thickBot="1" x14ac:dyDescent="0.35">
      <c r="B7">
        <v>2</v>
      </c>
      <c r="C7" s="221">
        <v>7</v>
      </c>
      <c r="D7">
        <v>3</v>
      </c>
      <c r="F7" t="s">
        <v>52</v>
      </c>
      <c r="G7" t="s">
        <v>56</v>
      </c>
      <c r="R7">
        <f>IF(R6,14,0)</f>
        <v>14</v>
      </c>
      <c r="S7" s="525">
        <f>IF(S6,7,0)</f>
        <v>0</v>
      </c>
      <c r="T7" s="525">
        <f>IF(T6,12.99,0)</f>
        <v>0</v>
      </c>
      <c r="U7" s="525">
        <f>IF(U6,11.99,0)</f>
        <v>0</v>
      </c>
      <c r="V7">
        <f>IF(V6,54.99,0)</f>
        <v>0</v>
      </c>
      <c r="W7">
        <f>IF(W6,64.99,0)</f>
        <v>0</v>
      </c>
      <c r="X7" s="675">
        <f>IF(X6,30,0)</f>
        <v>0</v>
      </c>
      <c r="Y7">
        <f>IF(Y6,8.99,0)</f>
        <v>0</v>
      </c>
    </row>
    <row r="8" spans="2:25" ht="15" thickBot="1" x14ac:dyDescent="0.35">
      <c r="B8">
        <v>3</v>
      </c>
      <c r="C8" s="221">
        <v>14</v>
      </c>
      <c r="D8">
        <v>4</v>
      </c>
      <c r="F8" s="6">
        <v>1</v>
      </c>
      <c r="G8">
        <f>IF(F8=1,F25,0)</f>
        <v>15</v>
      </c>
      <c r="J8" t="s">
        <v>246</v>
      </c>
    </row>
    <row r="9" spans="2:25" x14ac:dyDescent="0.3">
      <c r="B9">
        <v>4</v>
      </c>
      <c r="C9" s="221">
        <v>21</v>
      </c>
      <c r="D9">
        <v>5</v>
      </c>
      <c r="J9" t="b">
        <v>0</v>
      </c>
      <c r="M9" t="s">
        <v>342</v>
      </c>
      <c r="N9" t="s">
        <v>341</v>
      </c>
    </row>
    <row r="10" spans="2:25" x14ac:dyDescent="0.3">
      <c r="B10">
        <v>5</v>
      </c>
      <c r="C10" s="221">
        <v>28</v>
      </c>
      <c r="D10">
        <v>6</v>
      </c>
      <c r="J10">
        <f>IF(J9=TRUE,5,0)</f>
        <v>0</v>
      </c>
      <c r="M10" t="b">
        <v>0</v>
      </c>
      <c r="N10" t="b">
        <v>0</v>
      </c>
      <c r="P10" t="s">
        <v>281</v>
      </c>
    </row>
    <row r="11" spans="2:25" x14ac:dyDescent="0.3">
      <c r="B11">
        <v>6</v>
      </c>
      <c r="C11" s="221">
        <v>35</v>
      </c>
      <c r="D11">
        <v>7</v>
      </c>
      <c r="M11">
        <f>IF(M10=TRUE, 25,0)</f>
        <v>0</v>
      </c>
      <c r="N11">
        <f>IF(N10=TRUE,19.99,0)</f>
        <v>0</v>
      </c>
      <c r="O11" t="e">
        <f>VLOOKUP(O12-1,L14:O18,3,FALSE)+N11+M11</f>
        <v>#N/A</v>
      </c>
      <c r="P11">
        <f>IF(O12=1,0,(O11+12))</f>
        <v>0</v>
      </c>
    </row>
    <row r="12" spans="2:25" x14ac:dyDescent="0.3">
      <c r="B12">
        <v>7</v>
      </c>
      <c r="C12" s="221">
        <v>42</v>
      </c>
      <c r="D12">
        <v>8</v>
      </c>
      <c r="M12" t="s">
        <v>279</v>
      </c>
      <c r="O12">
        <v>1</v>
      </c>
    </row>
    <row r="13" spans="2:25" x14ac:dyDescent="0.3">
      <c r="B13">
        <v>8</v>
      </c>
      <c r="C13" s="221">
        <v>49</v>
      </c>
      <c r="F13" t="s">
        <v>239</v>
      </c>
      <c r="L13" t="s">
        <v>44</v>
      </c>
      <c r="M13" t="s">
        <v>59</v>
      </c>
      <c r="N13" t="s">
        <v>159</v>
      </c>
      <c r="O13" t="s">
        <v>160</v>
      </c>
    </row>
    <row r="14" spans="2:25" x14ac:dyDescent="0.3">
      <c r="B14" s="221"/>
      <c r="F14" t="s">
        <v>44</v>
      </c>
      <c r="G14" t="s">
        <v>59</v>
      </c>
      <c r="H14">
        <v>1</v>
      </c>
      <c r="L14">
        <v>1</v>
      </c>
      <c r="M14" t="s">
        <v>280</v>
      </c>
      <c r="N14">
        <v>0</v>
      </c>
    </row>
    <row r="15" spans="2:25" x14ac:dyDescent="0.3">
      <c r="B15" s="221"/>
      <c r="F15">
        <v>0</v>
      </c>
      <c r="G15">
        <v>0</v>
      </c>
      <c r="H15">
        <f>VLOOKUP(H14-1,Table49[[Column1]:[Column2]],2,TRUE)</f>
        <v>0</v>
      </c>
      <c r="L15">
        <v>2</v>
      </c>
      <c r="M15" t="s">
        <v>974</v>
      </c>
      <c r="N15">
        <v>55</v>
      </c>
    </row>
    <row r="16" spans="2:25" x14ac:dyDescent="0.3">
      <c r="B16" t="s">
        <v>53</v>
      </c>
      <c r="C16" t="s">
        <v>58</v>
      </c>
      <c r="F16">
        <v>1</v>
      </c>
      <c r="G16">
        <v>99.99</v>
      </c>
      <c r="L16">
        <v>3</v>
      </c>
      <c r="M16" t="s">
        <v>867</v>
      </c>
      <c r="N16">
        <v>45</v>
      </c>
    </row>
    <row r="17" spans="2:24" x14ac:dyDescent="0.3">
      <c r="B17">
        <v>1</v>
      </c>
      <c r="C17" s="309">
        <f>VLOOKUP(B17-1,Table6[],2,FALSE)</f>
        <v>0</v>
      </c>
      <c r="D17" s="433"/>
      <c r="F17">
        <v>2</v>
      </c>
      <c r="G17">
        <v>99.99</v>
      </c>
      <c r="L17" s="608">
        <v>4</v>
      </c>
      <c r="M17" s="608" t="s">
        <v>863</v>
      </c>
      <c r="N17" s="608">
        <v>55</v>
      </c>
      <c r="O17" s="608"/>
    </row>
    <row r="18" spans="2:24" x14ac:dyDescent="0.3">
      <c r="F18">
        <v>3</v>
      </c>
      <c r="G18">
        <v>99.99</v>
      </c>
      <c r="L18">
        <v>5</v>
      </c>
      <c r="M18" t="s">
        <v>937</v>
      </c>
      <c r="N18">
        <v>70</v>
      </c>
    </row>
    <row r="19" spans="2:24" x14ac:dyDescent="0.3">
      <c r="F19">
        <v>4</v>
      </c>
      <c r="G19">
        <v>99.99</v>
      </c>
      <c r="L19" s="511"/>
      <c r="M19" s="511"/>
      <c r="N19" s="526"/>
      <c r="O19" s="511"/>
    </row>
    <row r="20" spans="2:24" x14ac:dyDescent="0.3">
      <c r="F20">
        <v>5</v>
      </c>
      <c r="G20">
        <v>99.99</v>
      </c>
    </row>
    <row r="22" spans="2:24" x14ac:dyDescent="0.3">
      <c r="B22" s="1165" t="s">
        <v>553</v>
      </c>
      <c r="C22" s="1165"/>
      <c r="D22" s="1165"/>
      <c r="E22" s="1165"/>
      <c r="F22" s="1165"/>
    </row>
    <row r="23" spans="2:24" x14ac:dyDescent="0.3">
      <c r="B23" t="s">
        <v>49</v>
      </c>
      <c r="C23" t="s">
        <v>0</v>
      </c>
      <c r="D23" t="s">
        <v>39</v>
      </c>
      <c r="E23" t="s">
        <v>38</v>
      </c>
      <c r="F23" t="s">
        <v>40</v>
      </c>
      <c r="G23" t="s">
        <v>41</v>
      </c>
      <c r="K23" t="s">
        <v>36</v>
      </c>
      <c r="O23" t="s">
        <v>48</v>
      </c>
      <c r="P23" t="s">
        <v>237</v>
      </c>
    </row>
    <row r="24" spans="2:24" x14ac:dyDescent="0.3">
      <c r="B24">
        <v>1</v>
      </c>
      <c r="K24" t="b">
        <v>0</v>
      </c>
      <c r="L24" t="s">
        <v>45</v>
      </c>
      <c r="M24" t="s">
        <v>46</v>
      </c>
      <c r="N24" t="s">
        <v>47</v>
      </c>
      <c r="O24" t="b">
        <v>0</v>
      </c>
      <c r="P24" t="b">
        <v>0</v>
      </c>
    </row>
    <row r="25" spans="2:24" ht="15" thickBot="1" x14ac:dyDescent="0.35">
      <c r="B25">
        <v>2</v>
      </c>
      <c r="C25" t="s">
        <v>453</v>
      </c>
      <c r="D25">
        <v>64.989999999999995</v>
      </c>
      <c r="E25">
        <v>61.99</v>
      </c>
      <c r="F25">
        <v>15</v>
      </c>
      <c r="G25">
        <v>7</v>
      </c>
      <c r="K25">
        <v>17.989999999999998</v>
      </c>
      <c r="L25" t="b">
        <v>0</v>
      </c>
      <c r="M25" t="b">
        <v>0</v>
      </c>
      <c r="N25" t="b">
        <v>0</v>
      </c>
      <c r="O25">
        <v>13.99</v>
      </c>
      <c r="P25">
        <v>14.99</v>
      </c>
      <c r="Q25" t="s">
        <v>50</v>
      </c>
    </row>
    <row r="26" spans="2:24" ht="15" thickBot="1" x14ac:dyDescent="0.35">
      <c r="B26">
        <v>3</v>
      </c>
      <c r="C26" t="s">
        <v>454</v>
      </c>
      <c r="D26">
        <v>74.989999999999995</v>
      </c>
      <c r="E26">
        <v>74.989999999999995</v>
      </c>
      <c r="F26">
        <v>15</v>
      </c>
      <c r="G26">
        <f>G25</f>
        <v>7</v>
      </c>
      <c r="K26">
        <f>IF(K24=TRUE,K25,0)</f>
        <v>0</v>
      </c>
      <c r="L26">
        <v>10.99</v>
      </c>
      <c r="M26">
        <v>9.99</v>
      </c>
      <c r="N26">
        <v>7.99</v>
      </c>
      <c r="O26">
        <f>IF(O24=TRUE,O25,0)</f>
        <v>0</v>
      </c>
      <c r="P26">
        <f>IF(P24=TRUE,14.99,0)</f>
        <v>0</v>
      </c>
      <c r="Q26" s="6">
        <f>SUM(K26+L27+M27+N27+O26)</f>
        <v>0</v>
      </c>
    </row>
    <row r="27" spans="2:24" ht="15" thickBot="1" x14ac:dyDescent="0.35">
      <c r="B27">
        <v>5</v>
      </c>
      <c r="C27" t="s">
        <v>455</v>
      </c>
      <c r="D27">
        <v>89.99</v>
      </c>
      <c r="E27">
        <v>91.99</v>
      </c>
      <c r="F27">
        <v>15</v>
      </c>
      <c r="G27" t="e">
        <f>#REF!</f>
        <v>#REF!</v>
      </c>
      <c r="L27">
        <f>IF(L25=TRUE,L26,0)</f>
        <v>0</v>
      </c>
      <c r="M27">
        <f>IF(M25=TRUE,M26,0)</f>
        <v>0</v>
      </c>
      <c r="N27">
        <f>IF(N25=TRUE,N26,0)</f>
        <v>0</v>
      </c>
    </row>
    <row r="28" spans="2:24" x14ac:dyDescent="0.3">
      <c r="B28">
        <v>6</v>
      </c>
      <c r="C28" t="s">
        <v>456</v>
      </c>
      <c r="D28" s="683">
        <v>139.99</v>
      </c>
      <c r="E28">
        <v>144.99</v>
      </c>
      <c r="F28">
        <v>15</v>
      </c>
      <c r="G28" t="e">
        <f t="shared" ref="G28" si="0">G27</f>
        <v>#REF!</v>
      </c>
      <c r="S28" s="590"/>
      <c r="T28" s="591"/>
      <c r="U28" s="591"/>
      <c r="V28" s="591">
        <f>VLOOKUP(V29-1,Table63[#All],3,FALSE)+W35+X35</f>
        <v>0</v>
      </c>
      <c r="W28" s="591">
        <f>V28</f>
        <v>0</v>
      </c>
      <c r="X28" s="592"/>
    </row>
    <row r="29" spans="2:24" x14ac:dyDescent="0.3">
      <c r="B29">
        <v>7</v>
      </c>
      <c r="C29" t="s">
        <v>930</v>
      </c>
      <c r="D29" s="683">
        <v>64.989999999999995</v>
      </c>
      <c r="E29">
        <v>70</v>
      </c>
      <c r="F29">
        <v>15</v>
      </c>
      <c r="G29">
        <v>7</v>
      </c>
      <c r="S29" s="593"/>
      <c r="T29" s="526" t="s">
        <v>208</v>
      </c>
      <c r="U29" s="526"/>
      <c r="V29" s="526">
        <v>1</v>
      </c>
      <c r="W29" s="526"/>
      <c r="X29" s="594"/>
    </row>
    <row r="30" spans="2:24" x14ac:dyDescent="0.3">
      <c r="B30">
        <v>8</v>
      </c>
      <c r="C30" t="s">
        <v>841</v>
      </c>
      <c r="D30" s="683">
        <v>74.989999999999995</v>
      </c>
      <c r="E30">
        <v>89</v>
      </c>
      <c r="F30">
        <v>15</v>
      </c>
      <c r="G30">
        <v>7</v>
      </c>
      <c r="S30" s="593" t="s">
        <v>44</v>
      </c>
      <c r="T30" s="526" t="s">
        <v>59</v>
      </c>
      <c r="U30" s="526" t="s">
        <v>159</v>
      </c>
      <c r="V30" s="526"/>
      <c r="W30" s="526"/>
      <c r="X30" s="594"/>
    </row>
    <row r="31" spans="2:24" x14ac:dyDescent="0.3">
      <c r="B31">
        <v>9</v>
      </c>
      <c r="C31" t="s">
        <v>931</v>
      </c>
      <c r="D31" s="683">
        <v>79.989999999999995</v>
      </c>
      <c r="E31">
        <v>119</v>
      </c>
      <c r="F31">
        <v>15</v>
      </c>
      <c r="G31">
        <v>7</v>
      </c>
      <c r="S31" s="593">
        <v>0</v>
      </c>
      <c r="T31" s="527" t="s">
        <v>280</v>
      </c>
      <c r="U31" s="528">
        <v>0</v>
      </c>
      <c r="V31" s="526"/>
      <c r="W31" s="526"/>
      <c r="X31" s="594"/>
    </row>
    <row r="32" spans="2:24" x14ac:dyDescent="0.3">
      <c r="B32">
        <v>10</v>
      </c>
      <c r="C32" t="s">
        <v>932</v>
      </c>
      <c r="D32" s="683">
        <v>139.99</v>
      </c>
      <c r="E32">
        <v>197</v>
      </c>
      <c r="F32">
        <v>15</v>
      </c>
      <c r="G32">
        <v>7</v>
      </c>
      <c r="S32" s="593">
        <v>1</v>
      </c>
      <c r="T32" s="527" t="s">
        <v>872</v>
      </c>
      <c r="U32" s="528">
        <f>Frontier!D33</f>
        <v>49.99</v>
      </c>
      <c r="V32" s="526"/>
      <c r="W32" s="526"/>
      <c r="X32" s="594"/>
    </row>
    <row r="33" spans="2:24" x14ac:dyDescent="0.3">
      <c r="D33" s="683"/>
      <c r="S33" s="593">
        <v>2</v>
      </c>
      <c r="T33" s="527" t="s">
        <v>862</v>
      </c>
      <c r="U33" s="528" t="e">
        <f>Frontier!#REF!</f>
        <v>#REF!</v>
      </c>
      <c r="V33" s="526"/>
      <c r="W33" s="526" t="s">
        <v>284</v>
      </c>
      <c r="X33" s="594" t="s">
        <v>24</v>
      </c>
    </row>
    <row r="34" spans="2:24" x14ac:dyDescent="0.3">
      <c r="C34" t="s">
        <v>227</v>
      </c>
      <c r="D34">
        <v>9.99</v>
      </c>
      <c r="S34" s="593">
        <v>3</v>
      </c>
      <c r="T34" s="527" t="s">
        <v>863</v>
      </c>
      <c r="U34" s="528">
        <f>Frontier!D34</f>
        <v>59.99</v>
      </c>
      <c r="V34" s="526"/>
      <c r="W34" s="526" t="b">
        <v>0</v>
      </c>
      <c r="X34" s="594" t="b">
        <v>0</v>
      </c>
    </row>
    <row r="35" spans="2:24" x14ac:dyDescent="0.3">
      <c r="C35" t="s">
        <v>554</v>
      </c>
      <c r="D35">
        <f>IF(I4&gt;2,D34,0)</f>
        <v>9.99</v>
      </c>
      <c r="S35" s="593">
        <v>4</v>
      </c>
      <c r="T35" s="527" t="s">
        <v>864</v>
      </c>
      <c r="U35" s="528">
        <f>Frontier!D35</f>
        <v>79.989999999999995</v>
      </c>
      <c r="V35" s="526"/>
      <c r="W35" s="526">
        <f>IF(W34=TRUE,10,0)</f>
        <v>0</v>
      </c>
      <c r="X35" s="594">
        <f>IF(X34=TRUE,25,0)</f>
        <v>0</v>
      </c>
    </row>
    <row r="36" spans="2:24" x14ac:dyDescent="0.3">
      <c r="B36" t="s">
        <v>448</v>
      </c>
      <c r="J36" s="303" t="s">
        <v>51</v>
      </c>
      <c r="K36" s="303" t="s">
        <v>38</v>
      </c>
      <c r="L36" s="8"/>
      <c r="S36" s="593"/>
      <c r="T36" s="526"/>
      <c r="U36" s="526"/>
      <c r="V36" s="526"/>
      <c r="W36" s="526"/>
      <c r="X36" s="594"/>
    </row>
    <row r="37" spans="2:24" ht="15" thickBot="1" x14ac:dyDescent="0.35">
      <c r="B37" s="2" t="s">
        <v>49</v>
      </c>
      <c r="C37" s="51" t="s">
        <v>0</v>
      </c>
      <c r="D37" s="51" t="s">
        <v>39</v>
      </c>
      <c r="E37" s="51" t="s">
        <v>38</v>
      </c>
      <c r="F37" s="51" t="s">
        <v>40</v>
      </c>
      <c r="G37" s="52" t="s">
        <v>41</v>
      </c>
      <c r="J37" s="303">
        <f>VLOOKUP(I4,Table80[],3,FALSE)+Q26+H48+V42+V28+J41+Y59+J10+C17+D35</f>
        <v>84.97999999999999</v>
      </c>
      <c r="K37" s="303">
        <f>IF(O12&gt;1,(K38+H48),K38)</f>
        <v>124.99</v>
      </c>
      <c r="S37" s="593"/>
      <c r="T37" s="526"/>
      <c r="U37" s="526"/>
      <c r="V37" s="526"/>
      <c r="W37" s="526" t="s">
        <v>189</v>
      </c>
      <c r="X37" s="594"/>
    </row>
    <row r="38" spans="2:24" ht="15.6" thickTop="1" thickBot="1" x14ac:dyDescent="0.35">
      <c r="B38" s="3"/>
      <c r="J38" s="303"/>
      <c r="K38" s="303">
        <f>VLOOKUP(I4,Table80[],4,FALSE)+Q26+H48+T12+V42+V28+J41+Y59+J10+C17+D35-K33</f>
        <v>124.99</v>
      </c>
      <c r="S38" s="596"/>
      <c r="T38" s="597"/>
      <c r="U38" s="597"/>
      <c r="V38" s="597"/>
      <c r="W38" s="597">
        <f>IF(V29&gt;1,79.99,0)</f>
        <v>0</v>
      </c>
      <c r="X38" s="598"/>
    </row>
    <row r="39" spans="2:24" x14ac:dyDescent="0.3">
      <c r="B39" s="3">
        <v>2</v>
      </c>
      <c r="C39" t="s">
        <v>446</v>
      </c>
      <c r="D39">
        <v>69.989999999999995</v>
      </c>
      <c r="E39">
        <v>97</v>
      </c>
      <c r="F39">
        <v>0</v>
      </c>
      <c r="G39">
        <f>G26</f>
        <v>7</v>
      </c>
    </row>
    <row r="40" spans="2:24" x14ac:dyDescent="0.3">
      <c r="B40" s="4">
        <v>3</v>
      </c>
      <c r="C40" t="s">
        <v>447</v>
      </c>
      <c r="D40">
        <v>74.989999999999995</v>
      </c>
      <c r="E40">
        <v>115</v>
      </c>
      <c r="F40">
        <v>0</v>
      </c>
      <c r="G40">
        <f>G26</f>
        <v>7</v>
      </c>
      <c r="J40" t="s">
        <v>452</v>
      </c>
    </row>
    <row r="41" spans="2:24" ht="15" thickBot="1" x14ac:dyDescent="0.35">
      <c r="B41" s="4">
        <v>4</v>
      </c>
      <c r="C41" t="s">
        <v>11</v>
      </c>
      <c r="D41">
        <v>89.99</v>
      </c>
      <c r="E41">
        <v>142</v>
      </c>
      <c r="F41">
        <v>0</v>
      </c>
      <c r="G41" t="e">
        <f>G27</f>
        <v>#REF!</v>
      </c>
      <c r="J41">
        <f>IF(OR(M10=TRUE,N10=TRUE),9.99,0)</f>
        <v>0</v>
      </c>
    </row>
    <row r="42" spans="2:24" x14ac:dyDescent="0.3">
      <c r="B42" s="108">
        <v>5</v>
      </c>
      <c r="C42" t="s">
        <v>33</v>
      </c>
      <c r="D42">
        <v>139.99</v>
      </c>
      <c r="E42">
        <v>197</v>
      </c>
      <c r="F42">
        <v>0</v>
      </c>
      <c r="G42">
        <f>G29</f>
        <v>7</v>
      </c>
      <c r="S42" s="590"/>
      <c r="T42" s="591"/>
      <c r="U42" s="591"/>
      <c r="V42" s="591">
        <f>VLOOKUP(V43-1,Table54[],3,FALSE)+W48+X48</f>
        <v>0</v>
      </c>
      <c r="W42" s="591">
        <f>IF(V42=1,0,(V42+10))</f>
        <v>10</v>
      </c>
      <c r="X42" s="592"/>
    </row>
    <row r="43" spans="2:24" x14ac:dyDescent="0.3">
      <c r="B43" s="679">
        <v>6</v>
      </c>
      <c r="C43" t="s">
        <v>930</v>
      </c>
      <c r="D43">
        <v>64.989999999999995</v>
      </c>
      <c r="E43">
        <v>70</v>
      </c>
      <c r="F43">
        <v>0</v>
      </c>
      <c r="G43">
        <f>G30</f>
        <v>7</v>
      </c>
      <c r="S43" s="593"/>
      <c r="T43" s="526" t="s">
        <v>37</v>
      </c>
      <c r="U43" s="526"/>
      <c r="V43" s="526">
        <v>1</v>
      </c>
      <c r="W43" s="526"/>
      <c r="X43" s="594"/>
    </row>
    <row r="44" spans="2:24" x14ac:dyDescent="0.3">
      <c r="B44" s="679">
        <v>7</v>
      </c>
      <c r="C44" t="s">
        <v>841</v>
      </c>
      <c r="D44">
        <v>74.989999999999995</v>
      </c>
      <c r="E44">
        <v>89</v>
      </c>
      <c r="F44">
        <v>0</v>
      </c>
      <c r="G44">
        <f>G31</f>
        <v>7</v>
      </c>
      <c r="S44" s="593" t="s">
        <v>44</v>
      </c>
      <c r="T44" s="526" t="s">
        <v>59</v>
      </c>
      <c r="U44" s="526" t="s">
        <v>159</v>
      </c>
      <c r="V44" s="526"/>
      <c r="W44" s="526"/>
      <c r="X44" s="594"/>
    </row>
    <row r="45" spans="2:24" x14ac:dyDescent="0.3">
      <c r="B45" s="677">
        <v>8</v>
      </c>
      <c r="C45" s="526" t="s">
        <v>931</v>
      </c>
      <c r="D45" s="526">
        <v>79.989999999999995</v>
      </c>
      <c r="E45" s="526">
        <v>119</v>
      </c>
      <c r="F45" s="526">
        <v>0</v>
      </c>
      <c r="G45" s="526">
        <f>G32</f>
        <v>7</v>
      </c>
      <c r="S45" s="593">
        <v>0</v>
      </c>
      <c r="T45" s="527" t="s">
        <v>280</v>
      </c>
      <c r="U45" s="526"/>
      <c r="V45" s="526"/>
      <c r="W45" s="526"/>
      <c r="X45" s="594"/>
    </row>
    <row r="46" spans="2:24" x14ac:dyDescent="0.3">
      <c r="B46" s="677">
        <v>9</v>
      </c>
      <c r="C46" s="526" t="s">
        <v>932</v>
      </c>
      <c r="D46" s="526">
        <v>139.99</v>
      </c>
      <c r="E46" s="526">
        <v>197</v>
      </c>
      <c r="F46" s="526">
        <v>0</v>
      </c>
      <c r="G46" s="526">
        <v>7</v>
      </c>
      <c r="S46" s="593">
        <v>1</v>
      </c>
      <c r="T46" s="529" t="s">
        <v>865</v>
      </c>
      <c r="U46" s="530">
        <f>Comcast!D44</f>
        <v>19.989999999999998</v>
      </c>
      <c r="V46" s="526"/>
      <c r="W46" s="526" t="s">
        <v>284</v>
      </c>
      <c r="X46" s="594" t="s">
        <v>24</v>
      </c>
    </row>
    <row r="47" spans="2:24" x14ac:dyDescent="0.3">
      <c r="C47" s="526"/>
      <c r="D47" s="526"/>
      <c r="E47" s="526"/>
      <c r="F47" s="526"/>
      <c r="G47" s="526"/>
      <c r="H47" s="299" t="s">
        <v>552</v>
      </c>
      <c r="K47" t="s">
        <v>770</v>
      </c>
      <c r="L47" t="s">
        <v>771</v>
      </c>
      <c r="S47" s="593">
        <v>2</v>
      </c>
      <c r="T47" s="527" t="s">
        <v>862</v>
      </c>
      <c r="U47" s="530">
        <f>Comcast!D45</f>
        <v>34.99</v>
      </c>
      <c r="V47" s="526"/>
      <c r="W47" s="526" t="b">
        <v>0</v>
      </c>
      <c r="X47" s="594" t="b">
        <v>0</v>
      </c>
    </row>
    <row r="48" spans="2:24" x14ac:dyDescent="0.3">
      <c r="H48" s="299">
        <f>VLOOKUP(O12-1,Table81[#All],3,FALSE)</f>
        <v>0</v>
      </c>
      <c r="K48">
        <v>1</v>
      </c>
      <c r="L48">
        <v>0</v>
      </c>
      <c r="S48" s="593">
        <v>3</v>
      </c>
      <c r="T48" s="527" t="s">
        <v>866</v>
      </c>
      <c r="U48" s="530">
        <f>Comcast!D46</f>
        <v>49.99</v>
      </c>
      <c r="V48" s="526"/>
      <c r="W48" s="526">
        <f>IF(W47=TRUE,Comcast!F60,0)</f>
        <v>0</v>
      </c>
      <c r="X48" s="594">
        <f>IF(X47=TRUE,10,0)</f>
        <v>0</v>
      </c>
    </row>
    <row r="49" spans="1:25" x14ac:dyDescent="0.3">
      <c r="K49">
        <v>2</v>
      </c>
      <c r="L49">
        <v>0</v>
      </c>
      <c r="S49" s="593">
        <v>4</v>
      </c>
      <c r="T49" s="527" t="s">
        <v>867</v>
      </c>
      <c r="U49" s="530">
        <f>Comcast!D47</f>
        <v>64.989999999999995</v>
      </c>
      <c r="V49" s="526"/>
      <c r="W49" s="526"/>
      <c r="X49" s="594"/>
    </row>
    <row r="50" spans="1:25" x14ac:dyDescent="0.3">
      <c r="K50">
        <v>3</v>
      </c>
      <c r="L50">
        <v>0</v>
      </c>
      <c r="S50" s="593">
        <v>5</v>
      </c>
      <c r="T50" s="527" t="s">
        <v>868</v>
      </c>
      <c r="U50" s="530">
        <f>Comcast!D48</f>
        <v>74.989999999999995</v>
      </c>
      <c r="V50" s="526"/>
      <c r="W50" s="526"/>
      <c r="X50" s="594"/>
    </row>
    <row r="51" spans="1:25" x14ac:dyDescent="0.3">
      <c r="K51">
        <v>4</v>
      </c>
      <c r="L51">
        <v>0</v>
      </c>
      <c r="S51" s="593">
        <v>6</v>
      </c>
      <c r="T51" s="527" t="s">
        <v>864</v>
      </c>
      <c r="U51" s="526">
        <f>Comcast!D49</f>
        <v>84.99</v>
      </c>
      <c r="V51" s="526"/>
      <c r="W51" s="526"/>
      <c r="X51" s="594"/>
    </row>
    <row r="52" spans="1:25" x14ac:dyDescent="0.3">
      <c r="K52">
        <v>5</v>
      </c>
      <c r="L52">
        <v>50</v>
      </c>
      <c r="S52" s="593"/>
      <c r="T52" s="526"/>
      <c r="U52" s="526"/>
      <c r="V52" s="526" t="s">
        <v>189</v>
      </c>
      <c r="W52" s="526"/>
      <c r="X52" s="594"/>
    </row>
    <row r="53" spans="1:25" ht="15" thickBot="1" x14ac:dyDescent="0.35">
      <c r="K53">
        <v>6</v>
      </c>
      <c r="L53">
        <v>100</v>
      </c>
      <c r="S53" s="596"/>
      <c r="T53" s="597"/>
      <c r="U53" s="597"/>
      <c r="V53" s="597">
        <f>IF(V43&gt;1,89.99,0)</f>
        <v>0</v>
      </c>
      <c r="W53" s="597"/>
      <c r="X53" s="598"/>
    </row>
    <row r="54" spans="1:25" x14ac:dyDescent="0.3">
      <c r="K54">
        <v>7</v>
      </c>
      <c r="L54">
        <v>200</v>
      </c>
    </row>
    <row r="55" spans="1:25" ht="23.4" x14ac:dyDescent="0.3">
      <c r="A55" s="260" t="s">
        <v>451</v>
      </c>
      <c r="B55" t="s">
        <v>449</v>
      </c>
      <c r="K55">
        <v>8</v>
      </c>
      <c r="L55">
        <v>300</v>
      </c>
    </row>
    <row r="56" spans="1:25" x14ac:dyDescent="0.3">
      <c r="B56">
        <f>IF((B17&gt;5),((B17-5)*G25),0)</f>
        <v>0</v>
      </c>
      <c r="D56" t="s">
        <v>839</v>
      </c>
    </row>
    <row r="57" spans="1:25" x14ac:dyDescent="0.3">
      <c r="D57" t="s">
        <v>44</v>
      </c>
      <c r="E57" t="s">
        <v>59</v>
      </c>
      <c r="F57" t="s">
        <v>159</v>
      </c>
    </row>
    <row r="58" spans="1:25" ht="15" thickBot="1" x14ac:dyDescent="0.35">
      <c r="D58">
        <v>0</v>
      </c>
      <c r="E58" t="s">
        <v>280</v>
      </c>
      <c r="F58">
        <v>0</v>
      </c>
    </row>
    <row r="59" spans="1:25" x14ac:dyDescent="0.3">
      <c r="D59">
        <v>1</v>
      </c>
      <c r="E59" t="s">
        <v>974</v>
      </c>
      <c r="F59" s="474">
        <v>55</v>
      </c>
      <c r="S59" s="590"/>
      <c r="T59" s="591"/>
      <c r="U59" s="591"/>
      <c r="V59" s="591"/>
      <c r="W59" s="591"/>
      <c r="X59" s="591">
        <v>1</v>
      </c>
      <c r="Y59" s="592">
        <f>VLOOKUP(X59,S62:U65,3,FALSE)+Y61+Y64</f>
        <v>0</v>
      </c>
    </row>
    <row r="60" spans="1:25" x14ac:dyDescent="0.3">
      <c r="D60">
        <v>2</v>
      </c>
      <c r="E60" t="s">
        <v>936</v>
      </c>
      <c r="F60" s="474">
        <v>45</v>
      </c>
      <c r="S60" s="593"/>
      <c r="T60" s="526" t="s">
        <v>498</v>
      </c>
      <c r="U60" s="526"/>
      <c r="V60" s="526"/>
      <c r="W60" s="526"/>
      <c r="X60" s="526"/>
      <c r="Y60" s="594"/>
    </row>
    <row r="61" spans="1:25" x14ac:dyDescent="0.3">
      <c r="D61">
        <v>3</v>
      </c>
      <c r="E61" t="s">
        <v>971</v>
      </c>
      <c r="F61" s="474">
        <v>55</v>
      </c>
      <c r="S61" s="593" t="s">
        <v>44</v>
      </c>
      <c r="T61" s="526" t="s">
        <v>59</v>
      </c>
      <c r="U61" s="526" t="s">
        <v>159</v>
      </c>
      <c r="V61" s="526"/>
      <c r="W61" s="526" t="s">
        <v>499</v>
      </c>
      <c r="X61" s="526" t="b">
        <v>0</v>
      </c>
      <c r="Y61" s="594">
        <f>IF(X61=TRUE,X62,0)</f>
        <v>0</v>
      </c>
    </row>
    <row r="62" spans="1:25" x14ac:dyDescent="0.3">
      <c r="D62">
        <v>4</v>
      </c>
      <c r="E62" t="s">
        <v>578</v>
      </c>
      <c r="F62" s="474">
        <v>70</v>
      </c>
      <c r="S62" s="593">
        <v>1</v>
      </c>
      <c r="T62" s="527" t="s">
        <v>280</v>
      </c>
      <c r="U62" s="526">
        <v>0</v>
      </c>
      <c r="V62" s="526"/>
      <c r="W62" s="526" t="s">
        <v>68</v>
      </c>
      <c r="X62" s="526">
        <v>19.989999999999998</v>
      </c>
      <c r="Y62" s="594"/>
    </row>
    <row r="63" spans="1:25" x14ac:dyDescent="0.3">
      <c r="F63" s="474"/>
      <c r="S63" s="593">
        <v>2</v>
      </c>
      <c r="T63" s="527" t="s">
        <v>866</v>
      </c>
      <c r="U63" s="526">
        <f>Charter!C15</f>
        <v>44.99</v>
      </c>
      <c r="V63" s="526"/>
      <c r="W63" s="526"/>
      <c r="X63" s="526"/>
      <c r="Y63" s="594"/>
    </row>
    <row r="64" spans="1:25" x14ac:dyDescent="0.3">
      <c r="S64" s="593">
        <v>3</v>
      </c>
      <c r="T64" s="527" t="s">
        <v>869</v>
      </c>
      <c r="U64" s="526">
        <v>64.989999999999995</v>
      </c>
      <c r="V64" s="526"/>
      <c r="W64" s="526" t="s">
        <v>500</v>
      </c>
      <c r="X64" s="526" t="b">
        <v>0</v>
      </c>
      <c r="Y64" s="594">
        <f>IF(X64=TRUE,X65,0)</f>
        <v>0</v>
      </c>
    </row>
    <row r="65" spans="19:25" x14ac:dyDescent="0.3">
      <c r="S65" s="593">
        <v>4</v>
      </c>
      <c r="T65" s="527" t="s">
        <v>870</v>
      </c>
      <c r="U65" s="526">
        <v>109.99</v>
      </c>
      <c r="V65" s="526"/>
      <c r="W65" s="526" t="s">
        <v>68</v>
      </c>
      <c r="X65" s="526">
        <f>Charter!I21</f>
        <v>5</v>
      </c>
      <c r="Y65" s="594"/>
    </row>
    <row r="66" spans="19:25" x14ac:dyDescent="0.3">
      <c r="S66" s="593"/>
      <c r="T66" s="526"/>
      <c r="U66" s="526"/>
      <c r="V66" s="526"/>
      <c r="W66" s="526" t="s">
        <v>189</v>
      </c>
      <c r="X66" s="526">
        <f>Charter!I22</f>
        <v>10</v>
      </c>
      <c r="Y66" s="594"/>
    </row>
    <row r="67" spans="19:25" x14ac:dyDescent="0.3">
      <c r="S67" s="593"/>
      <c r="T67" s="526"/>
      <c r="U67" s="526"/>
      <c r="V67" s="526"/>
      <c r="W67" s="526"/>
      <c r="X67" s="526"/>
      <c r="Y67" s="594"/>
    </row>
    <row r="68" spans="19:25" x14ac:dyDescent="0.3">
      <c r="S68" s="593"/>
      <c r="T68" s="526"/>
      <c r="U68" s="526"/>
      <c r="V68" s="526"/>
      <c r="W68" s="526" t="s">
        <v>501</v>
      </c>
      <c r="X68" s="526">
        <f>IF(X64=TRUE, Charter!O8 + X66,Charter!O8)+X69</f>
        <v>44.99</v>
      </c>
      <c r="Y68" s="594">
        <f>IF(X59=1,0,X68)</f>
        <v>0</v>
      </c>
    </row>
    <row r="69" spans="19:25" ht="15" thickBot="1" x14ac:dyDescent="0.35">
      <c r="S69" s="596"/>
      <c r="T69" s="597"/>
      <c r="U69" s="597"/>
      <c r="V69" s="597"/>
      <c r="W69" s="597"/>
      <c r="X69" s="597">
        <f>IF(ATTTV!P39=4,155,0)</f>
        <v>0</v>
      </c>
      <c r="Y69" s="598"/>
    </row>
  </sheetData>
  <mergeCells count="1">
    <mergeCell ref="B22:F22"/>
  </mergeCells>
  <pageMargins left="0.7" right="0.7" top="0.75" bottom="0.75" header="0.3" footer="0.3"/>
  <legacyDrawing r:id="rId1"/>
  <tableParts count="10">
    <tablePart r:id="rId2"/>
    <tablePart r:id="rId3"/>
    <tablePart r:id="rId4"/>
    <tablePart r:id="rId5"/>
    <tablePart r:id="rId6"/>
    <tablePart r:id="rId7"/>
    <tablePart r:id="rId8"/>
    <tablePart r:id="rId9"/>
    <tablePart r:id="rId10"/>
    <tablePart r:id="rId1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pageSetUpPr fitToPage="1"/>
  </sheetPr>
  <dimension ref="A1:Q62"/>
  <sheetViews>
    <sheetView zoomScale="80" zoomScaleNormal="80" workbookViewId="0">
      <selection activeCell="G16" sqref="G16"/>
    </sheetView>
  </sheetViews>
  <sheetFormatPr defaultRowHeight="14.4" x14ac:dyDescent="0.3"/>
  <cols>
    <col min="1" max="6" width="18.44140625" customWidth="1"/>
    <col min="7" max="7" width="19.5546875" customWidth="1"/>
    <col min="8" max="16" width="18.44140625" customWidth="1"/>
    <col min="17" max="17" width="18.88671875" customWidth="1"/>
    <col min="18" max="18" width="21.88671875" customWidth="1"/>
    <col min="19" max="19" width="15.33203125" customWidth="1"/>
    <col min="20" max="20" width="15.88671875" customWidth="1"/>
    <col min="21" max="21" width="16.88671875" customWidth="1"/>
    <col min="22" max="22" width="25.33203125" customWidth="1"/>
  </cols>
  <sheetData>
    <row r="1" spans="1:16" x14ac:dyDescent="0.3">
      <c r="A1" t="s">
        <v>132</v>
      </c>
    </row>
    <row r="5" spans="1:16" x14ac:dyDescent="0.3">
      <c r="B5" t="s">
        <v>81</v>
      </c>
      <c r="C5" t="s">
        <v>79</v>
      </c>
    </row>
    <row r="6" spans="1:16" x14ac:dyDescent="0.3">
      <c r="B6">
        <f>VLOOKUP(J13,Verizon_Internet34[[Package '#]:[1st year]],3,FALSE)</f>
        <v>50</v>
      </c>
      <c r="C6">
        <f>VLOOKUP(J13,Verizon_Internet34[#All],4,FALSE)</f>
        <v>70</v>
      </c>
      <c r="F6" t="s">
        <v>80</v>
      </c>
      <c r="G6" t="s">
        <v>79</v>
      </c>
      <c r="J6" t="s">
        <v>75</v>
      </c>
      <c r="M6" t="s">
        <v>67</v>
      </c>
      <c r="N6" t="s">
        <v>38</v>
      </c>
    </row>
    <row r="7" spans="1:16" x14ac:dyDescent="0.3">
      <c r="B7" s="1165" t="s">
        <v>65</v>
      </c>
      <c r="C7" s="1165"/>
      <c r="D7" s="1165"/>
      <c r="E7" s="1165"/>
      <c r="F7">
        <f>VLOOKUP(J13,Verizon_Internet34[#All],5,FALSE)</f>
        <v>84.99</v>
      </c>
      <c r="G7">
        <f>VLOOKUP(J13,Verizon_Internet34[#All],6,FALSE)</f>
        <v>104.99</v>
      </c>
      <c r="J7">
        <v>1</v>
      </c>
      <c r="M7">
        <f>VLOOKUP(J7,Table193733[[#All],[Column1]:[1st Year]],3,FALSE)</f>
        <v>50</v>
      </c>
      <c r="N7">
        <f>VLOOKUP(J7,Table193733[#All],4,FALSE)</f>
        <v>70</v>
      </c>
    </row>
    <row r="8" spans="1:16" x14ac:dyDescent="0.3">
      <c r="B8" t="s">
        <v>49</v>
      </c>
      <c r="C8" t="s">
        <v>0</v>
      </c>
      <c r="D8" t="s">
        <v>39</v>
      </c>
      <c r="E8" t="s">
        <v>38</v>
      </c>
      <c r="F8" t="s">
        <v>70</v>
      </c>
      <c r="G8" t="s">
        <v>133</v>
      </c>
    </row>
    <row r="9" spans="1:16" x14ac:dyDescent="0.3">
      <c r="B9">
        <v>1</v>
      </c>
      <c r="C9" s="524" t="s">
        <v>973</v>
      </c>
      <c r="D9" s="511">
        <v>60</v>
      </c>
      <c r="E9" s="511">
        <v>80</v>
      </c>
      <c r="F9" s="511">
        <v>94.99</v>
      </c>
      <c r="G9" s="511">
        <v>114.99</v>
      </c>
      <c r="M9" t="s">
        <v>64</v>
      </c>
    </row>
    <row r="10" spans="1:16" x14ac:dyDescent="0.3">
      <c r="B10">
        <v>2</v>
      </c>
      <c r="C10" s="524" t="s">
        <v>970</v>
      </c>
      <c r="D10" s="511">
        <v>50</v>
      </c>
      <c r="E10" s="511">
        <v>70</v>
      </c>
      <c r="F10" s="511">
        <v>84.99</v>
      </c>
      <c r="G10" s="511">
        <v>104.99</v>
      </c>
      <c r="M10">
        <f>IF(K36=M36, K36+N36,N36)</f>
        <v>99</v>
      </c>
    </row>
    <row r="11" spans="1:16" x14ac:dyDescent="0.3">
      <c r="B11">
        <v>3</v>
      </c>
      <c r="C11" s="524" t="s">
        <v>863</v>
      </c>
      <c r="D11">
        <v>60</v>
      </c>
      <c r="E11">
        <v>80</v>
      </c>
      <c r="F11">
        <v>94.99</v>
      </c>
      <c r="G11">
        <v>114.99</v>
      </c>
    </row>
    <row r="12" spans="1:16" x14ac:dyDescent="0.3">
      <c r="B12">
        <v>4</v>
      </c>
      <c r="C12" s="524" t="s">
        <v>864</v>
      </c>
      <c r="D12" s="608">
        <v>75</v>
      </c>
      <c r="E12" s="608">
        <v>95</v>
      </c>
      <c r="F12" s="608">
        <v>109.99</v>
      </c>
      <c r="G12" s="608">
        <v>129.99</v>
      </c>
      <c r="J12" t="s">
        <v>12</v>
      </c>
    </row>
    <row r="13" spans="1:16" x14ac:dyDescent="0.3">
      <c r="J13">
        <v>2</v>
      </c>
    </row>
    <row r="15" spans="1:16" x14ac:dyDescent="0.3">
      <c r="O15" s="428"/>
      <c r="P15" s="309"/>
    </row>
    <row r="19" spans="2:12" x14ac:dyDescent="0.3">
      <c r="B19" s="511" t="s">
        <v>44</v>
      </c>
      <c r="C19" s="511" t="s">
        <v>59</v>
      </c>
      <c r="D19" s="511" t="s">
        <v>51</v>
      </c>
      <c r="E19" s="511" t="s">
        <v>5</v>
      </c>
    </row>
    <row r="20" spans="2:12" x14ac:dyDescent="0.3">
      <c r="B20" s="511">
        <v>1</v>
      </c>
      <c r="C20" s="511" t="s">
        <v>20</v>
      </c>
      <c r="D20" s="511">
        <f>B6</f>
        <v>50</v>
      </c>
      <c r="E20" s="511">
        <f>C6</f>
        <v>70</v>
      </c>
      <c r="H20" t="s">
        <v>183</v>
      </c>
    </row>
    <row r="21" spans="2:12" x14ac:dyDescent="0.3">
      <c r="B21" s="511">
        <v>2</v>
      </c>
      <c r="C21" s="511" t="s">
        <v>73</v>
      </c>
      <c r="D21" s="511">
        <f>F7</f>
        <v>84.99</v>
      </c>
      <c r="E21" s="511">
        <f>G7</f>
        <v>104.99</v>
      </c>
      <c r="H21">
        <f>IF(J7=2,7,0)</f>
        <v>0</v>
      </c>
    </row>
    <row r="22" spans="2:12" x14ac:dyDescent="0.3">
      <c r="H22">
        <f>IF(J7=3,7,0)</f>
        <v>0</v>
      </c>
    </row>
    <row r="23" spans="2:12" x14ac:dyDescent="0.3">
      <c r="G23" t="s">
        <v>457</v>
      </c>
      <c r="H23">
        <f>H21+H22</f>
        <v>0</v>
      </c>
    </row>
    <row r="27" spans="2:12" x14ac:dyDescent="0.3">
      <c r="K27" t="s">
        <v>810</v>
      </c>
      <c r="L27">
        <v>99</v>
      </c>
    </row>
    <row r="33" spans="6:14" x14ac:dyDescent="0.3">
      <c r="K33" t="s">
        <v>577</v>
      </c>
      <c r="L33">
        <v>0</v>
      </c>
    </row>
    <row r="35" spans="6:14" x14ac:dyDescent="0.3">
      <c r="K35" s="1217" t="s">
        <v>138</v>
      </c>
      <c r="L35" s="1217"/>
      <c r="M35" t="s">
        <v>809</v>
      </c>
    </row>
    <row r="36" spans="6:14" x14ac:dyDescent="0.3">
      <c r="K36">
        <f>IF(J7&lt;4,L27,L33)</f>
        <v>99</v>
      </c>
      <c r="M36">
        <f>IF(J13&lt;3,L27,L33)</f>
        <v>99</v>
      </c>
    </row>
    <row r="38" spans="6:14" x14ac:dyDescent="0.3">
      <c r="N38" s="27"/>
    </row>
    <row r="39" spans="6:14" x14ac:dyDescent="0.3">
      <c r="N39" s="27"/>
    </row>
    <row r="44" spans="6:14" x14ac:dyDescent="0.3">
      <c r="F44" s="476"/>
      <c r="G44" s="476"/>
    </row>
    <row r="45" spans="6:14" x14ac:dyDescent="0.3">
      <c r="F45" s="476"/>
      <c r="G45" s="476"/>
    </row>
    <row r="46" spans="6:14" x14ac:dyDescent="0.3">
      <c r="F46" s="476"/>
      <c r="G46" s="476"/>
    </row>
    <row r="62" spans="17:17" x14ac:dyDescent="0.3">
      <c r="Q62" t="e">
        <f>IF(#REF!=2,#REF!, 0)</f>
        <v>#REF!</v>
      </c>
    </row>
  </sheetData>
  <mergeCells count="2">
    <mergeCell ref="B7:E7"/>
    <mergeCell ref="K35:L35"/>
  </mergeCells>
  <pageMargins left="0.7" right="0.7" top="0.75" bottom="0.75" header="0.3" footer="0.3"/>
  <pageSetup scale="33" orientation="landscape"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9"/>
  <dimension ref="A1:V131"/>
  <sheetViews>
    <sheetView topLeftCell="A16" zoomScale="85" zoomScaleNormal="85" workbookViewId="0">
      <selection activeCell="B50" sqref="B50"/>
    </sheetView>
  </sheetViews>
  <sheetFormatPr defaultRowHeight="14.4" x14ac:dyDescent="0.3"/>
  <cols>
    <col min="1" max="1" width="18.44140625" customWidth="1"/>
    <col min="2" max="2" width="27.109375" customWidth="1"/>
    <col min="3" max="3" width="28.5546875" customWidth="1"/>
    <col min="4" max="10" width="18.44140625" customWidth="1"/>
    <col min="11" max="11" width="19.33203125" customWidth="1"/>
    <col min="12" max="14" width="18.44140625" customWidth="1"/>
    <col min="15" max="15" width="11.109375" customWidth="1"/>
  </cols>
  <sheetData>
    <row r="1" spans="1:22" x14ac:dyDescent="0.3">
      <c r="A1" t="s">
        <v>1</v>
      </c>
    </row>
    <row r="3" spans="1:22" x14ac:dyDescent="0.3">
      <c r="B3" t="s">
        <v>72</v>
      </c>
      <c r="C3" t="s">
        <v>157</v>
      </c>
    </row>
    <row r="4" spans="1:22" x14ac:dyDescent="0.3">
      <c r="B4" t="e">
        <f>(VLOOKUP(R11,Table1567[#All],R14+2,FALSE))+Q39+E56+M62</f>
        <v>#VALUE!</v>
      </c>
      <c r="C4" t="e">
        <f>(VLOOKUP(R11,Table15372[#All],R14+2,FALSE))+Q39+E56+N62</f>
        <v>#VALUE!</v>
      </c>
    </row>
    <row r="5" spans="1:22" ht="15" thickBot="1" x14ac:dyDescent="0.35">
      <c r="B5" s="2" t="s">
        <v>49</v>
      </c>
      <c r="C5" s="2" t="s">
        <v>72</v>
      </c>
      <c r="D5" s="8" t="s">
        <v>984</v>
      </c>
      <c r="E5" t="s">
        <v>910</v>
      </c>
      <c r="F5" t="s">
        <v>911</v>
      </c>
      <c r="G5" t="s">
        <v>252</v>
      </c>
      <c r="H5" t="s">
        <v>912</v>
      </c>
      <c r="I5" t="s">
        <v>980</v>
      </c>
    </row>
    <row r="6" spans="1:22" ht="15" thickTop="1" x14ac:dyDescent="0.3">
      <c r="B6" s="3">
        <v>1</v>
      </c>
      <c r="C6" s="3" t="s">
        <v>915</v>
      </c>
      <c r="D6" t="s">
        <v>103</v>
      </c>
      <c r="E6">
        <v>44.99</v>
      </c>
      <c r="F6">
        <v>59.99</v>
      </c>
      <c r="G6" s="221">
        <v>69.989999999999995</v>
      </c>
      <c r="H6" s="401" t="s">
        <v>103</v>
      </c>
      <c r="I6" t="s">
        <v>103</v>
      </c>
    </row>
    <row r="7" spans="1:22" x14ac:dyDescent="0.3">
      <c r="B7" s="4">
        <v>2</v>
      </c>
      <c r="C7" s="3" t="s">
        <v>917</v>
      </c>
      <c r="D7" t="s">
        <v>103</v>
      </c>
      <c r="E7" t="s">
        <v>103</v>
      </c>
      <c r="F7" s="221">
        <v>79.989999999999995</v>
      </c>
      <c r="G7" s="221" t="s">
        <v>103</v>
      </c>
      <c r="H7" s="221">
        <v>90</v>
      </c>
      <c r="I7" t="s">
        <v>103</v>
      </c>
      <c r="M7" t="s">
        <v>44</v>
      </c>
      <c r="N7" t="s">
        <v>59</v>
      </c>
      <c r="O7" t="s">
        <v>51</v>
      </c>
      <c r="P7" t="s">
        <v>5</v>
      </c>
      <c r="R7" t="s">
        <v>75</v>
      </c>
      <c r="U7" t="s">
        <v>67</v>
      </c>
      <c r="V7" t="s">
        <v>38</v>
      </c>
    </row>
    <row r="8" spans="1:22" x14ac:dyDescent="0.3">
      <c r="B8" s="3">
        <v>3</v>
      </c>
      <c r="C8" s="3" t="s">
        <v>218</v>
      </c>
      <c r="D8" s="221" t="s">
        <v>103</v>
      </c>
      <c r="E8" s="221" t="s">
        <v>103</v>
      </c>
      <c r="F8" s="221" t="s">
        <v>103</v>
      </c>
      <c r="G8" s="221" t="s">
        <v>103</v>
      </c>
      <c r="H8" s="221">
        <v>104.99</v>
      </c>
      <c r="I8">
        <v>105</v>
      </c>
      <c r="M8">
        <v>1</v>
      </c>
      <c r="N8" t="s">
        <v>25</v>
      </c>
      <c r="O8" t="e">
        <f>IF(Q50=FALSE,B32,A116)</f>
        <v>#VALUE!</v>
      </c>
      <c r="P8" t="e">
        <f>IF(Q50=FALSE,C32,B116)</f>
        <v>#VALUE!</v>
      </c>
      <c r="R8">
        <v>4</v>
      </c>
      <c r="U8" t="e">
        <f>IF(P17=TRUE,R17,(VLOOKUP(R8,Table1969[#All],3,FALSE)))+E62+U18</f>
        <v>#VALUE!</v>
      </c>
      <c r="V8" t="e">
        <f>VLOOKUP(R8,Table1969[#All],4,FALSE)+E62+U18</f>
        <v>#VALUE!</v>
      </c>
    </row>
    <row r="9" spans="1:22" x14ac:dyDescent="0.3">
      <c r="B9" s="5">
        <v>4</v>
      </c>
      <c r="C9" s="4" t="s">
        <v>918</v>
      </c>
      <c r="D9" s="221" t="s">
        <v>103</v>
      </c>
      <c r="E9" s="221" t="s">
        <v>103</v>
      </c>
      <c r="F9" s="221" t="s">
        <v>103</v>
      </c>
      <c r="G9" s="221" t="s">
        <v>103</v>
      </c>
      <c r="H9" s="221" t="s">
        <v>103</v>
      </c>
      <c r="I9">
        <v>129.99</v>
      </c>
      <c r="M9">
        <v>2</v>
      </c>
      <c r="N9" t="s">
        <v>20</v>
      </c>
      <c r="O9">
        <f>IF(Q50=FALSE,B41,A125)</f>
        <v>84.99</v>
      </c>
      <c r="P9" s="221">
        <f>IF(Q50=FALSE,C41,B125)</f>
        <v>100</v>
      </c>
    </row>
    <row r="10" spans="1:22" x14ac:dyDescent="0.3">
      <c r="B10">
        <v>5</v>
      </c>
      <c r="C10" t="s">
        <v>920</v>
      </c>
      <c r="D10" t="s">
        <v>103</v>
      </c>
      <c r="E10">
        <v>44.99</v>
      </c>
      <c r="F10">
        <v>59.99</v>
      </c>
      <c r="G10" s="221">
        <v>69.989999999999995</v>
      </c>
      <c r="H10" t="s">
        <v>103</v>
      </c>
      <c r="I10" t="s">
        <v>103</v>
      </c>
      <c r="M10">
        <v>3</v>
      </c>
      <c r="N10" t="s">
        <v>24</v>
      </c>
      <c r="O10">
        <f>C52</f>
        <v>44.99</v>
      </c>
      <c r="P10">
        <f>D52</f>
        <v>44.99</v>
      </c>
      <c r="R10" t="s">
        <v>8</v>
      </c>
      <c r="U10" t="s">
        <v>64</v>
      </c>
    </row>
    <row r="11" spans="1:22" s="676" customFormat="1" x14ac:dyDescent="0.3">
      <c r="B11" s="912">
        <v>6</v>
      </c>
      <c r="C11" s="912" t="s">
        <v>935</v>
      </c>
      <c r="D11" s="912" t="s">
        <v>103</v>
      </c>
      <c r="E11" s="912" t="s">
        <v>103</v>
      </c>
      <c r="F11" s="912">
        <v>79.989999999999995</v>
      </c>
      <c r="G11" s="221">
        <v>94.99</v>
      </c>
      <c r="H11" s="912" t="s">
        <v>103</v>
      </c>
      <c r="I11" s="912" t="s">
        <v>103</v>
      </c>
      <c r="J11" s="912"/>
      <c r="M11">
        <v>4</v>
      </c>
      <c r="N11" t="s">
        <v>222</v>
      </c>
      <c r="O11" t="e">
        <f>IF(Q50=FALSE,B4,B85)</f>
        <v>#VALUE!</v>
      </c>
      <c r="P11" t="e">
        <f>C4</f>
        <v>#VALUE!</v>
      </c>
      <c r="Q11"/>
      <c r="R11">
        <v>1</v>
      </c>
      <c r="S11"/>
      <c r="T11"/>
      <c r="U11">
        <v>15</v>
      </c>
      <c r="V11"/>
    </row>
    <row r="12" spans="1:22" s="676" customFormat="1" x14ac:dyDescent="0.3">
      <c r="B12" s="912"/>
      <c r="C12" s="912"/>
      <c r="D12" s="912"/>
      <c r="E12" s="912"/>
      <c r="F12" s="912"/>
      <c r="G12" s="221"/>
      <c r="H12" s="912"/>
      <c r="I12" s="912"/>
      <c r="J12" s="912"/>
      <c r="M12">
        <v>5</v>
      </c>
      <c r="N12" t="s">
        <v>223</v>
      </c>
      <c r="O12" t="e">
        <f>IF(Q50=FALSE,E32,D116)</f>
        <v>#VALUE!</v>
      </c>
      <c r="P12" t="e">
        <f>IF(Q50=FALSE,F32,B116)</f>
        <v>#VALUE!</v>
      </c>
      <c r="Q12"/>
      <c r="R12"/>
      <c r="S12"/>
      <c r="T12"/>
      <c r="U12"/>
      <c r="V12"/>
    </row>
    <row r="13" spans="1:22" s="676" customFormat="1" x14ac:dyDescent="0.3">
      <c r="G13" s="221"/>
      <c r="M13">
        <v>6</v>
      </c>
      <c r="N13" t="s">
        <v>71</v>
      </c>
      <c r="O13" t="e">
        <f>IF(Q50=FALSE,B18,B100)</f>
        <v>#VALUE!</v>
      </c>
      <c r="P13" t="e">
        <f>IF(Q50=FALSE,C18,B107)</f>
        <v>#VALUE!</v>
      </c>
      <c r="Q13"/>
      <c r="R13" t="s">
        <v>12</v>
      </c>
      <c r="S13"/>
      <c r="T13"/>
      <c r="U13"/>
      <c r="V13"/>
    </row>
    <row r="14" spans="1:22" s="676" customFormat="1" x14ac:dyDescent="0.3">
      <c r="G14" s="221"/>
      <c r="M14"/>
      <c r="N14"/>
      <c r="O14"/>
      <c r="P14"/>
      <c r="Q14"/>
      <c r="R14">
        <v>6</v>
      </c>
      <c r="S14"/>
      <c r="T14"/>
      <c r="U14"/>
      <c r="V14"/>
    </row>
    <row r="15" spans="1:22" s="676" customFormat="1" x14ac:dyDescent="0.3">
      <c r="G15" s="221"/>
      <c r="M15"/>
      <c r="N15"/>
      <c r="O15"/>
      <c r="P15"/>
      <c r="Q15"/>
      <c r="R15"/>
      <c r="S15"/>
      <c r="T15"/>
      <c r="U15"/>
      <c r="V15"/>
    </row>
    <row r="16" spans="1:22" s="676" customFormat="1" x14ac:dyDescent="0.3">
      <c r="G16" s="221"/>
      <c r="M16"/>
      <c r="N16"/>
      <c r="O16"/>
      <c r="P16" t="s">
        <v>226</v>
      </c>
      <c r="Q16"/>
      <c r="R16"/>
      <c r="S16"/>
      <c r="T16"/>
      <c r="U16" t="s">
        <v>3</v>
      </c>
      <c r="V16"/>
    </row>
    <row r="17" spans="2:21" x14ac:dyDescent="0.3">
      <c r="B17" t="s">
        <v>78</v>
      </c>
      <c r="C17" t="s">
        <v>79</v>
      </c>
      <c r="P17" t="b">
        <v>0</v>
      </c>
      <c r="Q17">
        <f>'Pricing Sheet'!B66</f>
        <v>0</v>
      </c>
      <c r="R17">
        <f>Q17+M62+E56</f>
        <v>0</v>
      </c>
      <c r="U17" t="b">
        <v>0</v>
      </c>
    </row>
    <row r="18" spans="2:21" x14ac:dyDescent="0.3">
      <c r="B18" t="e">
        <f>VLOOKUP(R11,Table151768[#All],R14+2,FALSE)+Q39+E56+#REF!+M62</f>
        <v>#VALUE!</v>
      </c>
      <c r="C18" t="e">
        <f>VLOOKUP(R11,Table1517873[#All],R14+2,FALSE)+E56+N62+Q39</f>
        <v>#VALUE!</v>
      </c>
      <c r="U18">
        <f>IF(U17,9.95,0)</f>
        <v>0</v>
      </c>
    </row>
    <row r="19" spans="2:21" ht="15" thickBot="1" x14ac:dyDescent="0.35">
      <c r="B19" s="2" t="s">
        <v>49</v>
      </c>
      <c r="C19" s="2" t="s">
        <v>71</v>
      </c>
      <c r="D19" s="8" t="s">
        <v>984</v>
      </c>
      <c r="E19" t="s">
        <v>910</v>
      </c>
      <c r="F19" t="s">
        <v>911</v>
      </c>
      <c r="G19" t="s">
        <v>985</v>
      </c>
      <c r="H19" t="s">
        <v>912</v>
      </c>
      <c r="I19" t="s">
        <v>980</v>
      </c>
    </row>
    <row r="20" spans="2:21" ht="15" thickTop="1" x14ac:dyDescent="0.3">
      <c r="B20" s="3">
        <v>1</v>
      </c>
      <c r="C20" s="3" t="s">
        <v>915</v>
      </c>
      <c r="D20" s="221" t="s">
        <v>103</v>
      </c>
      <c r="E20" t="s">
        <v>103</v>
      </c>
      <c r="F20" s="221" t="s">
        <v>103</v>
      </c>
      <c r="G20" s="221" t="s">
        <v>103</v>
      </c>
      <c r="H20" s="221" t="s">
        <v>103</v>
      </c>
      <c r="I20" t="s">
        <v>103</v>
      </c>
    </row>
    <row r="21" spans="2:21" x14ac:dyDescent="0.3">
      <c r="B21" s="4">
        <v>2</v>
      </c>
      <c r="C21" s="3" t="s">
        <v>917</v>
      </c>
      <c r="D21" s="221" t="s">
        <v>103</v>
      </c>
      <c r="E21" t="s">
        <v>103</v>
      </c>
      <c r="F21" t="s">
        <v>103</v>
      </c>
      <c r="G21" s="221">
        <v>104.99</v>
      </c>
      <c r="H21" s="221">
        <v>114.99</v>
      </c>
      <c r="I21">
        <v>130</v>
      </c>
    </row>
    <row r="22" spans="2:21" x14ac:dyDescent="0.3">
      <c r="B22" s="3">
        <v>3</v>
      </c>
      <c r="C22" s="3" t="s">
        <v>218</v>
      </c>
      <c r="D22" s="221" t="s">
        <v>103</v>
      </c>
      <c r="E22" s="221" t="s">
        <v>103</v>
      </c>
      <c r="F22" s="221" t="s">
        <v>103</v>
      </c>
      <c r="G22" t="s">
        <v>103</v>
      </c>
      <c r="H22" s="221" t="s">
        <v>103</v>
      </c>
      <c r="I22">
        <v>139.99</v>
      </c>
    </row>
    <row r="23" spans="2:21" x14ac:dyDescent="0.3">
      <c r="B23" s="5">
        <v>4</v>
      </c>
      <c r="C23" s="677" t="s">
        <v>918</v>
      </c>
      <c r="D23" s="678" t="s">
        <v>103</v>
      </c>
      <c r="E23" s="678" t="s">
        <v>103</v>
      </c>
      <c r="F23" s="678" t="s">
        <v>103</v>
      </c>
      <c r="G23" s="526" t="s">
        <v>103</v>
      </c>
      <c r="H23" s="678" t="s">
        <v>103</v>
      </c>
      <c r="I23">
        <v>159.99</v>
      </c>
    </row>
    <row r="24" spans="2:21" x14ac:dyDescent="0.3">
      <c r="B24" s="526">
        <v>5</v>
      </c>
      <c r="C24" s="677" t="s">
        <v>988</v>
      </c>
      <c r="D24" s="678" t="s">
        <v>103</v>
      </c>
      <c r="E24" s="526">
        <v>89.99</v>
      </c>
      <c r="F24" s="526">
        <v>94.99</v>
      </c>
      <c r="G24" s="526">
        <v>104.99</v>
      </c>
      <c r="H24" s="678">
        <v>114.99</v>
      </c>
      <c r="I24" s="526">
        <v>124.99</v>
      </c>
    </row>
    <row r="25" spans="2:21" s="676" customFormat="1" x14ac:dyDescent="0.3">
      <c r="B25" s="526">
        <v>6</v>
      </c>
      <c r="C25" s="677" t="s">
        <v>935</v>
      </c>
      <c r="D25" s="678" t="s">
        <v>103</v>
      </c>
      <c r="E25" s="526" t="s">
        <v>103</v>
      </c>
      <c r="F25" s="526" t="s">
        <v>103</v>
      </c>
      <c r="G25" s="526">
        <v>104.99</v>
      </c>
      <c r="H25" s="678" t="s">
        <v>103</v>
      </c>
      <c r="I25" s="526" t="s">
        <v>103</v>
      </c>
      <c r="J25" s="526"/>
    </row>
    <row r="26" spans="2:21" x14ac:dyDescent="0.3">
      <c r="B26" s="526"/>
      <c r="D26" s="678"/>
      <c r="E26" s="526"/>
      <c r="F26" s="526"/>
      <c r="G26" s="526"/>
      <c r="H26" s="678"/>
      <c r="I26" s="526"/>
      <c r="J26" s="526"/>
    </row>
    <row r="27" spans="2:21" s="676" customFormat="1" x14ac:dyDescent="0.3">
      <c r="C27"/>
      <c r="D27" s="221"/>
      <c r="H27" s="221"/>
    </row>
    <row r="28" spans="2:21" s="676" customFormat="1" x14ac:dyDescent="0.3"/>
    <row r="29" spans="2:21" s="676" customFormat="1" x14ac:dyDescent="0.3"/>
    <row r="30" spans="2:21" s="676" customFormat="1" x14ac:dyDescent="0.3"/>
    <row r="31" spans="2:21" x14ac:dyDescent="0.3">
      <c r="B31" t="s">
        <v>62</v>
      </c>
      <c r="C31" t="s">
        <v>157</v>
      </c>
      <c r="E31" t="s">
        <v>26</v>
      </c>
      <c r="F31" t="s">
        <v>157</v>
      </c>
    </row>
    <row r="32" spans="2:21" x14ac:dyDescent="0.3">
      <c r="B32" t="e">
        <f>VLOOKUP(R11,Verizon_TV63[#All],3,FALSE)+Q39+E56+#REF!+M62</f>
        <v>#VALUE!</v>
      </c>
      <c r="C32" t="e">
        <f>VLOOKUP(R11,Verizon_TV63[#All],4,FALSE)+Q39+E56+#REF!+M62</f>
        <v>#VALUE!</v>
      </c>
      <c r="E32" t="e">
        <f>VLOOKUP(R11,Verizon_TV63[#All],4,FALSE)+Q44+E56+#REF!+M62</f>
        <v>#VALUE!</v>
      </c>
      <c r="F32" t="e">
        <f>E32+N62</f>
        <v>#VALUE!</v>
      </c>
    </row>
    <row r="33" spans="2:17" x14ac:dyDescent="0.3">
      <c r="B33" s="1165" t="s">
        <v>62</v>
      </c>
      <c r="C33" s="1165"/>
      <c r="D33" s="1165"/>
      <c r="E33" t="s">
        <v>24</v>
      </c>
    </row>
    <row r="34" spans="2:17" x14ac:dyDescent="0.3">
      <c r="B34" t="s">
        <v>49</v>
      </c>
      <c r="C34" t="s">
        <v>0</v>
      </c>
      <c r="D34" t="s">
        <v>68</v>
      </c>
      <c r="E34" t="s">
        <v>38</v>
      </c>
      <c r="F34" t="s">
        <v>134</v>
      </c>
    </row>
    <row r="35" spans="2:17" x14ac:dyDescent="0.3">
      <c r="B35">
        <v>1</v>
      </c>
      <c r="C35" s="402" t="s">
        <v>916</v>
      </c>
      <c r="D35" t="s">
        <v>103</v>
      </c>
      <c r="E35" t="s">
        <v>103</v>
      </c>
      <c r="F35" s="221" t="s">
        <v>103</v>
      </c>
    </row>
    <row r="36" spans="2:17" x14ac:dyDescent="0.3">
      <c r="B36">
        <v>2</v>
      </c>
      <c r="C36" s="3" t="s">
        <v>858</v>
      </c>
      <c r="D36">
        <v>49.99</v>
      </c>
      <c r="E36">
        <v>75.489999999999995</v>
      </c>
      <c r="F36" s="221" t="s">
        <v>103</v>
      </c>
    </row>
    <row r="37" spans="2:17" x14ac:dyDescent="0.3">
      <c r="B37">
        <v>3</v>
      </c>
      <c r="C37" s="3" t="s">
        <v>218</v>
      </c>
      <c r="D37">
        <v>59.99</v>
      </c>
      <c r="E37">
        <v>88.5</v>
      </c>
      <c r="F37" s="221" t="s">
        <v>103</v>
      </c>
    </row>
    <row r="38" spans="2:17" x14ac:dyDescent="0.3">
      <c r="B38" s="526">
        <v>4</v>
      </c>
      <c r="C38" s="677" t="s">
        <v>919</v>
      </c>
      <c r="D38" s="526">
        <v>49.99</v>
      </c>
      <c r="E38" s="526">
        <v>69.95</v>
      </c>
      <c r="F38" s="678" t="s">
        <v>103</v>
      </c>
    </row>
    <row r="39" spans="2:17" x14ac:dyDescent="0.3">
      <c r="Q39" s="299"/>
    </row>
    <row r="40" spans="2:17" x14ac:dyDescent="0.3">
      <c r="B40" t="s">
        <v>81</v>
      </c>
      <c r="C40" t="s">
        <v>79</v>
      </c>
    </row>
    <row r="41" spans="2:17" x14ac:dyDescent="0.3">
      <c r="B41">
        <f>VLOOKUP(R14,Verizon_Internet66[#All],3,FALSE)+E56</f>
        <v>84.99</v>
      </c>
      <c r="C41" s="221">
        <f>VLOOKUP(R14,Verizon_Internet66[#All],4,FALSE)+E56</f>
        <v>100</v>
      </c>
      <c r="F41" t="s">
        <v>80</v>
      </c>
      <c r="G41" t="s">
        <v>143</v>
      </c>
    </row>
    <row r="42" spans="2:17" x14ac:dyDescent="0.3">
      <c r="B42" s="1165" t="s">
        <v>65</v>
      </c>
      <c r="C42" s="1165"/>
      <c r="D42" s="1165"/>
      <c r="E42" s="1165"/>
      <c r="F42">
        <f>VLOOKUP(R14,Verizon_Internet66[#All],5,FALSE)+E56</f>
        <v>104.99</v>
      </c>
      <c r="G42" s="221">
        <f>VLOOKUP(R14,Verizon_Internet66[#All],6,FALSE)+E56</f>
        <v>141.94999999999999</v>
      </c>
    </row>
    <row r="43" spans="2:17" x14ac:dyDescent="0.3">
      <c r="B43" t="s">
        <v>49</v>
      </c>
      <c r="C43" t="s">
        <v>0</v>
      </c>
      <c r="D43" t="s">
        <v>39</v>
      </c>
      <c r="E43" t="s">
        <v>38</v>
      </c>
      <c r="F43" t="s">
        <v>70</v>
      </c>
      <c r="G43" t="s">
        <v>134</v>
      </c>
    </row>
    <row r="44" spans="2:17" x14ac:dyDescent="0.3">
      <c r="B44">
        <v>1</v>
      </c>
      <c r="C44" t="s">
        <v>981</v>
      </c>
      <c r="D44" s="401">
        <v>19.989999999999998</v>
      </c>
      <c r="E44" s="401">
        <v>50</v>
      </c>
      <c r="F44" s="401">
        <v>49.99</v>
      </c>
      <c r="G44" s="401">
        <v>69.95</v>
      </c>
      <c r="Q44" s="27"/>
    </row>
    <row r="45" spans="2:17" x14ac:dyDescent="0.3">
      <c r="B45">
        <v>2</v>
      </c>
      <c r="C45" t="s">
        <v>590</v>
      </c>
      <c r="D45" s="401">
        <v>34.99</v>
      </c>
      <c r="E45" s="401">
        <v>55</v>
      </c>
      <c r="F45" s="401">
        <v>74.989999999999995</v>
      </c>
      <c r="G45" s="401">
        <v>91.95</v>
      </c>
    </row>
    <row r="46" spans="2:17" x14ac:dyDescent="0.3">
      <c r="B46">
        <v>3</v>
      </c>
      <c r="C46" t="s">
        <v>855</v>
      </c>
      <c r="D46" s="401">
        <v>49.99</v>
      </c>
      <c r="E46" s="401">
        <v>70</v>
      </c>
      <c r="F46" s="401">
        <v>89.99</v>
      </c>
      <c r="G46" s="401">
        <v>106.95</v>
      </c>
    </row>
    <row r="47" spans="2:17" x14ac:dyDescent="0.3">
      <c r="B47">
        <v>4</v>
      </c>
      <c r="C47" t="s">
        <v>584</v>
      </c>
      <c r="D47" s="401">
        <v>64.989999999999995</v>
      </c>
      <c r="E47" s="401">
        <v>80</v>
      </c>
      <c r="F47" s="401">
        <v>94.99</v>
      </c>
      <c r="G47" s="401">
        <v>121.95</v>
      </c>
    </row>
    <row r="48" spans="2:17" x14ac:dyDescent="0.3">
      <c r="B48">
        <v>5</v>
      </c>
      <c r="C48" t="s">
        <v>856</v>
      </c>
      <c r="D48" s="401">
        <v>74.989999999999995</v>
      </c>
      <c r="E48" s="401">
        <v>90</v>
      </c>
      <c r="F48" s="401">
        <v>99.99</v>
      </c>
      <c r="G48" s="401">
        <v>136.94999999999999</v>
      </c>
    </row>
    <row r="49" spans="1:17" x14ac:dyDescent="0.3">
      <c r="B49">
        <v>6</v>
      </c>
      <c r="C49" t="s">
        <v>982</v>
      </c>
      <c r="D49" s="401">
        <v>84.99</v>
      </c>
      <c r="E49" s="401">
        <v>100</v>
      </c>
      <c r="F49" s="401">
        <v>104.99</v>
      </c>
      <c r="G49" s="401">
        <v>141.94999999999999</v>
      </c>
      <c r="Q49" s="87" t="s">
        <v>156</v>
      </c>
    </row>
    <row r="50" spans="1:17" x14ac:dyDescent="0.3">
      <c r="B50">
        <v>7</v>
      </c>
      <c r="C50" t="s">
        <v>983</v>
      </c>
      <c r="D50" s="401">
        <v>299.95</v>
      </c>
      <c r="E50" s="401">
        <v>299.95</v>
      </c>
      <c r="F50" s="401"/>
      <c r="G50" s="401"/>
      <c r="Q50" s="87" t="b">
        <v>0</v>
      </c>
    </row>
    <row r="51" spans="1:17" x14ac:dyDescent="0.3">
      <c r="C51" t="s">
        <v>66</v>
      </c>
    </row>
    <row r="52" spans="1:17" x14ac:dyDescent="0.3">
      <c r="C52">
        <v>44.99</v>
      </c>
      <c r="D52">
        <v>44.99</v>
      </c>
    </row>
    <row r="54" spans="1:17" x14ac:dyDescent="0.3">
      <c r="E54">
        <v>0</v>
      </c>
      <c r="H54" s="39" t="s">
        <v>96</v>
      </c>
      <c r="I54" s="40" t="s">
        <v>97</v>
      </c>
      <c r="J54" s="41" t="s">
        <v>98</v>
      </c>
      <c r="K54" s="40" t="s">
        <v>104</v>
      </c>
    </row>
    <row r="55" spans="1:17" x14ac:dyDescent="0.3">
      <c r="A55" t="s">
        <v>44</v>
      </c>
      <c r="B55" t="s">
        <v>59</v>
      </c>
      <c r="C55" t="s">
        <v>159</v>
      </c>
      <c r="E55" t="s">
        <v>93</v>
      </c>
      <c r="F55" t="s">
        <v>214</v>
      </c>
      <c r="H55" s="37" t="s">
        <v>220</v>
      </c>
      <c r="I55" s="36">
        <v>21.95</v>
      </c>
      <c r="J55" s="38">
        <v>21.95</v>
      </c>
      <c r="K55" t="b">
        <v>0</v>
      </c>
    </row>
    <row r="56" spans="1:17" x14ac:dyDescent="0.3">
      <c r="A56">
        <v>0</v>
      </c>
      <c r="B56" t="s">
        <v>280</v>
      </c>
      <c r="C56">
        <v>0</v>
      </c>
      <c r="E56">
        <f>VLOOKUP(E54,Table8[],3,FALSE)</f>
        <v>0</v>
      </c>
      <c r="F56">
        <f>IF(E54&gt;4,((E54-4)*(29.99)),0)</f>
        <v>0</v>
      </c>
      <c r="H56" s="37" t="s">
        <v>102</v>
      </c>
      <c r="I56" s="36">
        <v>10</v>
      </c>
      <c r="J56" s="38">
        <v>10</v>
      </c>
      <c r="K56" t="b">
        <v>0</v>
      </c>
    </row>
    <row r="57" spans="1:17" x14ac:dyDescent="0.3">
      <c r="A57">
        <v>1</v>
      </c>
      <c r="B57" t="s">
        <v>84</v>
      </c>
      <c r="C57">
        <v>5</v>
      </c>
      <c r="D57" s="34"/>
      <c r="E57" s="95"/>
      <c r="H57" s="37" t="s">
        <v>101</v>
      </c>
      <c r="I57" s="36">
        <v>10</v>
      </c>
      <c r="J57" s="38">
        <v>10</v>
      </c>
      <c r="K57" t="b">
        <v>0</v>
      </c>
    </row>
    <row r="58" spans="1:17" x14ac:dyDescent="0.3">
      <c r="A58">
        <v>2</v>
      </c>
      <c r="B58" t="s">
        <v>921</v>
      </c>
      <c r="C58">
        <v>14.95</v>
      </c>
      <c r="D58" s="34"/>
      <c r="H58" s="37" t="s">
        <v>125</v>
      </c>
      <c r="I58" s="36">
        <v>10</v>
      </c>
      <c r="J58" s="38">
        <v>10</v>
      </c>
      <c r="K58" t="b">
        <v>0</v>
      </c>
    </row>
    <row r="59" spans="1:17" x14ac:dyDescent="0.3">
      <c r="A59">
        <v>3</v>
      </c>
      <c r="B59" t="s">
        <v>922</v>
      </c>
      <c r="C59">
        <v>24.9</v>
      </c>
      <c r="D59" s="34"/>
      <c r="H59" s="37" t="s">
        <v>36</v>
      </c>
      <c r="I59" s="36">
        <v>15</v>
      </c>
      <c r="J59" s="38">
        <v>15</v>
      </c>
      <c r="K59" t="b">
        <v>0</v>
      </c>
    </row>
    <row r="60" spans="1:17" x14ac:dyDescent="0.3">
      <c r="A60">
        <v>4</v>
      </c>
      <c r="B60" t="s">
        <v>87</v>
      </c>
      <c r="C60">
        <v>34.85</v>
      </c>
      <c r="D60" s="34"/>
      <c r="E60" t="s">
        <v>283</v>
      </c>
      <c r="H60" s="37" t="s">
        <v>221</v>
      </c>
      <c r="I60" s="36">
        <v>4.99</v>
      </c>
      <c r="J60" s="38">
        <v>4.99</v>
      </c>
      <c r="K60" t="b">
        <v>0</v>
      </c>
    </row>
    <row r="61" spans="1:17" x14ac:dyDescent="0.3">
      <c r="A61">
        <v>5</v>
      </c>
      <c r="B61" t="s">
        <v>88</v>
      </c>
      <c r="C61">
        <v>44.8</v>
      </c>
      <c r="D61" s="34"/>
      <c r="E61" t="b">
        <v>0</v>
      </c>
      <c r="H61" s="42" t="s">
        <v>224</v>
      </c>
      <c r="I61" s="43">
        <v>10</v>
      </c>
      <c r="J61" s="44">
        <v>10</v>
      </c>
      <c r="K61" t="b">
        <v>0</v>
      </c>
    </row>
    <row r="62" spans="1:17" x14ac:dyDescent="0.3">
      <c r="A62">
        <v>6</v>
      </c>
      <c r="B62" t="s">
        <v>89</v>
      </c>
      <c r="C62">
        <v>54.75</v>
      </c>
      <c r="D62" s="34"/>
      <c r="E62">
        <f>IF(E61,14,0)</f>
        <v>0</v>
      </c>
      <c r="H62" s="42" t="s">
        <v>61</v>
      </c>
      <c r="I62" s="43">
        <v>10</v>
      </c>
      <c r="J62" s="44">
        <v>10</v>
      </c>
      <c r="K62" t="b">
        <v>1</v>
      </c>
    </row>
    <row r="63" spans="1:17" x14ac:dyDescent="0.3">
      <c r="I63" s="141"/>
      <c r="J63" s="141"/>
    </row>
    <row r="64" spans="1:17" x14ac:dyDescent="0.3">
      <c r="A64" s="676" t="s">
        <v>926</v>
      </c>
      <c r="B64" s="676"/>
      <c r="C64" s="676"/>
      <c r="D64" s="676"/>
      <c r="E64" s="676"/>
      <c r="F64" s="676"/>
      <c r="G64" s="676"/>
      <c r="H64" s="676"/>
      <c r="I64" s="141"/>
      <c r="J64" s="141"/>
    </row>
    <row r="65" spans="1:8" ht="15" thickBot="1" x14ac:dyDescent="0.35">
      <c r="A65" s="2" t="s">
        <v>49</v>
      </c>
      <c r="B65" s="2" t="s">
        <v>76</v>
      </c>
      <c r="C65" s="8" t="s">
        <v>984</v>
      </c>
      <c r="D65" t="s">
        <v>910</v>
      </c>
      <c r="E65" t="s">
        <v>911</v>
      </c>
      <c r="F65" t="s">
        <v>985</v>
      </c>
      <c r="G65" t="s">
        <v>912</v>
      </c>
      <c r="H65" t="s">
        <v>980</v>
      </c>
    </row>
    <row r="66" spans="1:8" s="676" customFormat="1" ht="15" thickTop="1" x14ac:dyDescent="0.3">
      <c r="A66" s="3">
        <v>1</v>
      </c>
      <c r="B66" s="3" t="s">
        <v>857</v>
      </c>
      <c r="C66" s="221" t="s">
        <v>103</v>
      </c>
      <c r="D66" s="221">
        <v>65</v>
      </c>
      <c r="E66" s="221">
        <v>80</v>
      </c>
      <c r="F66" s="221">
        <v>90</v>
      </c>
      <c r="G66" s="221" t="s">
        <v>103</v>
      </c>
      <c r="H66" s="221" t="s">
        <v>103</v>
      </c>
    </row>
    <row r="67" spans="1:8" s="676" customFormat="1" x14ac:dyDescent="0.3">
      <c r="A67" s="4">
        <v>2</v>
      </c>
      <c r="B67" s="3" t="s">
        <v>927</v>
      </c>
      <c r="C67" s="221" t="s">
        <v>103</v>
      </c>
      <c r="D67" s="221" t="s">
        <v>103</v>
      </c>
      <c r="E67" s="221">
        <v>100</v>
      </c>
      <c r="F67" s="221">
        <v>120</v>
      </c>
      <c r="G67" s="221">
        <v>120</v>
      </c>
      <c r="H67" s="221"/>
    </row>
    <row r="68" spans="1:8" x14ac:dyDescent="0.3">
      <c r="A68" s="3">
        <v>3</v>
      </c>
      <c r="B68" s="3" t="s">
        <v>928</v>
      </c>
      <c r="C68" s="221" t="s">
        <v>103</v>
      </c>
      <c r="D68" s="221" t="s">
        <v>103</v>
      </c>
      <c r="E68" s="221" t="s">
        <v>103</v>
      </c>
      <c r="F68" s="221" t="s">
        <v>103</v>
      </c>
      <c r="G68" s="221">
        <v>125</v>
      </c>
      <c r="H68" s="221">
        <v>125</v>
      </c>
    </row>
    <row r="69" spans="1:8" x14ac:dyDescent="0.3">
      <c r="A69" s="5">
        <v>4</v>
      </c>
      <c r="B69" s="4" t="s">
        <v>929</v>
      </c>
      <c r="C69" s="221" t="s">
        <v>103</v>
      </c>
      <c r="D69" s="221" t="s">
        <v>103</v>
      </c>
      <c r="E69" s="221" t="s">
        <v>103</v>
      </c>
      <c r="F69" s="221" t="s">
        <v>103</v>
      </c>
      <c r="G69" s="221" t="s">
        <v>103</v>
      </c>
      <c r="H69" s="221">
        <v>150</v>
      </c>
    </row>
    <row r="70" spans="1:8" x14ac:dyDescent="0.3">
      <c r="A70">
        <v>5</v>
      </c>
      <c r="B70" t="s">
        <v>920</v>
      </c>
      <c r="C70" s="221" t="s">
        <v>103</v>
      </c>
      <c r="D70" s="221">
        <v>65</v>
      </c>
      <c r="E70" s="221">
        <v>80</v>
      </c>
      <c r="F70" s="221">
        <v>90</v>
      </c>
      <c r="G70" s="221" t="s">
        <v>103</v>
      </c>
      <c r="H70" s="221" t="s">
        <v>103</v>
      </c>
    </row>
    <row r="71" spans="1:8" x14ac:dyDescent="0.3">
      <c r="A71" s="912">
        <v>6</v>
      </c>
      <c r="B71" s="912" t="s">
        <v>935</v>
      </c>
      <c r="C71" s="221" t="s">
        <v>103</v>
      </c>
      <c r="D71" s="221" t="s">
        <v>103</v>
      </c>
      <c r="E71" s="221">
        <v>100</v>
      </c>
      <c r="F71" s="221">
        <v>110</v>
      </c>
      <c r="G71" s="221" t="s">
        <v>343</v>
      </c>
      <c r="H71" s="221" t="s">
        <v>343</v>
      </c>
    </row>
    <row r="72" spans="1:8" x14ac:dyDescent="0.3">
      <c r="A72" s="912"/>
      <c r="B72" s="912"/>
      <c r="C72" s="221"/>
      <c r="D72" s="221"/>
      <c r="E72" s="221"/>
      <c r="F72" s="221"/>
      <c r="G72" s="221"/>
      <c r="H72" s="221"/>
    </row>
    <row r="73" spans="1:8" x14ac:dyDescent="0.3">
      <c r="C73" s="221"/>
      <c r="D73" s="221"/>
      <c r="E73" s="221"/>
      <c r="F73" s="221"/>
      <c r="G73" s="221"/>
      <c r="H73" s="221"/>
    </row>
    <row r="74" spans="1:8" x14ac:dyDescent="0.3">
      <c r="C74" s="221"/>
      <c r="D74" s="221"/>
      <c r="E74" s="221"/>
      <c r="F74" s="221"/>
      <c r="G74" s="221"/>
      <c r="H74" s="221"/>
    </row>
    <row r="76" spans="1:8" x14ac:dyDescent="0.3">
      <c r="A76" t="s">
        <v>151</v>
      </c>
    </row>
    <row r="77" spans="1:8" ht="15" thickBot="1" x14ac:dyDescent="0.35">
      <c r="A77" s="2" t="s">
        <v>49</v>
      </c>
      <c r="B77" s="2" t="s">
        <v>77</v>
      </c>
      <c r="C77" s="8" t="s">
        <v>984</v>
      </c>
      <c r="D77" t="s">
        <v>910</v>
      </c>
      <c r="E77" t="s">
        <v>911</v>
      </c>
      <c r="F77" t="s">
        <v>985</v>
      </c>
      <c r="G77" t="s">
        <v>912</v>
      </c>
      <c r="H77" t="s">
        <v>980</v>
      </c>
    </row>
    <row r="78" spans="1:8" ht="15" thickTop="1" x14ac:dyDescent="0.3">
      <c r="A78" s="3">
        <v>1</v>
      </c>
      <c r="B78" s="3" t="s">
        <v>447</v>
      </c>
      <c r="C78" s="221" t="s">
        <v>103</v>
      </c>
      <c r="D78" s="221" t="s">
        <v>103</v>
      </c>
      <c r="E78" s="221" t="s">
        <v>103</v>
      </c>
      <c r="F78" s="221" t="s">
        <v>103</v>
      </c>
      <c r="G78" s="221">
        <v>130</v>
      </c>
      <c r="H78" s="221" t="s">
        <v>103</v>
      </c>
    </row>
    <row r="79" spans="1:8" x14ac:dyDescent="0.3">
      <c r="A79" s="4">
        <v>2</v>
      </c>
      <c r="B79" s="3" t="s">
        <v>925</v>
      </c>
      <c r="C79" s="221">
        <v>120</v>
      </c>
      <c r="D79" s="221">
        <v>120</v>
      </c>
      <c r="E79" s="221">
        <v>140</v>
      </c>
      <c r="F79" s="221" t="s">
        <v>103</v>
      </c>
      <c r="G79" s="221" t="s">
        <v>103</v>
      </c>
      <c r="H79" s="221" t="s">
        <v>103</v>
      </c>
    </row>
    <row r="80" spans="1:8" x14ac:dyDescent="0.3">
      <c r="A80" s="3">
        <v>3</v>
      </c>
      <c r="B80" s="3" t="s">
        <v>171</v>
      </c>
      <c r="C80" s="221" t="s">
        <v>103</v>
      </c>
      <c r="D80" s="221" t="s">
        <v>103</v>
      </c>
      <c r="E80" s="221" t="s">
        <v>103</v>
      </c>
      <c r="F80" s="221" t="s">
        <v>103</v>
      </c>
      <c r="G80" s="221" t="s">
        <v>103</v>
      </c>
      <c r="H80" s="221">
        <v>160</v>
      </c>
    </row>
    <row r="81" spans="1:8" x14ac:dyDescent="0.3">
      <c r="A81" s="5">
        <v>4</v>
      </c>
      <c r="B81" s="4" t="s">
        <v>33</v>
      </c>
      <c r="C81" s="221" t="s">
        <v>103</v>
      </c>
      <c r="D81" s="221" t="s">
        <v>103</v>
      </c>
      <c r="E81" s="221" t="s">
        <v>103</v>
      </c>
      <c r="F81" s="221" t="s">
        <v>103</v>
      </c>
      <c r="G81" s="221" t="s">
        <v>103</v>
      </c>
      <c r="H81" s="221">
        <v>180</v>
      </c>
    </row>
    <row r="85" spans="1:8" x14ac:dyDescent="0.3">
      <c r="A85" t="s">
        <v>152</v>
      </c>
      <c r="B85" t="e">
        <f>(VLOOKUP(R11,Table1531374[#All],R14+2,FALSE))+E56+M62</f>
        <v>#REF!</v>
      </c>
    </row>
    <row r="86" spans="1:8" ht="15" thickBot="1" x14ac:dyDescent="0.35">
      <c r="A86" s="2" t="s">
        <v>49</v>
      </c>
      <c r="B86" s="2" t="s">
        <v>76</v>
      </c>
      <c r="C86" t="s">
        <v>172</v>
      </c>
      <c r="D86" t="s">
        <v>161</v>
      </c>
      <c r="E86" t="s">
        <v>173</v>
      </c>
      <c r="F86" t="s">
        <v>212</v>
      </c>
    </row>
    <row r="87" spans="1:8" ht="15" thickTop="1" x14ac:dyDescent="0.3">
      <c r="A87" s="3">
        <v>1</v>
      </c>
      <c r="B87" s="3" t="s">
        <v>219</v>
      </c>
      <c r="C87">
        <v>49.99</v>
      </c>
      <c r="D87">
        <v>49.99</v>
      </c>
      <c r="E87" t="s">
        <v>343</v>
      </c>
    </row>
    <row r="88" spans="1:8" x14ac:dyDescent="0.3">
      <c r="A88" s="4">
        <v>2</v>
      </c>
      <c r="B88" s="3" t="s">
        <v>115</v>
      </c>
      <c r="C88">
        <v>99.99</v>
      </c>
      <c r="D88">
        <v>99.99</v>
      </c>
      <c r="E88" t="s">
        <v>343</v>
      </c>
    </row>
    <row r="89" spans="1:8" x14ac:dyDescent="0.3">
      <c r="A89" s="3">
        <v>3</v>
      </c>
      <c r="B89" s="3" t="s">
        <v>171</v>
      </c>
      <c r="C89">
        <v>119.99</v>
      </c>
      <c r="D89">
        <v>119.99</v>
      </c>
      <c r="E89" t="s">
        <v>343</v>
      </c>
    </row>
    <row r="90" spans="1:8" x14ac:dyDescent="0.3">
      <c r="A90" s="5"/>
      <c r="B90" s="4" t="s">
        <v>33</v>
      </c>
      <c r="C90">
        <v>159.99</v>
      </c>
      <c r="D90">
        <v>159.99</v>
      </c>
      <c r="E90" t="s">
        <v>343</v>
      </c>
    </row>
    <row r="92" spans="1:8" x14ac:dyDescent="0.3">
      <c r="A92" t="s">
        <v>155</v>
      </c>
      <c r="B92" t="e">
        <f>(VLOOKUP(R11,Table153134178[#All],R14+2,FALSE))+E56+N62</f>
        <v>#REF!</v>
      </c>
    </row>
    <row r="93" spans="1:8" ht="15" thickBot="1" x14ac:dyDescent="0.35">
      <c r="A93" s="2" t="s">
        <v>49</v>
      </c>
      <c r="B93" s="2" t="s">
        <v>76</v>
      </c>
      <c r="C93" t="s">
        <v>172</v>
      </c>
      <c r="D93" t="s">
        <v>161</v>
      </c>
      <c r="E93" t="s">
        <v>173</v>
      </c>
      <c r="F93" t="s">
        <v>160</v>
      </c>
    </row>
    <row r="94" spans="1:8" ht="15" thickTop="1" x14ac:dyDescent="0.3">
      <c r="A94" s="3">
        <v>1</v>
      </c>
      <c r="B94" s="3" t="s">
        <v>219</v>
      </c>
      <c r="C94">
        <v>105.95</v>
      </c>
      <c r="D94">
        <v>105.95</v>
      </c>
      <c r="E94" t="s">
        <v>343</v>
      </c>
    </row>
    <row r="95" spans="1:8" x14ac:dyDescent="0.3">
      <c r="A95" s="4">
        <v>2</v>
      </c>
      <c r="B95" s="3" t="s">
        <v>115</v>
      </c>
      <c r="C95">
        <v>135.94999999999999</v>
      </c>
      <c r="D95">
        <v>135.94999999999999</v>
      </c>
      <c r="E95" t="s">
        <v>343</v>
      </c>
    </row>
    <row r="96" spans="1:8" x14ac:dyDescent="0.3">
      <c r="A96" s="3">
        <v>3</v>
      </c>
      <c r="B96" s="3" t="s">
        <v>171</v>
      </c>
      <c r="C96">
        <v>155.94999999999999</v>
      </c>
      <c r="D96">
        <v>155.94999999999999</v>
      </c>
      <c r="E96" t="s">
        <v>343</v>
      </c>
    </row>
    <row r="97" spans="1:6" x14ac:dyDescent="0.3">
      <c r="A97" s="5"/>
      <c r="B97" s="4" t="s">
        <v>33</v>
      </c>
      <c r="C97">
        <v>195.95</v>
      </c>
      <c r="D97">
        <v>195.95</v>
      </c>
      <c r="E97" t="s">
        <v>343</v>
      </c>
    </row>
    <row r="100" spans="1:6" x14ac:dyDescent="0.3">
      <c r="A100" t="s">
        <v>153</v>
      </c>
      <c r="B100" t="e">
        <f>VLOOKUP(R11,Table151781975[#All],R14+2,FALSE)+E56+M62</f>
        <v>#REF!</v>
      </c>
    </row>
    <row r="101" spans="1:6" ht="15" thickBot="1" x14ac:dyDescent="0.35">
      <c r="A101" s="2" t="s">
        <v>49</v>
      </c>
      <c r="B101" s="2" t="s">
        <v>77</v>
      </c>
      <c r="C101" t="s">
        <v>172</v>
      </c>
      <c r="D101" t="s">
        <v>161</v>
      </c>
      <c r="E101" t="s">
        <v>173</v>
      </c>
      <c r="F101" t="s">
        <v>44</v>
      </c>
    </row>
    <row r="102" spans="1:6" ht="15" thickTop="1" x14ac:dyDescent="0.3">
      <c r="A102" s="3">
        <v>1</v>
      </c>
      <c r="B102" s="3" t="s">
        <v>813</v>
      </c>
      <c r="C102" t="s">
        <v>225</v>
      </c>
      <c r="D102" t="s">
        <v>225</v>
      </c>
      <c r="E102" t="s">
        <v>225</v>
      </c>
    </row>
    <row r="103" spans="1:6" x14ac:dyDescent="0.3">
      <c r="A103" s="4">
        <v>2</v>
      </c>
      <c r="B103" s="3" t="s">
        <v>115</v>
      </c>
      <c r="D103">
        <v>119.99</v>
      </c>
      <c r="E103">
        <v>119.99</v>
      </c>
    </row>
    <row r="104" spans="1:6" x14ac:dyDescent="0.3">
      <c r="A104" s="3">
        <v>3</v>
      </c>
      <c r="B104" s="3" t="s">
        <v>171</v>
      </c>
      <c r="D104">
        <v>119.99</v>
      </c>
      <c r="E104">
        <v>124.99</v>
      </c>
    </row>
    <row r="105" spans="1:6" x14ac:dyDescent="0.3">
      <c r="A105" s="5">
        <v>4</v>
      </c>
      <c r="B105" s="4" t="s">
        <v>33</v>
      </c>
      <c r="D105">
        <v>129.99</v>
      </c>
      <c r="E105">
        <v>134.99</v>
      </c>
    </row>
    <row r="107" spans="1:6" x14ac:dyDescent="0.3">
      <c r="A107" t="s">
        <v>154</v>
      </c>
      <c r="B107" t="e">
        <f>VLOOKUP(R11,Table151784279[#All],R14+2,FALSE)+E56+N62</f>
        <v>#REF!</v>
      </c>
    </row>
    <row r="108" spans="1:6" ht="15" thickBot="1" x14ac:dyDescent="0.35">
      <c r="A108" s="2" t="s">
        <v>49</v>
      </c>
      <c r="B108" s="2" t="s">
        <v>77</v>
      </c>
      <c r="C108" t="s">
        <v>172</v>
      </c>
      <c r="D108" t="s">
        <v>210</v>
      </c>
      <c r="E108" t="s">
        <v>173</v>
      </c>
      <c r="F108" t="s">
        <v>44</v>
      </c>
    </row>
    <row r="109" spans="1:6" ht="15" thickTop="1" x14ac:dyDescent="0.3">
      <c r="A109" s="3">
        <v>1</v>
      </c>
      <c r="B109" s="3" t="s">
        <v>219</v>
      </c>
      <c r="C109" t="s">
        <v>225</v>
      </c>
      <c r="D109" t="s">
        <v>225</v>
      </c>
      <c r="E109" t="s">
        <v>225</v>
      </c>
    </row>
    <row r="110" spans="1:6" x14ac:dyDescent="0.3">
      <c r="A110" s="4">
        <v>2</v>
      </c>
      <c r="B110" s="3" t="s">
        <v>115</v>
      </c>
      <c r="D110">
        <v>155.94999999999999</v>
      </c>
    </row>
    <row r="111" spans="1:6" x14ac:dyDescent="0.3">
      <c r="A111" s="3">
        <v>3</v>
      </c>
      <c r="B111" s="3" t="s">
        <v>171</v>
      </c>
      <c r="D111">
        <v>159.94999999999999</v>
      </c>
      <c r="E111">
        <v>164.95</v>
      </c>
    </row>
    <row r="112" spans="1:6" x14ac:dyDescent="0.3">
      <c r="A112" s="5">
        <v>4</v>
      </c>
      <c r="B112" s="4" t="s">
        <v>33</v>
      </c>
      <c r="D112">
        <v>169.95</v>
      </c>
      <c r="E112">
        <v>174.95</v>
      </c>
    </row>
    <row r="114" spans="1:6" x14ac:dyDescent="0.3">
      <c r="A114" t="s">
        <v>146</v>
      </c>
      <c r="D114" t="s">
        <v>147</v>
      </c>
    </row>
    <row r="115" spans="1:6" x14ac:dyDescent="0.3">
      <c r="A115" t="s">
        <v>144</v>
      </c>
      <c r="B115" t="s">
        <v>145</v>
      </c>
      <c r="D115" t="s">
        <v>144</v>
      </c>
      <c r="E115" t="s">
        <v>145</v>
      </c>
    </row>
    <row r="116" spans="1:6" x14ac:dyDescent="0.3">
      <c r="A116" t="e">
        <f>VLOOKUP(R11,A117:E122,3,FALSE)+E56+M62</f>
        <v>#VALUE!</v>
      </c>
      <c r="B116" t="e">
        <f>VLOOKUP(R11,A117:E122,3,FALSE)+E56+N62</f>
        <v>#VALUE!</v>
      </c>
      <c r="D116">
        <f>VLOOKUP(R11,Verizon_TV102676[#All],4,FALSE)+E56+M62</f>
        <v>0</v>
      </c>
      <c r="E116">
        <f>VLOOKUP(R11,Verizon_TV102676[#All],5,FALSE)+E56+N62</f>
        <v>0</v>
      </c>
    </row>
    <row r="117" spans="1:6" x14ac:dyDescent="0.3">
      <c r="A117" t="s">
        <v>49</v>
      </c>
      <c r="B117" t="s">
        <v>0</v>
      </c>
      <c r="C117" t="s">
        <v>68</v>
      </c>
      <c r="D117" t="s">
        <v>70</v>
      </c>
      <c r="E117" t="s">
        <v>134</v>
      </c>
    </row>
    <row r="118" spans="1:6" x14ac:dyDescent="0.3">
      <c r="A118">
        <v>1</v>
      </c>
      <c r="B118" s="3" t="s">
        <v>219</v>
      </c>
      <c r="C118" t="s">
        <v>225</v>
      </c>
    </row>
    <row r="119" spans="1:6" x14ac:dyDescent="0.3">
      <c r="A119">
        <v>2</v>
      </c>
      <c r="B119" s="3" t="s">
        <v>115</v>
      </c>
      <c r="C119">
        <v>59.99</v>
      </c>
    </row>
    <row r="120" spans="1:6" x14ac:dyDescent="0.3">
      <c r="A120">
        <v>3</v>
      </c>
      <c r="B120" s="3" t="s">
        <v>171</v>
      </c>
      <c r="C120">
        <v>69.989999999999995</v>
      </c>
    </row>
    <row r="121" spans="1:6" x14ac:dyDescent="0.3">
      <c r="A121">
        <v>4</v>
      </c>
      <c r="B121" s="4" t="s">
        <v>33</v>
      </c>
      <c r="C121">
        <v>114.99</v>
      </c>
    </row>
    <row r="123" spans="1:6" x14ac:dyDescent="0.3">
      <c r="A123" t="s">
        <v>148</v>
      </c>
      <c r="E123" t="s">
        <v>149</v>
      </c>
    </row>
    <row r="124" spans="1:6" x14ac:dyDescent="0.3">
      <c r="A124" t="s">
        <v>144</v>
      </c>
      <c r="B124" t="s">
        <v>145</v>
      </c>
      <c r="E124" t="s">
        <v>144</v>
      </c>
      <c r="F124" t="s">
        <v>145</v>
      </c>
    </row>
    <row r="125" spans="1:6" x14ac:dyDescent="0.3">
      <c r="A125" t="e">
        <f>VLOOKUP(R14,Verizon_Internet123177[#All],3,FALSE)+E56</f>
        <v>#N/A</v>
      </c>
      <c r="B125" t="e">
        <f>VLOOKUP(R14,Verizon_Internet123177[#All],4,FALSE)+E56</f>
        <v>#N/A</v>
      </c>
      <c r="E125" t="e">
        <f>VLOOKUP(R14,Verizon_Internet123177[#All],5,FALSE)+E56</f>
        <v>#N/A</v>
      </c>
      <c r="F125" t="e">
        <f>VLOOKUP(R14,Verizon_Internet123177[#All],6,FALSE)+E56</f>
        <v>#N/A</v>
      </c>
    </row>
    <row r="126" spans="1:6" x14ac:dyDescent="0.3">
      <c r="A126" t="s">
        <v>49</v>
      </c>
      <c r="B126" t="s">
        <v>0</v>
      </c>
      <c r="C126" t="s">
        <v>39</v>
      </c>
      <c r="D126" t="s">
        <v>38</v>
      </c>
      <c r="E126" t="s">
        <v>70</v>
      </c>
      <c r="F126" t="s">
        <v>134</v>
      </c>
    </row>
    <row r="127" spans="1:6" x14ac:dyDescent="0.3">
      <c r="A127">
        <v>1</v>
      </c>
      <c r="B127" t="s">
        <v>594</v>
      </c>
      <c r="C127">
        <v>24.99</v>
      </c>
      <c r="D127">
        <v>64.95</v>
      </c>
      <c r="E127">
        <v>59.99</v>
      </c>
      <c r="F127">
        <v>74.95</v>
      </c>
    </row>
    <row r="128" spans="1:6" x14ac:dyDescent="0.3">
      <c r="A128">
        <v>2</v>
      </c>
      <c r="B128" t="s">
        <v>595</v>
      </c>
      <c r="C128">
        <v>59.99</v>
      </c>
      <c r="D128">
        <v>74.95</v>
      </c>
      <c r="E128">
        <v>69.989999999999995</v>
      </c>
      <c r="F128">
        <v>84.95</v>
      </c>
    </row>
    <row r="129" spans="1:6" x14ac:dyDescent="0.3">
      <c r="A129">
        <v>3</v>
      </c>
      <c r="B129" t="s">
        <v>596</v>
      </c>
      <c r="C129">
        <v>69.989999999999995</v>
      </c>
      <c r="D129">
        <v>84.95</v>
      </c>
      <c r="E129" t="s">
        <v>225</v>
      </c>
      <c r="F129" t="s">
        <v>225</v>
      </c>
    </row>
    <row r="130" spans="1:6" x14ac:dyDescent="0.3">
      <c r="A130">
        <v>4</v>
      </c>
    </row>
    <row r="131" spans="1:6" x14ac:dyDescent="0.3">
      <c r="A131">
        <v>5</v>
      </c>
    </row>
  </sheetData>
  <mergeCells count="2">
    <mergeCell ref="B33:D33"/>
    <mergeCell ref="B42:E42"/>
  </mergeCells>
  <phoneticPr fontId="64" type="noConversion"/>
  <pageMargins left="0.7" right="0.7" top="0.75" bottom="0.75" header="0.3" footer="0.3"/>
  <pageSetup orientation="portrait"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1:U73"/>
  <sheetViews>
    <sheetView topLeftCell="A40" zoomScaleNormal="100" workbookViewId="0">
      <selection activeCell="E46" sqref="E46"/>
    </sheetView>
  </sheetViews>
  <sheetFormatPr defaultRowHeight="14.4" x14ac:dyDescent="0.3"/>
  <cols>
    <col min="1" max="6" width="18.44140625" customWidth="1"/>
    <col min="7" max="7" width="19.5546875" customWidth="1"/>
    <col min="8" max="17" width="18.44140625" customWidth="1"/>
    <col min="18" max="18" width="15.88671875" customWidth="1"/>
    <col min="20" max="20" width="13.6640625" customWidth="1"/>
  </cols>
  <sheetData>
    <row r="1" spans="1:21" x14ac:dyDescent="0.3">
      <c r="A1" t="s">
        <v>132</v>
      </c>
    </row>
    <row r="3" spans="1:21" x14ac:dyDescent="0.3">
      <c r="B3" t="s">
        <v>72</v>
      </c>
      <c r="L3" t="s">
        <v>44</v>
      </c>
      <c r="M3" t="s">
        <v>59</v>
      </c>
      <c r="N3" t="s">
        <v>51</v>
      </c>
      <c r="O3" t="s">
        <v>5</v>
      </c>
      <c r="Q3" t="s">
        <v>75</v>
      </c>
      <c r="T3" t="s">
        <v>4</v>
      </c>
      <c r="U3" t="s">
        <v>38</v>
      </c>
    </row>
    <row r="4" spans="1:21" x14ac:dyDescent="0.3">
      <c r="B4">
        <f>VLOOKUP(Q7,B5:J12,Q10+2,FALSE)+E49+N41</f>
        <v>95</v>
      </c>
      <c r="C4">
        <f>(VLOOKUP(Q7,A59:E60,Q10+2,FALSE))+E49+N41</f>
        <v>119.99</v>
      </c>
      <c r="L4">
        <v>1</v>
      </c>
      <c r="M4" t="s">
        <v>25</v>
      </c>
      <c r="N4">
        <f>B23</f>
        <v>78</v>
      </c>
      <c r="O4">
        <f>C23</f>
        <v>88</v>
      </c>
      <c r="Q4">
        <v>4</v>
      </c>
      <c r="T4">
        <f>VLOOKUP(Q4,Table193744[#All],3,FALSE)</f>
        <v>95</v>
      </c>
      <c r="U4" s="689">
        <f>U5</f>
        <v>119.99</v>
      </c>
    </row>
    <row r="5" spans="1:21" ht="15" thickBot="1" x14ac:dyDescent="0.35">
      <c r="B5" s="2" t="s">
        <v>49</v>
      </c>
      <c r="C5" s="2" t="s">
        <v>72</v>
      </c>
      <c r="D5" t="s">
        <v>649</v>
      </c>
      <c r="E5" t="s">
        <v>780</v>
      </c>
      <c r="F5" t="s">
        <v>578</v>
      </c>
      <c r="L5">
        <v>2</v>
      </c>
      <c r="M5" t="s">
        <v>20</v>
      </c>
      <c r="N5">
        <f>B33</f>
        <v>35</v>
      </c>
      <c r="O5">
        <f>C33</f>
        <v>45</v>
      </c>
      <c r="S5" t="b">
        <f>OR(Q4=2,Q4=6)</f>
        <v>0</v>
      </c>
      <c r="U5">
        <f>VLOOKUP(Q4,Table193744[#All],4,FALSE)</f>
        <v>119.99</v>
      </c>
    </row>
    <row r="6" spans="1:21" ht="15" thickTop="1" x14ac:dyDescent="0.3">
      <c r="B6" s="3">
        <v>1</v>
      </c>
      <c r="C6" s="3" t="s">
        <v>779</v>
      </c>
      <c r="D6">
        <v>75</v>
      </c>
      <c r="E6">
        <v>85</v>
      </c>
      <c r="F6">
        <v>95</v>
      </c>
      <c r="L6">
        <v>3</v>
      </c>
      <c r="M6" t="s">
        <v>24</v>
      </c>
      <c r="N6">
        <f>C44</f>
        <v>29.95</v>
      </c>
      <c r="O6">
        <f>D44</f>
        <v>39.950000000000003</v>
      </c>
      <c r="Q6" t="s">
        <v>8</v>
      </c>
      <c r="T6" t="s">
        <v>64</v>
      </c>
    </row>
    <row r="7" spans="1:21" x14ac:dyDescent="0.3">
      <c r="B7" s="4">
        <v>2</v>
      </c>
      <c r="C7" s="3" t="s">
        <v>944</v>
      </c>
      <c r="D7">
        <v>90</v>
      </c>
      <c r="E7">
        <v>100</v>
      </c>
      <c r="F7">
        <v>110</v>
      </c>
      <c r="L7">
        <v>4</v>
      </c>
      <c r="M7" t="s">
        <v>21</v>
      </c>
      <c r="N7">
        <f>B4</f>
        <v>95</v>
      </c>
      <c r="O7">
        <f>C4</f>
        <v>119.99</v>
      </c>
      <c r="Q7">
        <v>1</v>
      </c>
      <c r="T7">
        <f>Q13+T4</f>
        <v>154</v>
      </c>
    </row>
    <row r="8" spans="1:21" x14ac:dyDescent="0.3">
      <c r="B8" s="3">
        <v>3</v>
      </c>
      <c r="C8" s="4" t="s">
        <v>945</v>
      </c>
      <c r="D8">
        <v>110</v>
      </c>
      <c r="E8">
        <v>120</v>
      </c>
      <c r="F8">
        <v>130</v>
      </c>
      <c r="L8">
        <v>5</v>
      </c>
      <c r="M8" t="s">
        <v>26</v>
      </c>
      <c r="N8">
        <f>E23</f>
        <v>88</v>
      </c>
      <c r="O8">
        <f>F23</f>
        <v>98</v>
      </c>
    </row>
    <row r="9" spans="1:21" x14ac:dyDescent="0.3">
      <c r="B9" s="5"/>
      <c r="C9" s="3"/>
      <c r="L9">
        <v>6</v>
      </c>
      <c r="M9" t="s">
        <v>73</v>
      </c>
      <c r="N9">
        <f>F34</f>
        <v>44.99</v>
      </c>
      <c r="O9">
        <f>G34</f>
        <v>54.99</v>
      </c>
      <c r="Q9" t="s">
        <v>12</v>
      </c>
    </row>
    <row r="10" spans="1:21" x14ac:dyDescent="0.3">
      <c r="C10" s="5"/>
      <c r="L10">
        <v>7</v>
      </c>
      <c r="M10" t="s">
        <v>71</v>
      </c>
      <c r="N10">
        <f>B14</f>
        <v>105</v>
      </c>
      <c r="O10">
        <f>C14</f>
        <v>119.99</v>
      </c>
      <c r="Q10">
        <v>1</v>
      </c>
    </row>
    <row r="12" spans="1:21" x14ac:dyDescent="0.3">
      <c r="Q12" t="s">
        <v>165</v>
      </c>
    </row>
    <row r="13" spans="1:21" x14ac:dyDescent="0.3">
      <c r="B13" t="s">
        <v>78</v>
      </c>
      <c r="C13" t="s">
        <v>79</v>
      </c>
      <c r="Q13">
        <f>59</f>
        <v>59</v>
      </c>
    </row>
    <row r="14" spans="1:21" x14ac:dyDescent="0.3">
      <c r="B14">
        <f>VLOOKUP(Q7,B15:F16,Q10+2,FALSE)+E49+N41</f>
        <v>105</v>
      </c>
      <c r="C14">
        <f>VLOOKUP(Q7,Table1517364348[#All],Q10+2,FALSE)+E49+N41</f>
        <v>119.99</v>
      </c>
    </row>
    <row r="15" spans="1:21" ht="15" thickBot="1" x14ac:dyDescent="0.35">
      <c r="B15" s="2" t="s">
        <v>49</v>
      </c>
      <c r="C15" s="2" t="s">
        <v>77</v>
      </c>
      <c r="D15" t="s">
        <v>649</v>
      </c>
      <c r="E15" t="s">
        <v>780</v>
      </c>
      <c r="F15" t="s">
        <v>578</v>
      </c>
    </row>
    <row r="16" spans="1:21" ht="15" thickTop="1" x14ac:dyDescent="0.3">
      <c r="B16" s="3">
        <v>1</v>
      </c>
      <c r="C16" s="3" t="s">
        <v>779</v>
      </c>
      <c r="D16">
        <v>85</v>
      </c>
      <c r="E16">
        <v>95</v>
      </c>
      <c r="F16">
        <v>105</v>
      </c>
    </row>
    <row r="17" spans="2:19" x14ac:dyDescent="0.3">
      <c r="B17" s="4">
        <v>2</v>
      </c>
      <c r="C17" s="3" t="s">
        <v>944</v>
      </c>
      <c r="D17">
        <v>100</v>
      </c>
      <c r="E17">
        <v>110</v>
      </c>
      <c r="F17">
        <v>120</v>
      </c>
    </row>
    <row r="18" spans="2:19" x14ac:dyDescent="0.3">
      <c r="B18" s="3">
        <v>3</v>
      </c>
      <c r="C18" s="4" t="s">
        <v>945</v>
      </c>
      <c r="D18">
        <v>120</v>
      </c>
      <c r="E18">
        <v>130</v>
      </c>
      <c r="F18">
        <v>140</v>
      </c>
    </row>
    <row r="19" spans="2:19" x14ac:dyDescent="0.3">
      <c r="B19" s="5"/>
      <c r="C19" s="3"/>
    </row>
    <row r="20" spans="2:19" x14ac:dyDescent="0.3">
      <c r="C20" s="5"/>
    </row>
    <row r="22" spans="2:19" x14ac:dyDescent="0.3">
      <c r="B22" t="s">
        <v>62</v>
      </c>
      <c r="E22" t="s">
        <v>26</v>
      </c>
    </row>
    <row r="23" spans="2:19" x14ac:dyDescent="0.3">
      <c r="B23">
        <f>VLOOKUP(Q7,Verizon_TV3310[#All],3,FALSE)+E49+P55</f>
        <v>78</v>
      </c>
      <c r="C23">
        <f>B23+10</f>
        <v>88</v>
      </c>
      <c r="E23">
        <f>VLOOKUP(Q7,Verizon_TV3310[#All],4,FALSE)+E49+P58</f>
        <v>88</v>
      </c>
      <c r="F23">
        <f>VLOOKUP(Q7,Verizon_TV3310[#All],5,FALSE)+E49+P58</f>
        <v>98</v>
      </c>
    </row>
    <row r="24" spans="2:19" x14ac:dyDescent="0.3">
      <c r="B24" s="1165" t="s">
        <v>62</v>
      </c>
      <c r="C24" s="1165"/>
      <c r="D24" s="1165"/>
      <c r="E24" t="s">
        <v>24</v>
      </c>
    </row>
    <row r="25" spans="2:19" x14ac:dyDescent="0.3">
      <c r="B25" t="s">
        <v>49</v>
      </c>
      <c r="C25" t="s">
        <v>0</v>
      </c>
      <c r="D25" t="s">
        <v>68</v>
      </c>
      <c r="E25" t="s">
        <v>70</v>
      </c>
      <c r="F25" t="s">
        <v>134</v>
      </c>
    </row>
    <row r="26" spans="2:19" x14ac:dyDescent="0.3">
      <c r="B26">
        <v>1</v>
      </c>
      <c r="C26" s="3" t="s">
        <v>779</v>
      </c>
      <c r="D26">
        <v>58</v>
      </c>
      <c r="E26">
        <v>68</v>
      </c>
      <c r="F26">
        <v>78</v>
      </c>
    </row>
    <row r="27" spans="2:19" x14ac:dyDescent="0.3">
      <c r="B27">
        <v>2</v>
      </c>
      <c r="C27" s="3" t="s">
        <v>942</v>
      </c>
      <c r="D27">
        <v>99.99</v>
      </c>
      <c r="E27">
        <v>109.99</v>
      </c>
      <c r="F27">
        <v>119.99</v>
      </c>
      <c r="R27" s="1165"/>
      <c r="S27" s="1165"/>
    </row>
    <row r="28" spans="2:19" x14ac:dyDescent="0.3">
      <c r="B28">
        <v>3</v>
      </c>
      <c r="C28" s="4" t="s">
        <v>943</v>
      </c>
      <c r="D28">
        <v>124.99</v>
      </c>
      <c r="E28">
        <v>134.99</v>
      </c>
      <c r="F28">
        <v>144.99</v>
      </c>
    </row>
    <row r="29" spans="2:19" x14ac:dyDescent="0.3">
      <c r="B29">
        <v>4</v>
      </c>
      <c r="C29" s="3" t="s">
        <v>280</v>
      </c>
    </row>
    <row r="30" spans="2:19" x14ac:dyDescent="0.3">
      <c r="C30" s="5"/>
    </row>
    <row r="31" spans="2:19" x14ac:dyDescent="0.3">
      <c r="N31" s="27"/>
    </row>
    <row r="32" spans="2:19" x14ac:dyDescent="0.3">
      <c r="B32" t="s">
        <v>81</v>
      </c>
      <c r="C32" t="s">
        <v>79</v>
      </c>
      <c r="N32" s="27"/>
    </row>
    <row r="33" spans="1:16" x14ac:dyDescent="0.3">
      <c r="B33">
        <f>VLOOKUP(Q10,Verizon_Internet3411[#All],3,FALSE)+P58</f>
        <v>35</v>
      </c>
      <c r="C33">
        <f>VLOOKUP(Q10,Verizon_Internet3411[#All],4,FALSE)+P58</f>
        <v>45</v>
      </c>
      <c r="F33" t="s">
        <v>80</v>
      </c>
      <c r="G33" t="s">
        <v>79</v>
      </c>
      <c r="N33" s="27"/>
    </row>
    <row r="34" spans="1:16" x14ac:dyDescent="0.3">
      <c r="B34" s="1165" t="s">
        <v>65</v>
      </c>
      <c r="C34" s="1165"/>
      <c r="D34" s="1165"/>
      <c r="E34" s="1165"/>
      <c r="F34">
        <f>VLOOKUP(Q10,Verizon_Internet3411[#All],5,FALSE)+P55</f>
        <v>44.99</v>
      </c>
      <c r="G34">
        <f>VLOOKUP(Q10,Verizon_Internet3411[#All],6,FALSE)</f>
        <v>54.99</v>
      </c>
      <c r="N34" s="27"/>
    </row>
    <row r="35" spans="1:16" x14ac:dyDescent="0.3">
      <c r="B35" t="s">
        <v>49</v>
      </c>
      <c r="C35" t="s">
        <v>0</v>
      </c>
      <c r="D35" t="s">
        <v>39</v>
      </c>
      <c r="E35" t="s">
        <v>38</v>
      </c>
      <c r="F35" t="s">
        <v>70</v>
      </c>
      <c r="G35" t="s">
        <v>133</v>
      </c>
    </row>
    <row r="36" spans="1:16" x14ac:dyDescent="0.3">
      <c r="B36">
        <v>1</v>
      </c>
      <c r="C36" t="s">
        <v>590</v>
      </c>
      <c r="D36">
        <v>35</v>
      </c>
      <c r="E36">
        <v>45</v>
      </c>
      <c r="F36">
        <v>44.99</v>
      </c>
      <c r="G36">
        <v>54.99</v>
      </c>
    </row>
    <row r="37" spans="1:16" x14ac:dyDescent="0.3">
      <c r="B37">
        <v>2</v>
      </c>
      <c r="C37" t="s">
        <v>584</v>
      </c>
      <c r="D37">
        <v>45</v>
      </c>
      <c r="E37">
        <v>55</v>
      </c>
      <c r="F37">
        <v>64.989999999999995</v>
      </c>
      <c r="G37">
        <v>74.989999999999995</v>
      </c>
    </row>
    <row r="38" spans="1:16" x14ac:dyDescent="0.3">
      <c r="B38">
        <v>3</v>
      </c>
      <c r="C38" t="s">
        <v>585</v>
      </c>
      <c r="D38">
        <v>55</v>
      </c>
      <c r="E38">
        <v>65</v>
      </c>
      <c r="F38">
        <v>94.99</v>
      </c>
      <c r="G38">
        <v>104.99</v>
      </c>
    </row>
    <row r="39" spans="1:16" x14ac:dyDescent="0.3">
      <c r="B39">
        <v>4</v>
      </c>
      <c r="C39" t="s">
        <v>280</v>
      </c>
    </row>
    <row r="43" spans="1:16" x14ac:dyDescent="0.3">
      <c r="C43" t="s">
        <v>66</v>
      </c>
    </row>
    <row r="44" spans="1:16" x14ac:dyDescent="0.3">
      <c r="C44">
        <v>29.95</v>
      </c>
      <c r="D44">
        <v>39.950000000000003</v>
      </c>
    </row>
    <row r="45" spans="1:16" x14ac:dyDescent="0.3">
      <c r="F45">
        <f>E47+H46</f>
        <v>5</v>
      </c>
    </row>
    <row r="46" spans="1:16" x14ac:dyDescent="0.3">
      <c r="B46" s="26" t="s">
        <v>82</v>
      </c>
      <c r="C46" s="26"/>
      <c r="G46" s="26" t="s">
        <v>82</v>
      </c>
      <c r="H46" s="26">
        <v>4</v>
      </c>
    </row>
    <row r="47" spans="1:16" x14ac:dyDescent="0.3">
      <c r="A47" s="35" t="s">
        <v>94</v>
      </c>
      <c r="B47" s="28" t="s">
        <v>162</v>
      </c>
      <c r="C47" s="29" t="s">
        <v>68</v>
      </c>
      <c r="D47" s="35" t="s">
        <v>103</v>
      </c>
      <c r="E47">
        <v>1</v>
      </c>
      <c r="F47" s="35" t="s">
        <v>94</v>
      </c>
      <c r="G47" s="28" t="s">
        <v>781</v>
      </c>
      <c r="H47" s="29" t="s">
        <v>68</v>
      </c>
      <c r="K47" s="39" t="s">
        <v>96</v>
      </c>
      <c r="L47" s="40" t="s">
        <v>97</v>
      </c>
      <c r="M47" s="41" t="s">
        <v>103</v>
      </c>
      <c r="N47" s="40" t="s">
        <v>104</v>
      </c>
      <c r="P47" t="s">
        <v>105</v>
      </c>
    </row>
    <row r="48" spans="1:16" x14ac:dyDescent="0.3">
      <c r="A48" s="34">
        <v>1</v>
      </c>
      <c r="B48" s="30">
        <v>0</v>
      </c>
      <c r="C48" s="31">
        <v>0</v>
      </c>
      <c r="D48" s="34">
        <v>0</v>
      </c>
      <c r="E48" t="s">
        <v>167</v>
      </c>
      <c r="F48" s="34">
        <v>1</v>
      </c>
      <c r="G48" s="30">
        <v>0</v>
      </c>
      <c r="H48" s="31">
        <v>0</v>
      </c>
      <c r="K48" s="37" t="s">
        <v>36</v>
      </c>
      <c r="L48" s="36">
        <v>14.99</v>
      </c>
      <c r="M48" s="38"/>
      <c r="N48" t="b">
        <v>0</v>
      </c>
      <c r="P48">
        <f>IF(Table83946[[#This Row],[Checked?]]=TRUE,Table83946[[#This Row],[months 1-12]],0)</f>
        <v>0</v>
      </c>
    </row>
    <row r="49" spans="1:16" x14ac:dyDescent="0.3">
      <c r="A49" s="34">
        <v>2</v>
      </c>
      <c r="B49" s="30">
        <v>1</v>
      </c>
      <c r="C49" s="31">
        <v>17</v>
      </c>
      <c r="D49" s="34">
        <v>0</v>
      </c>
      <c r="E49">
        <f>E51+E53</f>
        <v>20</v>
      </c>
      <c r="F49" s="34">
        <v>2</v>
      </c>
      <c r="G49" s="30">
        <v>1</v>
      </c>
      <c r="H49" s="31">
        <v>0</v>
      </c>
      <c r="K49" s="37" t="s">
        <v>102</v>
      </c>
      <c r="L49" s="36">
        <v>9.99</v>
      </c>
      <c r="M49" s="38"/>
      <c r="N49" t="b">
        <v>0</v>
      </c>
      <c r="P49">
        <f>IF(Table83946[[#This Row],[Checked?]]=TRUE,Table83946[[#This Row],[months 1-12]],0)</f>
        <v>0</v>
      </c>
    </row>
    <row r="50" spans="1:16" x14ac:dyDescent="0.3">
      <c r="A50" s="34">
        <v>3</v>
      </c>
      <c r="B50" s="30">
        <v>2</v>
      </c>
      <c r="C50" s="31">
        <v>34</v>
      </c>
      <c r="D50" s="34">
        <v>0</v>
      </c>
      <c r="E50" t="s">
        <v>163</v>
      </c>
      <c r="F50" s="34">
        <v>3</v>
      </c>
      <c r="G50" s="30">
        <v>2</v>
      </c>
      <c r="H50" s="31">
        <v>10</v>
      </c>
      <c r="K50" s="37" t="s">
        <v>125</v>
      </c>
      <c r="L50" s="36">
        <v>9.99</v>
      </c>
      <c r="M50" s="38"/>
      <c r="N50" t="b">
        <v>0</v>
      </c>
      <c r="P50">
        <f>IF(Table83946[[#This Row],[Checked?]]=TRUE,Table83946[[#This Row],[months 1-12]],0)</f>
        <v>0</v>
      </c>
    </row>
    <row r="51" spans="1:16" x14ac:dyDescent="0.3">
      <c r="A51" s="34">
        <v>4</v>
      </c>
      <c r="B51" s="30">
        <v>3</v>
      </c>
      <c r="C51" s="31">
        <v>51</v>
      </c>
      <c r="D51" s="34">
        <v>0</v>
      </c>
      <c r="E51">
        <f>VLOOKUP(H46,F48:H55,3,FALSE)</f>
        <v>20</v>
      </c>
      <c r="F51" s="34">
        <v>4</v>
      </c>
      <c r="G51" s="30">
        <v>3</v>
      </c>
      <c r="H51" s="31">
        <v>20</v>
      </c>
      <c r="K51" s="37" t="s">
        <v>101</v>
      </c>
      <c r="L51" s="36">
        <v>10.99</v>
      </c>
      <c r="M51" s="38"/>
      <c r="N51" t="b">
        <v>0</v>
      </c>
      <c r="P51">
        <f>IF(Table83946[[#This Row],[Checked?]]=TRUE,Table83946[[#This Row],[months 1-12]],0)</f>
        <v>0</v>
      </c>
    </row>
    <row r="52" spans="1:16" x14ac:dyDescent="0.3">
      <c r="A52" s="34">
        <v>5</v>
      </c>
      <c r="B52" s="30">
        <v>4</v>
      </c>
      <c r="C52" s="31">
        <v>68</v>
      </c>
      <c r="D52" s="34">
        <v>0</v>
      </c>
      <c r="E52" t="s">
        <v>166</v>
      </c>
      <c r="F52" s="34">
        <v>5</v>
      </c>
      <c r="G52" s="30">
        <v>4</v>
      </c>
      <c r="H52" s="31">
        <v>30</v>
      </c>
      <c r="K52" s="37" t="s">
        <v>782</v>
      </c>
      <c r="L52" s="36">
        <v>10</v>
      </c>
      <c r="M52" s="38"/>
      <c r="N52" t="b">
        <v>0</v>
      </c>
      <c r="P52">
        <f>IF(Table83946[[#This Row],[Checked?]]=TRUE,Table83946[[#This Row],[months 1-12]],0)</f>
        <v>0</v>
      </c>
    </row>
    <row r="53" spans="1:16" x14ac:dyDescent="0.3">
      <c r="A53" s="34">
        <v>6</v>
      </c>
      <c r="B53" s="30">
        <v>5</v>
      </c>
      <c r="C53" s="31">
        <v>85</v>
      </c>
      <c r="D53" s="34">
        <v>0</v>
      </c>
      <c r="E53">
        <f>VLOOKUP(E47,Table53845[#All],3,FALSE)</f>
        <v>0</v>
      </c>
      <c r="F53" s="34">
        <v>6</v>
      </c>
      <c r="G53" s="30">
        <v>5</v>
      </c>
      <c r="H53" s="31">
        <v>40</v>
      </c>
      <c r="K53" s="37" t="s">
        <v>784</v>
      </c>
      <c r="L53" s="36">
        <v>10</v>
      </c>
      <c r="M53" s="38"/>
      <c r="N53" t="b">
        <v>0</v>
      </c>
      <c r="P53">
        <f>IF(Table83946[[#This Row],[Checked?]]=TRUE,Table83946[[#This Row],[months 1-12]],0)</f>
        <v>0</v>
      </c>
    </row>
    <row r="54" spans="1:16" x14ac:dyDescent="0.3">
      <c r="A54" s="34">
        <v>7</v>
      </c>
      <c r="B54" s="30">
        <v>6</v>
      </c>
      <c r="C54" s="31">
        <v>102</v>
      </c>
      <c r="D54" s="34">
        <v>0</v>
      </c>
      <c r="F54" s="34">
        <v>7</v>
      </c>
      <c r="G54" s="30">
        <v>6</v>
      </c>
      <c r="H54" s="31">
        <v>50</v>
      </c>
      <c r="K54" s="42" t="s">
        <v>783</v>
      </c>
      <c r="L54" s="43">
        <v>10</v>
      </c>
      <c r="M54" s="44"/>
      <c r="N54" t="b">
        <v>0</v>
      </c>
      <c r="P54">
        <f>IF(Table83946[[#This Row],[Checked?]]=TRUE,Table83946[[#This Row],[months 1-12]],0)</f>
        <v>0</v>
      </c>
    </row>
    <row r="55" spans="1:16" x14ac:dyDescent="0.3">
      <c r="A55" s="34">
        <v>8</v>
      </c>
      <c r="B55" s="32">
        <v>7</v>
      </c>
      <c r="C55" s="33">
        <v>119</v>
      </c>
      <c r="D55" s="34">
        <v>0</v>
      </c>
      <c r="F55" s="34">
        <v>8</v>
      </c>
      <c r="G55" s="32">
        <v>7</v>
      </c>
      <c r="H55" s="33">
        <v>60</v>
      </c>
      <c r="K55" s="42" t="s">
        <v>164</v>
      </c>
      <c r="L55" s="43">
        <v>10</v>
      </c>
      <c r="M55" s="44"/>
      <c r="N55" t="b">
        <v>0</v>
      </c>
      <c r="P55">
        <f>IF(Table83946[[#This Row],[Checked?]]=TRUE,Table83946[[#This Row],[months 1-12]],0)</f>
        <v>0</v>
      </c>
    </row>
    <row r="56" spans="1:16" x14ac:dyDescent="0.3">
      <c r="A56" s="34">
        <v>9</v>
      </c>
      <c r="B56" s="32">
        <v>8</v>
      </c>
      <c r="C56" s="33">
        <v>136</v>
      </c>
      <c r="D56" s="34">
        <v>0</v>
      </c>
      <c r="F56" s="34">
        <v>9</v>
      </c>
      <c r="G56" s="32">
        <v>8</v>
      </c>
      <c r="H56" s="33">
        <v>70</v>
      </c>
      <c r="K56" s="42"/>
      <c r="L56" s="43"/>
      <c r="M56" s="44"/>
      <c r="N56" t="b">
        <v>0</v>
      </c>
      <c r="P56">
        <f>IF(Table83946[[#This Row],[Checked?]]=TRUE,Table83946[[#This Row],[months 1-12]],0)</f>
        <v>0</v>
      </c>
    </row>
    <row r="57" spans="1:16" x14ac:dyDescent="0.3">
      <c r="P57">
        <f>IF(M31=2,10,0)</f>
        <v>0</v>
      </c>
    </row>
    <row r="58" spans="1:16" x14ac:dyDescent="0.3">
      <c r="A58" t="s">
        <v>139</v>
      </c>
      <c r="O58" t="s">
        <v>136</v>
      </c>
      <c r="P58">
        <f>SUM(P48:P57)-R53-S53</f>
        <v>0</v>
      </c>
    </row>
    <row r="59" spans="1:16" ht="15" thickBot="1" x14ac:dyDescent="0.35">
      <c r="A59" s="55" t="s">
        <v>49</v>
      </c>
      <c r="B59" s="51" t="s">
        <v>72</v>
      </c>
      <c r="C59" s="51" t="s">
        <v>649</v>
      </c>
      <c r="D59" s="51" t="s">
        <v>780</v>
      </c>
      <c r="E59" s="51" t="s">
        <v>578</v>
      </c>
      <c r="F59" s="51"/>
      <c r="G59" s="51"/>
      <c r="H59" s="52"/>
      <c r="I59" s="88"/>
    </row>
    <row r="60" spans="1:16" ht="15" thickTop="1" x14ac:dyDescent="0.3">
      <c r="A60" s="56">
        <v>1</v>
      </c>
      <c r="B60" s="53" t="s">
        <v>779</v>
      </c>
      <c r="C60" s="53">
        <v>99.99</v>
      </c>
      <c r="D60" s="53">
        <v>119.99</v>
      </c>
      <c r="E60" s="53">
        <v>159.99</v>
      </c>
      <c r="F60" s="53"/>
      <c r="G60" s="53"/>
      <c r="H60" s="54"/>
      <c r="I60" s="54"/>
    </row>
    <row r="61" spans="1:16" x14ac:dyDescent="0.3">
      <c r="A61" s="57"/>
      <c r="B61" s="53"/>
      <c r="C61" s="49"/>
      <c r="D61" s="49"/>
      <c r="E61" s="49"/>
      <c r="F61" s="49"/>
      <c r="G61" s="49"/>
      <c r="H61" s="50"/>
      <c r="I61" s="50"/>
    </row>
    <row r="62" spans="1:16" x14ac:dyDescent="0.3">
      <c r="A62" s="56"/>
      <c r="B62" s="49"/>
      <c r="C62" s="53"/>
      <c r="D62" s="53"/>
      <c r="E62" s="53"/>
      <c r="F62" s="53"/>
      <c r="G62" s="53"/>
      <c r="H62" s="54"/>
      <c r="I62" s="54"/>
    </row>
    <row r="63" spans="1:16" x14ac:dyDescent="0.3">
      <c r="A63" s="57"/>
      <c r="B63" s="53"/>
      <c r="C63" s="49"/>
      <c r="D63" s="49"/>
      <c r="E63" s="49"/>
      <c r="F63" s="49"/>
      <c r="G63" s="49"/>
      <c r="H63" s="50"/>
      <c r="I63" s="50"/>
    </row>
    <row r="64" spans="1:16" x14ac:dyDescent="0.3">
      <c r="A64" s="56"/>
      <c r="B64" s="49"/>
      <c r="C64" s="53"/>
      <c r="D64" s="53"/>
      <c r="E64" s="53"/>
      <c r="F64" s="53"/>
      <c r="G64" s="53"/>
      <c r="H64" s="54"/>
      <c r="I64" s="54"/>
    </row>
    <row r="67" spans="1:5" x14ac:dyDescent="0.3">
      <c r="A67" t="s">
        <v>140</v>
      </c>
    </row>
    <row r="68" spans="1:5" ht="15" thickBot="1" x14ac:dyDescent="0.35">
      <c r="A68" s="2" t="s">
        <v>49</v>
      </c>
      <c r="B68" s="2" t="s">
        <v>77</v>
      </c>
      <c r="C68" t="s">
        <v>649</v>
      </c>
      <c r="D68" t="s">
        <v>780</v>
      </c>
      <c r="E68" t="s">
        <v>578</v>
      </c>
    </row>
    <row r="69" spans="1:5" ht="15" thickTop="1" x14ac:dyDescent="0.3">
      <c r="A69" s="3">
        <v>1</v>
      </c>
      <c r="B69" s="3" t="s">
        <v>779</v>
      </c>
      <c r="C69">
        <v>99.99</v>
      </c>
      <c r="D69">
        <v>119.99</v>
      </c>
      <c r="E69">
        <v>159.99</v>
      </c>
    </row>
    <row r="70" spans="1:5" x14ac:dyDescent="0.3">
      <c r="A70" s="4"/>
      <c r="B70" s="3"/>
    </row>
    <row r="71" spans="1:5" x14ac:dyDescent="0.3">
      <c r="A71" s="3"/>
      <c r="B71" s="4"/>
    </row>
    <row r="72" spans="1:5" x14ac:dyDescent="0.3">
      <c r="A72" s="5"/>
      <c r="B72" s="3"/>
    </row>
    <row r="73" spans="1:5" x14ac:dyDescent="0.3">
      <c r="B73" s="5"/>
    </row>
  </sheetData>
  <mergeCells count="3">
    <mergeCell ref="B24:D24"/>
    <mergeCell ref="R27:S27"/>
    <mergeCell ref="B34:E34"/>
  </mergeCells>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O35"/>
  <sheetViews>
    <sheetView topLeftCell="D1" workbookViewId="0">
      <selection activeCell="P9" sqref="P9"/>
    </sheetView>
  </sheetViews>
  <sheetFormatPr defaultRowHeight="14.4" x14ac:dyDescent="0.3"/>
  <cols>
    <col min="2" max="16" width="19.109375" customWidth="1"/>
  </cols>
  <sheetData>
    <row r="1" spans="1:15" x14ac:dyDescent="0.3">
      <c r="A1" t="s">
        <v>19</v>
      </c>
    </row>
    <row r="3" spans="1:15" x14ac:dyDescent="0.3">
      <c r="H3" t="s">
        <v>44</v>
      </c>
      <c r="I3" t="s">
        <v>59</v>
      </c>
      <c r="J3" t="s">
        <v>51</v>
      </c>
      <c r="L3" t="s">
        <v>75</v>
      </c>
      <c r="O3" t="s">
        <v>67</v>
      </c>
    </row>
    <row r="4" spans="1:15" x14ac:dyDescent="0.3">
      <c r="H4">
        <v>1</v>
      </c>
      <c r="I4" t="s">
        <v>25</v>
      </c>
      <c r="J4">
        <f>L13+F28+D28</f>
        <v>86.96</v>
      </c>
      <c r="L4">
        <v>2</v>
      </c>
      <c r="O4">
        <f>VLOOKUP(L4,Table1921[#All],3,FALSE)</f>
        <v>49.99</v>
      </c>
    </row>
    <row r="5" spans="1:15" ht="15" thickBot="1" x14ac:dyDescent="0.35">
      <c r="B5" s="2" t="s">
        <v>49</v>
      </c>
      <c r="C5" s="2" t="s">
        <v>8</v>
      </c>
      <c r="D5" t="s">
        <v>62</v>
      </c>
      <c r="E5" t="s">
        <v>107</v>
      </c>
      <c r="F5" t="s">
        <v>78</v>
      </c>
      <c r="H5">
        <v>2</v>
      </c>
      <c r="I5" t="s">
        <v>20</v>
      </c>
      <c r="J5">
        <f>L15</f>
        <v>49.99</v>
      </c>
    </row>
    <row r="6" spans="1:15" ht="15" thickTop="1" x14ac:dyDescent="0.3">
      <c r="B6" s="3">
        <v>1</v>
      </c>
      <c r="C6" s="3" t="s">
        <v>215</v>
      </c>
      <c r="D6">
        <v>64.989999999999995</v>
      </c>
      <c r="E6">
        <v>79.98</v>
      </c>
      <c r="F6">
        <v>89.97</v>
      </c>
      <c r="H6">
        <v>3</v>
      </c>
      <c r="I6" t="s">
        <v>21</v>
      </c>
      <c r="J6">
        <f>L17</f>
        <v>126.95</v>
      </c>
      <c r="L6" t="s">
        <v>8</v>
      </c>
      <c r="O6" t="s">
        <v>64</v>
      </c>
    </row>
    <row r="7" spans="1:15" x14ac:dyDescent="0.3">
      <c r="B7" s="4">
        <v>2</v>
      </c>
      <c r="C7" s="4" t="s">
        <v>216</v>
      </c>
      <c r="D7">
        <v>84.99</v>
      </c>
      <c r="E7">
        <v>99.98</v>
      </c>
      <c r="F7">
        <v>109.97</v>
      </c>
      <c r="H7">
        <v>4</v>
      </c>
      <c r="I7" t="s">
        <v>73</v>
      </c>
      <c r="J7">
        <f>L19</f>
        <v>69.98</v>
      </c>
      <c r="L7">
        <v>2</v>
      </c>
      <c r="O7">
        <f>O8+O9+O10</f>
        <v>44.99</v>
      </c>
    </row>
    <row r="8" spans="1:15" x14ac:dyDescent="0.3">
      <c r="B8" s="3">
        <v>3</v>
      </c>
      <c r="C8" s="3" t="s">
        <v>217</v>
      </c>
      <c r="D8">
        <v>104.99</v>
      </c>
      <c r="E8">
        <v>119.98</v>
      </c>
      <c r="F8">
        <v>129.97</v>
      </c>
      <c r="H8">
        <v>5</v>
      </c>
      <c r="I8" t="s">
        <v>71</v>
      </c>
      <c r="J8">
        <f>L21</f>
        <v>136.94</v>
      </c>
      <c r="N8" t="s">
        <v>503</v>
      </c>
      <c r="O8">
        <v>44.99</v>
      </c>
    </row>
    <row r="9" spans="1:15" x14ac:dyDescent="0.3">
      <c r="N9" t="s">
        <v>543</v>
      </c>
      <c r="O9">
        <v>0</v>
      </c>
    </row>
    <row r="10" spans="1:15" x14ac:dyDescent="0.3">
      <c r="N10" t="s">
        <v>544</v>
      </c>
      <c r="O10">
        <f>0</f>
        <v>0</v>
      </c>
    </row>
    <row r="12" spans="1:15" x14ac:dyDescent="0.3">
      <c r="L12" t="s">
        <v>112</v>
      </c>
    </row>
    <row r="13" spans="1:15" x14ac:dyDescent="0.3">
      <c r="G13" s="151" t="s">
        <v>769</v>
      </c>
      <c r="H13" s="300" t="s">
        <v>541</v>
      </c>
      <c r="I13">
        <v>25</v>
      </c>
      <c r="J13">
        <f>IF(G14=TRUE,I13,0)</f>
        <v>0</v>
      </c>
      <c r="L13">
        <v>64.989999999999995</v>
      </c>
    </row>
    <row r="14" spans="1:15" x14ac:dyDescent="0.3">
      <c r="C14" s="302" t="s">
        <v>20</v>
      </c>
      <c r="E14" s="151" t="s">
        <v>27</v>
      </c>
      <c r="G14" t="b">
        <v>0</v>
      </c>
      <c r="H14" s="300" t="s">
        <v>542</v>
      </c>
      <c r="I14">
        <v>164.01</v>
      </c>
      <c r="L14" t="s">
        <v>65</v>
      </c>
    </row>
    <row r="15" spans="1:15" x14ac:dyDescent="0.3">
      <c r="C15" s="299">
        <v>44.99</v>
      </c>
      <c r="E15" s="299">
        <v>64.98</v>
      </c>
      <c r="L15">
        <f>C15+I20+J13</f>
        <v>49.99</v>
      </c>
    </row>
    <row r="16" spans="1:15" x14ac:dyDescent="0.3">
      <c r="L16" t="s">
        <v>21</v>
      </c>
    </row>
    <row r="17" spans="2:12" x14ac:dyDescent="0.3">
      <c r="L17">
        <f>VLOOKUP(L7,Table1518[#All],4,FALSE)+I20+D28+F28+H28+J13</f>
        <v>126.95</v>
      </c>
    </row>
    <row r="18" spans="2:12" x14ac:dyDescent="0.3">
      <c r="B18" t="s">
        <v>2</v>
      </c>
      <c r="D18" t="s">
        <v>111</v>
      </c>
      <c r="E18" t="s">
        <v>3</v>
      </c>
      <c r="F18" t="s">
        <v>91</v>
      </c>
      <c r="G18" t="s">
        <v>44</v>
      </c>
      <c r="I18" t="s">
        <v>110</v>
      </c>
      <c r="L18" t="s">
        <v>27</v>
      </c>
    </row>
    <row r="19" spans="2:12" x14ac:dyDescent="0.3">
      <c r="B19">
        <v>0</v>
      </c>
      <c r="D19">
        <v>1</v>
      </c>
      <c r="E19" t="s">
        <v>28</v>
      </c>
      <c r="F19">
        <v>0</v>
      </c>
      <c r="I19" t="b">
        <v>1</v>
      </c>
      <c r="L19">
        <f>E15+I20+J13</f>
        <v>69.98</v>
      </c>
    </row>
    <row r="20" spans="2:12" x14ac:dyDescent="0.3">
      <c r="B20">
        <v>1</v>
      </c>
      <c r="D20">
        <v>2</v>
      </c>
      <c r="E20" t="s">
        <v>583</v>
      </c>
      <c r="F20">
        <v>16.98</v>
      </c>
      <c r="I20" s="48">
        <f>IF(I19=TRUE,I21,0)</f>
        <v>5</v>
      </c>
      <c r="L20" t="s">
        <v>78</v>
      </c>
    </row>
    <row r="21" spans="2:12" x14ac:dyDescent="0.3">
      <c r="B21">
        <v>2</v>
      </c>
      <c r="D21">
        <v>3</v>
      </c>
      <c r="E21" t="s">
        <v>580</v>
      </c>
      <c r="F21">
        <v>41.96</v>
      </c>
      <c r="H21" s="300" t="s">
        <v>68</v>
      </c>
      <c r="I21">
        <v>5</v>
      </c>
      <c r="L21">
        <f>VLOOKUP(L7,Table1518[#All],5,FALSE)+I20+D28+F28+H28+J13</f>
        <v>136.94</v>
      </c>
    </row>
    <row r="22" spans="2:12" x14ac:dyDescent="0.3">
      <c r="B22">
        <v>3</v>
      </c>
      <c r="D22">
        <v>4</v>
      </c>
      <c r="E22" t="s">
        <v>581</v>
      </c>
      <c r="F22">
        <v>46.95</v>
      </c>
      <c r="H22" s="300" t="s">
        <v>189</v>
      </c>
      <c r="I22">
        <v>10</v>
      </c>
    </row>
    <row r="23" spans="2:12" x14ac:dyDescent="0.3">
      <c r="B23">
        <v>4</v>
      </c>
      <c r="D23">
        <v>5</v>
      </c>
      <c r="E23" t="s">
        <v>582</v>
      </c>
      <c r="F23">
        <v>51.94</v>
      </c>
    </row>
    <row r="24" spans="2:12" x14ac:dyDescent="0.3">
      <c r="B24">
        <v>5</v>
      </c>
    </row>
    <row r="25" spans="2:12" x14ac:dyDescent="0.3">
      <c r="B25">
        <v>6</v>
      </c>
      <c r="D25" t="s">
        <v>108</v>
      </c>
      <c r="F25" t="s">
        <v>3</v>
      </c>
    </row>
    <row r="26" spans="2:12" x14ac:dyDescent="0.3">
      <c r="B26">
        <v>7</v>
      </c>
      <c r="D26">
        <v>3</v>
      </c>
      <c r="F26">
        <v>2</v>
      </c>
    </row>
    <row r="27" spans="2:12" x14ac:dyDescent="0.3">
      <c r="B27">
        <v>8</v>
      </c>
      <c r="D27" t="s">
        <v>109</v>
      </c>
      <c r="F27" t="s">
        <v>95</v>
      </c>
      <c r="H27" t="s">
        <v>502</v>
      </c>
    </row>
    <row r="28" spans="2:12" x14ac:dyDescent="0.3">
      <c r="D28" s="48">
        <f>IF(D26&gt;0,(D26-1)*B31,0)</f>
        <v>9.98</v>
      </c>
      <c r="F28" s="48">
        <f>VLOOKUP(F26,Table21[#All],3,FALSE)-((F26-1)*B31)</f>
        <v>11.99</v>
      </c>
      <c r="H28" s="48">
        <f>SUM(F35+G35+H35+I35)</f>
        <v>0</v>
      </c>
    </row>
    <row r="30" spans="2:12" x14ac:dyDescent="0.3">
      <c r="B30" s="151" t="s">
        <v>497</v>
      </c>
    </row>
    <row r="31" spans="2:12" x14ac:dyDescent="0.3">
      <c r="B31">
        <v>4.99</v>
      </c>
    </row>
    <row r="32" spans="2:12" x14ac:dyDescent="0.3">
      <c r="F32" s="301" t="s">
        <v>36</v>
      </c>
      <c r="G32" s="301" t="s">
        <v>125</v>
      </c>
      <c r="H32" s="301" t="s">
        <v>102</v>
      </c>
      <c r="I32" s="301" t="s">
        <v>101</v>
      </c>
    </row>
    <row r="33" spans="6:9" x14ac:dyDescent="0.3">
      <c r="F33" s="299">
        <v>15</v>
      </c>
      <c r="G33" s="299">
        <v>15</v>
      </c>
      <c r="H33" s="299">
        <v>15</v>
      </c>
      <c r="I33" s="299">
        <v>15</v>
      </c>
    </row>
    <row r="34" spans="6:9" x14ac:dyDescent="0.3">
      <c r="F34" t="b">
        <v>0</v>
      </c>
      <c r="G34" t="b">
        <v>0</v>
      </c>
      <c r="H34" t="b">
        <v>0</v>
      </c>
      <c r="I34" t="b">
        <v>0</v>
      </c>
    </row>
    <row r="35" spans="6:9" x14ac:dyDescent="0.3">
      <c r="F35">
        <f>IF(F34=TRUE,15,0)</f>
        <v>0</v>
      </c>
      <c r="G35">
        <f t="shared" ref="G35:I35" si="0">IF(G34=TRUE,15,0)</f>
        <v>0</v>
      </c>
      <c r="H35">
        <f t="shared" si="0"/>
        <v>0</v>
      </c>
      <c r="I35">
        <f t="shared" si="0"/>
        <v>0</v>
      </c>
    </row>
  </sheetData>
  <pageMargins left="0.7" right="0.7" top="0.75" bottom="0.75" header="0.3" footer="0.3"/>
  <tableParts count="3">
    <tablePart r:id="rId1"/>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M25"/>
  <sheetViews>
    <sheetView zoomScale="70" zoomScaleNormal="70" workbookViewId="0">
      <selection activeCell="H18" sqref="H18"/>
    </sheetView>
  </sheetViews>
  <sheetFormatPr defaultRowHeight="14.4" x14ac:dyDescent="0.3"/>
  <cols>
    <col min="1" max="1" width="26.5546875" customWidth="1"/>
    <col min="2" max="2" width="21" customWidth="1"/>
    <col min="3" max="3" width="24" customWidth="1"/>
    <col min="4" max="4" width="16" customWidth="1"/>
    <col min="5" max="5" width="26.33203125" customWidth="1"/>
    <col min="6" max="6" width="13.44140625" customWidth="1"/>
    <col min="7" max="7" width="18.109375" customWidth="1"/>
    <col min="8" max="8" width="35.6640625" customWidth="1"/>
    <col min="9" max="9" width="25.44140625" customWidth="1"/>
    <col min="10" max="10" width="29.109375" customWidth="1"/>
    <col min="11" max="11" width="16.88671875" customWidth="1"/>
    <col min="12" max="12" width="13.33203125" customWidth="1"/>
    <col min="13" max="13" width="16" customWidth="1"/>
    <col min="14" max="14" width="12.109375" customWidth="1"/>
  </cols>
  <sheetData>
    <row r="1" spans="1:13" x14ac:dyDescent="0.3">
      <c r="A1" s="95" t="s">
        <v>646</v>
      </c>
      <c r="B1" t="s">
        <v>641</v>
      </c>
      <c r="C1" t="s">
        <v>13</v>
      </c>
      <c r="E1" t="s">
        <v>645</v>
      </c>
      <c r="F1" t="s">
        <v>0</v>
      </c>
      <c r="H1" t="s">
        <v>643</v>
      </c>
      <c r="I1" t="s">
        <v>64</v>
      </c>
      <c r="J1" t="s">
        <v>642</v>
      </c>
      <c r="L1" t="s">
        <v>51</v>
      </c>
      <c r="M1" t="s">
        <v>38</v>
      </c>
    </row>
    <row r="2" spans="1:13" x14ac:dyDescent="0.3">
      <c r="B2" t="s">
        <v>803</v>
      </c>
      <c r="C2" t="s">
        <v>639</v>
      </c>
      <c r="E2" t="s">
        <v>641</v>
      </c>
      <c r="F2" s="372">
        <v>2</v>
      </c>
      <c r="H2">
        <f>IF((F2&gt;2),J2,I2)</f>
        <v>75</v>
      </c>
      <c r="I2" s="335">
        <v>75</v>
      </c>
      <c r="J2">
        <v>0</v>
      </c>
      <c r="L2">
        <f>VLOOKUP(Table104[Package],Table107[#All],3,)</f>
        <v>49.95</v>
      </c>
      <c r="M2">
        <f>VLOOKUP(Table104[Package],Table107[#All],4,FALSE)</f>
        <v>59.95</v>
      </c>
    </row>
    <row r="3" spans="1:13" x14ac:dyDescent="0.3">
      <c r="B3" t="s">
        <v>802</v>
      </c>
      <c r="C3" t="s">
        <v>640</v>
      </c>
    </row>
    <row r="4" spans="1:13" x14ac:dyDescent="0.3">
      <c r="B4" t="s">
        <v>804</v>
      </c>
      <c r="C4" t="s">
        <v>639</v>
      </c>
    </row>
    <row r="5" spans="1:13" x14ac:dyDescent="0.3">
      <c r="B5" t="s">
        <v>805</v>
      </c>
      <c r="C5" t="s">
        <v>640</v>
      </c>
      <c r="G5" t="s">
        <v>644</v>
      </c>
      <c r="H5" t="s">
        <v>0</v>
      </c>
    </row>
    <row r="6" spans="1:13" x14ac:dyDescent="0.3">
      <c r="G6" t="s">
        <v>360</v>
      </c>
      <c r="H6">
        <v>1</v>
      </c>
    </row>
    <row r="8" spans="1:13" x14ac:dyDescent="0.3">
      <c r="B8" t="s">
        <v>44</v>
      </c>
      <c r="C8" t="s">
        <v>13</v>
      </c>
      <c r="D8" t="s">
        <v>51</v>
      </c>
      <c r="E8" t="s">
        <v>38</v>
      </c>
    </row>
    <row r="9" spans="1:13" x14ac:dyDescent="0.3">
      <c r="B9">
        <v>1</v>
      </c>
      <c r="C9" t="s">
        <v>639</v>
      </c>
      <c r="D9">
        <v>39.950000000000003</v>
      </c>
      <c r="E9">
        <v>49.95</v>
      </c>
    </row>
    <row r="10" spans="1:13" x14ac:dyDescent="0.3">
      <c r="B10">
        <v>2</v>
      </c>
      <c r="C10" t="s">
        <v>640</v>
      </c>
      <c r="D10">
        <v>49.95</v>
      </c>
      <c r="E10">
        <v>59.95</v>
      </c>
    </row>
    <row r="11" spans="1:13" x14ac:dyDescent="0.3">
      <c r="B11">
        <v>3</v>
      </c>
      <c r="C11" t="s">
        <v>806</v>
      </c>
      <c r="D11">
        <v>59.95</v>
      </c>
      <c r="E11">
        <v>69.95</v>
      </c>
    </row>
    <row r="12" spans="1:13" x14ac:dyDescent="0.3">
      <c r="B12">
        <v>4</v>
      </c>
      <c r="C12" t="s">
        <v>807</v>
      </c>
      <c r="D12">
        <v>69.95</v>
      </c>
      <c r="E12">
        <v>79.95</v>
      </c>
    </row>
    <row r="15" spans="1:13" x14ac:dyDescent="0.3">
      <c r="A15" s="95"/>
    </row>
    <row r="25" spans="1:1" x14ac:dyDescent="0.3">
      <c r="A25" s="95"/>
    </row>
  </sheetData>
  <pageMargins left="0.7" right="0.7" top="0.75" bottom="0.75" header="0.3" footer="0.3"/>
  <tableParts count="6">
    <tablePart r:id="rId1"/>
    <tablePart r:id="rId2"/>
    <tablePart r:id="rId3"/>
    <tablePart r:id="rId4"/>
    <tablePart r:id="rId5"/>
    <tablePart r:id="rId6"/>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3:T43"/>
  <sheetViews>
    <sheetView topLeftCell="A7" workbookViewId="0">
      <selection activeCell="D29" sqref="D29"/>
    </sheetView>
  </sheetViews>
  <sheetFormatPr defaultRowHeight="14.4" x14ac:dyDescent="0.3"/>
  <cols>
    <col min="1" max="1" width="11" customWidth="1"/>
    <col min="2" max="2" width="23" customWidth="1"/>
    <col min="3" max="4" width="11" customWidth="1"/>
    <col min="5" max="5" width="14.5546875" customWidth="1"/>
    <col min="8" max="10" width="9.6640625" customWidth="1"/>
    <col min="11" max="11" width="13.44140625" customWidth="1"/>
    <col min="16" max="16" width="16.44140625" bestFit="1" customWidth="1"/>
    <col min="17" max="17" width="21.44140625" bestFit="1" customWidth="1"/>
    <col min="19" max="19" width="5.6640625" customWidth="1"/>
  </cols>
  <sheetData>
    <row r="3" spans="1:12" x14ac:dyDescent="0.3">
      <c r="A3" t="s">
        <v>42</v>
      </c>
      <c r="C3" t="s">
        <v>43</v>
      </c>
      <c r="E3" t="s">
        <v>3</v>
      </c>
      <c r="I3" t="s">
        <v>51</v>
      </c>
      <c r="J3" t="s">
        <v>38</v>
      </c>
      <c r="K3" s="8"/>
      <c r="L3" t="s">
        <v>6</v>
      </c>
    </row>
    <row r="4" spans="1:12" x14ac:dyDescent="0.3">
      <c r="A4">
        <v>0</v>
      </c>
      <c r="C4">
        <v>0</v>
      </c>
      <c r="E4" t="s">
        <v>29</v>
      </c>
      <c r="H4">
        <v>6</v>
      </c>
      <c r="I4" s="7">
        <f>IF(F32=TRUE,I10,I7)</f>
        <v>107.99</v>
      </c>
      <c r="J4" s="7">
        <f>IF(F32=TRUE,J10,J7)</f>
        <v>107.99</v>
      </c>
      <c r="K4" s="9"/>
      <c r="L4" s="7">
        <f>IF(A17&gt;7,(A17-7)*99,0)+H41</f>
        <v>0</v>
      </c>
    </row>
    <row r="5" spans="1:12" x14ac:dyDescent="0.3">
      <c r="A5">
        <v>1</v>
      </c>
      <c r="C5">
        <v>1</v>
      </c>
      <c r="E5" t="s">
        <v>28</v>
      </c>
    </row>
    <row r="6" spans="1:12" x14ac:dyDescent="0.3">
      <c r="A6">
        <v>2</v>
      </c>
      <c r="C6">
        <v>2</v>
      </c>
      <c r="I6" t="s">
        <v>242</v>
      </c>
    </row>
    <row r="7" spans="1:12" ht="15" thickBot="1" x14ac:dyDescent="0.35">
      <c r="A7">
        <v>3</v>
      </c>
      <c r="C7">
        <v>3</v>
      </c>
      <c r="E7" t="s">
        <v>52</v>
      </c>
      <c r="I7">
        <f>VLOOKUP(H4,Dish[],3,FALSE)+Q26+F8+B17+H25+S36</f>
        <v>107.99</v>
      </c>
      <c r="J7">
        <f>VLOOKUP(H4,Dish[],4,FALSE)+Q26+F8+B17+H25+S36</f>
        <v>107.99</v>
      </c>
      <c r="K7" s="9">
        <f>I7-P26</f>
        <v>107.99</v>
      </c>
    </row>
    <row r="8" spans="1:12" ht="15" thickBot="1" x14ac:dyDescent="0.35">
      <c r="A8">
        <v>4</v>
      </c>
      <c r="C8">
        <v>4</v>
      </c>
      <c r="E8" s="6">
        <v>3</v>
      </c>
      <c r="F8">
        <f>IF(E8=1,E25,0)</f>
        <v>0</v>
      </c>
    </row>
    <row r="9" spans="1:12" x14ac:dyDescent="0.3">
      <c r="A9">
        <v>5</v>
      </c>
      <c r="C9">
        <v>5</v>
      </c>
      <c r="I9" t="s">
        <v>243</v>
      </c>
    </row>
    <row r="10" spans="1:12" x14ac:dyDescent="0.3">
      <c r="A10">
        <v>6</v>
      </c>
      <c r="C10">
        <v>6</v>
      </c>
      <c r="I10" t="e">
        <f>VLOOKUP(H4,Table53[#All],3,FALSE)+Q26+F8+B17+H25+S36</f>
        <v>#N/A</v>
      </c>
      <c r="J10" t="e">
        <f>VLOOKUP(H4,Table53[#All],4,FALSE)+Q26+F8+B17+H25+S36</f>
        <v>#N/A</v>
      </c>
      <c r="K10" t="e">
        <f>I10-P26</f>
        <v>#N/A</v>
      </c>
    </row>
    <row r="11" spans="1:12" x14ac:dyDescent="0.3">
      <c r="A11">
        <v>7</v>
      </c>
      <c r="C11">
        <v>7</v>
      </c>
    </row>
    <row r="12" spans="1:12" x14ac:dyDescent="0.3">
      <c r="A12">
        <v>8</v>
      </c>
      <c r="C12">
        <v>8</v>
      </c>
    </row>
    <row r="13" spans="1:12" x14ac:dyDescent="0.3">
      <c r="A13">
        <v>9</v>
      </c>
      <c r="C13">
        <v>9</v>
      </c>
    </row>
    <row r="14" spans="1:12" x14ac:dyDescent="0.3">
      <c r="A14">
        <v>10</v>
      </c>
      <c r="C14">
        <v>10</v>
      </c>
    </row>
    <row r="16" spans="1:12" x14ac:dyDescent="0.3">
      <c r="A16" t="s">
        <v>53</v>
      </c>
    </row>
    <row r="17" spans="1:17" x14ac:dyDescent="0.3">
      <c r="A17">
        <v>1</v>
      </c>
      <c r="B17">
        <f>IF(A17&gt;1,(A17-2)*F25,0)</f>
        <v>0</v>
      </c>
    </row>
    <row r="18" spans="1:17" x14ac:dyDescent="0.3">
      <c r="H18" t="s">
        <v>489</v>
      </c>
      <c r="J18" t="s">
        <v>244</v>
      </c>
    </row>
    <row r="19" spans="1:17" x14ac:dyDescent="0.3">
      <c r="H19" t="b">
        <v>0</v>
      </c>
      <c r="J19" t="b">
        <v>0</v>
      </c>
    </row>
    <row r="20" spans="1:17" x14ac:dyDescent="0.3">
      <c r="H20">
        <v>5</v>
      </c>
      <c r="J20">
        <v>5</v>
      </c>
    </row>
    <row r="21" spans="1:17" x14ac:dyDescent="0.3">
      <c r="H21">
        <f>IF(H19=TRUE,H20,0)</f>
        <v>0</v>
      </c>
      <c r="J21">
        <f>IF(J19=TRUE,J20,0)</f>
        <v>0</v>
      </c>
    </row>
    <row r="22" spans="1:17" x14ac:dyDescent="0.3">
      <c r="A22" s="1165" t="s">
        <v>55</v>
      </c>
      <c r="B22" s="1165"/>
      <c r="C22" s="1165"/>
      <c r="D22" s="1165"/>
      <c r="E22" s="1165"/>
    </row>
    <row r="23" spans="1:17" x14ac:dyDescent="0.3">
      <c r="A23" t="s">
        <v>49</v>
      </c>
      <c r="B23" t="s">
        <v>0</v>
      </c>
      <c r="C23" t="s">
        <v>39</v>
      </c>
      <c r="D23" t="s">
        <v>38</v>
      </c>
      <c r="E23" t="s">
        <v>16</v>
      </c>
      <c r="F23" t="s">
        <v>41</v>
      </c>
      <c r="H23" t="s">
        <v>54</v>
      </c>
      <c r="J23" t="s">
        <v>36</v>
      </c>
      <c r="K23" t="s">
        <v>45</v>
      </c>
      <c r="L23" t="s">
        <v>46</v>
      </c>
      <c r="M23" t="s">
        <v>47</v>
      </c>
    </row>
    <row r="24" spans="1:17" x14ac:dyDescent="0.3">
      <c r="A24">
        <v>1</v>
      </c>
      <c r="B24" t="s">
        <v>280</v>
      </c>
      <c r="H24" t="b">
        <v>0</v>
      </c>
      <c r="J24" t="b">
        <v>0</v>
      </c>
      <c r="K24" t="b">
        <v>0</v>
      </c>
      <c r="L24" t="b">
        <v>0</v>
      </c>
      <c r="M24" t="b">
        <v>0</v>
      </c>
      <c r="N24" t="b">
        <v>0</v>
      </c>
    </row>
    <row r="25" spans="1:17" ht="15" thickBot="1" x14ac:dyDescent="0.35">
      <c r="A25">
        <v>2</v>
      </c>
      <c r="B25" t="s">
        <v>493</v>
      </c>
      <c r="C25">
        <v>37.99</v>
      </c>
      <c r="D25">
        <v>37.99</v>
      </c>
      <c r="E25">
        <v>10</v>
      </c>
      <c r="F25">
        <v>5</v>
      </c>
      <c r="H25">
        <f>IF(H24=TRUE,10,0)</f>
        <v>0</v>
      </c>
      <c r="J25">
        <v>15</v>
      </c>
      <c r="K25">
        <v>10</v>
      </c>
      <c r="L25">
        <v>10</v>
      </c>
      <c r="M25">
        <v>10</v>
      </c>
      <c r="P25" t="s">
        <v>96</v>
      </c>
      <c r="Q25" t="s">
        <v>245</v>
      </c>
    </row>
    <row r="26" spans="1:17" ht="15" thickBot="1" x14ac:dyDescent="0.35">
      <c r="A26">
        <v>3</v>
      </c>
      <c r="B26" t="s">
        <v>579</v>
      </c>
      <c r="C26">
        <v>59.99</v>
      </c>
      <c r="D26">
        <v>59.99</v>
      </c>
      <c r="E26">
        <v>10</v>
      </c>
      <c r="F26">
        <v>5</v>
      </c>
      <c r="J26">
        <f>IF(J24=TRUE,J25,0)</f>
        <v>0</v>
      </c>
      <c r="K26">
        <f>IF(K24=TRUE,K25,0)</f>
        <v>0</v>
      </c>
      <c r="L26">
        <f>IF(L24=TRUE,L25,0)</f>
        <v>0</v>
      </c>
      <c r="M26">
        <f>IF(M24=TRUE,M25,0)</f>
        <v>0</v>
      </c>
      <c r="P26" s="6">
        <f>SUM((J26+K26+L26+M26+N26))</f>
        <v>0</v>
      </c>
      <c r="Q26">
        <f>P26+H21+J21</f>
        <v>0</v>
      </c>
    </row>
    <row r="27" spans="1:17" x14ac:dyDescent="0.3">
      <c r="A27">
        <v>4</v>
      </c>
      <c r="B27" t="s">
        <v>518</v>
      </c>
      <c r="C27">
        <v>69.989999999999995</v>
      </c>
      <c r="D27">
        <v>69.989999999999995</v>
      </c>
      <c r="E27">
        <v>10</v>
      </c>
      <c r="F27">
        <v>5</v>
      </c>
    </row>
    <row r="28" spans="1:17" x14ac:dyDescent="0.3">
      <c r="A28">
        <v>5</v>
      </c>
      <c r="B28" t="s">
        <v>494</v>
      </c>
      <c r="C28">
        <v>79.989999999999995</v>
      </c>
      <c r="D28">
        <v>79.989999999999995</v>
      </c>
      <c r="E28">
        <v>10</v>
      </c>
      <c r="F28">
        <v>5</v>
      </c>
    </row>
    <row r="29" spans="1:17" x14ac:dyDescent="0.3">
      <c r="A29">
        <v>6</v>
      </c>
      <c r="B29" t="s">
        <v>495</v>
      </c>
      <c r="C29">
        <v>89.99</v>
      </c>
      <c r="D29">
        <v>89.99</v>
      </c>
      <c r="E29">
        <v>10</v>
      </c>
      <c r="F29">
        <v>5</v>
      </c>
    </row>
    <row r="30" spans="1:17" x14ac:dyDescent="0.3">
      <c r="M30" t="s">
        <v>481</v>
      </c>
      <c r="N30" t="s">
        <v>482</v>
      </c>
      <c r="O30" t="s">
        <v>483</v>
      </c>
      <c r="P30" t="s">
        <v>484</v>
      </c>
    </row>
    <row r="31" spans="1:17" x14ac:dyDescent="0.3">
      <c r="A31" t="s">
        <v>44</v>
      </c>
      <c r="B31" t="s">
        <v>59</v>
      </c>
      <c r="C31" t="s">
        <v>159</v>
      </c>
      <c r="D31" t="s">
        <v>160</v>
      </c>
      <c r="F31" t="s">
        <v>243</v>
      </c>
      <c r="M31">
        <v>10</v>
      </c>
      <c r="N31">
        <v>12</v>
      </c>
      <c r="O31">
        <v>10</v>
      </c>
      <c r="P31">
        <v>12</v>
      </c>
    </row>
    <row r="32" spans="1:17" x14ac:dyDescent="0.3">
      <c r="A32">
        <v>1</v>
      </c>
      <c r="B32" t="s">
        <v>240</v>
      </c>
      <c r="C32">
        <v>44.99</v>
      </c>
      <c r="D32">
        <v>44.99</v>
      </c>
      <c r="F32" t="b">
        <v>0</v>
      </c>
      <c r="M32" t="b">
        <v>0</v>
      </c>
      <c r="N32" t="b">
        <v>0</v>
      </c>
      <c r="O32" t="b">
        <v>0</v>
      </c>
      <c r="P32" t="b">
        <v>0</v>
      </c>
    </row>
    <row r="33" spans="1:20" x14ac:dyDescent="0.3">
      <c r="A33">
        <v>2</v>
      </c>
      <c r="B33" t="s">
        <v>74</v>
      </c>
      <c r="C33">
        <v>51.99</v>
      </c>
      <c r="D33">
        <v>51.99</v>
      </c>
      <c r="H33" t="s">
        <v>44</v>
      </c>
      <c r="I33" t="s">
        <v>59</v>
      </c>
      <c r="J33" t="s">
        <v>159</v>
      </c>
      <c r="M33">
        <f>IF(M32=TRUE,M31,0)</f>
        <v>0</v>
      </c>
      <c r="N33">
        <f t="shared" ref="N33:P33" si="0">IF(N32=TRUE,N31,0)</f>
        <v>0</v>
      </c>
      <c r="O33">
        <f t="shared" si="0"/>
        <v>0</v>
      </c>
      <c r="P33">
        <f t="shared" si="0"/>
        <v>0</v>
      </c>
    </row>
    <row r="34" spans="1:20" x14ac:dyDescent="0.3">
      <c r="A34">
        <v>3</v>
      </c>
      <c r="B34" s="49" t="s">
        <v>241</v>
      </c>
      <c r="C34" s="49">
        <v>72.989999999999995</v>
      </c>
      <c r="D34" s="50">
        <v>72.989999999999995</v>
      </c>
      <c r="H34">
        <v>0</v>
      </c>
      <c r="I34">
        <v>0</v>
      </c>
    </row>
    <row r="35" spans="1:20" x14ac:dyDescent="0.3">
      <c r="A35">
        <v>4</v>
      </c>
      <c r="B35" t="s">
        <v>63</v>
      </c>
      <c r="C35">
        <v>84.99</v>
      </c>
      <c r="D35">
        <v>84.99</v>
      </c>
      <c r="H35">
        <v>1</v>
      </c>
      <c r="I35">
        <v>25</v>
      </c>
      <c r="M35" t="s">
        <v>485</v>
      </c>
      <c r="N35" t="s">
        <v>486</v>
      </c>
      <c r="O35" t="s">
        <v>487</v>
      </c>
      <c r="P35" t="s">
        <v>488</v>
      </c>
      <c r="R35" s="1165" t="s">
        <v>492</v>
      </c>
      <c r="S35" s="1165"/>
      <c r="T35" s="1165"/>
    </row>
    <row r="36" spans="1:20" x14ac:dyDescent="0.3">
      <c r="H36">
        <v>2</v>
      </c>
      <c r="I36">
        <v>50</v>
      </c>
      <c r="M36">
        <v>12</v>
      </c>
      <c r="N36">
        <v>6</v>
      </c>
      <c r="O36">
        <v>4</v>
      </c>
      <c r="P36">
        <v>6</v>
      </c>
      <c r="S36">
        <f>SUM(M33+N33+O33+P33+M38+N38+O38+P38+M43+N43+O43)</f>
        <v>18</v>
      </c>
    </row>
    <row r="37" spans="1:20" x14ac:dyDescent="0.3">
      <c r="H37">
        <v>3</v>
      </c>
      <c r="I37">
        <v>75</v>
      </c>
      <c r="M37" t="b">
        <v>1</v>
      </c>
      <c r="N37" t="b">
        <v>1</v>
      </c>
      <c r="O37" t="b">
        <v>0</v>
      </c>
      <c r="P37" t="b">
        <v>0</v>
      </c>
    </row>
    <row r="38" spans="1:20" x14ac:dyDescent="0.3">
      <c r="M38">
        <f>IF(M37=TRUE,M36,0)</f>
        <v>12</v>
      </c>
      <c r="N38">
        <f t="shared" ref="N38:P38" si="1">IF(N37=TRUE,N36,0)</f>
        <v>6</v>
      </c>
      <c r="O38">
        <f t="shared" si="1"/>
        <v>0</v>
      </c>
      <c r="P38">
        <f t="shared" si="1"/>
        <v>0</v>
      </c>
    </row>
    <row r="40" spans="1:20" x14ac:dyDescent="0.3">
      <c r="H40">
        <v>1</v>
      </c>
      <c r="M40" t="s">
        <v>131</v>
      </c>
      <c r="N40" t="s">
        <v>490</v>
      </c>
      <c r="O40" t="s">
        <v>491</v>
      </c>
    </row>
    <row r="41" spans="1:20" x14ac:dyDescent="0.3">
      <c r="H41">
        <f>VLOOKUP(H40-1,Table4[#All],2,FALSE)</f>
        <v>0</v>
      </c>
      <c r="M41">
        <v>13</v>
      </c>
      <c r="N41">
        <v>15</v>
      </c>
      <c r="O41">
        <v>10</v>
      </c>
    </row>
    <row r="42" spans="1:20" x14ac:dyDescent="0.3">
      <c r="M42" t="b">
        <v>0</v>
      </c>
      <c r="N42" t="b">
        <v>0</v>
      </c>
      <c r="O42" t="b">
        <v>0</v>
      </c>
    </row>
    <row r="43" spans="1:20" x14ac:dyDescent="0.3">
      <c r="M43">
        <f>IF(M42=TRUE,M41,0)</f>
        <v>0</v>
      </c>
      <c r="N43">
        <f t="shared" ref="N43:O43" si="2">IF(N42=TRUE,N41,0)</f>
        <v>0</v>
      </c>
      <c r="O43">
        <f t="shared" si="2"/>
        <v>0</v>
      </c>
    </row>
  </sheetData>
  <mergeCells count="2">
    <mergeCell ref="A22:E22"/>
    <mergeCell ref="R35:T35"/>
  </mergeCells>
  <pageMargins left="0.7" right="0.7" top="0.75" bottom="0.75" header="0.3" footer="0.3"/>
  <tableParts count="3">
    <tablePart r:id="rId1"/>
    <tablePart r:id="rId2"/>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dimension ref="B1:Z46"/>
  <sheetViews>
    <sheetView topLeftCell="A13" workbookViewId="0">
      <selection activeCell="D1" sqref="D1:Z2"/>
    </sheetView>
  </sheetViews>
  <sheetFormatPr defaultColWidth="9.109375" defaultRowHeight="14.4" x14ac:dyDescent="0.3"/>
  <cols>
    <col min="1" max="16384" width="9.109375" style="337"/>
  </cols>
  <sheetData>
    <row r="1" spans="2:26" ht="15" customHeight="1" x14ac:dyDescent="0.45">
      <c r="C1" s="417"/>
      <c r="D1" s="1221" t="s">
        <v>794</v>
      </c>
      <c r="E1" s="1221"/>
      <c r="F1" s="1221"/>
      <c r="G1" s="1221"/>
      <c r="H1" s="1221"/>
      <c r="I1" s="1221"/>
      <c r="J1" s="1221"/>
      <c r="K1" s="1221"/>
      <c r="L1" s="1221"/>
      <c r="M1" s="1221"/>
      <c r="N1" s="1221"/>
      <c r="O1" s="1221"/>
      <c r="P1" s="1221"/>
      <c r="Q1" s="1221"/>
      <c r="R1" s="1221"/>
      <c r="S1" s="1221"/>
      <c r="T1" s="1221"/>
      <c r="U1" s="1221"/>
      <c r="V1" s="1221"/>
      <c r="W1" s="1221"/>
      <c r="X1" s="1221"/>
      <c r="Y1" s="1221"/>
      <c r="Z1" s="1221"/>
    </row>
    <row r="2" spans="2:26" ht="15" customHeight="1" x14ac:dyDescent="0.45">
      <c r="C2" s="417"/>
      <c r="D2" s="1221"/>
      <c r="E2" s="1221"/>
      <c r="F2" s="1221"/>
      <c r="G2" s="1221"/>
      <c r="H2" s="1221"/>
      <c r="I2" s="1221"/>
      <c r="J2" s="1221"/>
      <c r="K2" s="1221"/>
      <c r="L2" s="1221"/>
      <c r="M2" s="1221"/>
      <c r="N2" s="1221"/>
      <c r="O2" s="1221"/>
      <c r="P2" s="1221"/>
      <c r="Q2" s="1221"/>
      <c r="R2" s="1221"/>
      <c r="S2" s="1221"/>
      <c r="T2" s="1221"/>
      <c r="U2" s="1221"/>
      <c r="V2" s="1221"/>
      <c r="W2" s="1221"/>
      <c r="X2" s="1221"/>
      <c r="Y2" s="1221"/>
      <c r="Z2" s="1221"/>
    </row>
    <row r="3" spans="2:26" ht="15" customHeight="1" x14ac:dyDescent="0.45">
      <c r="C3" s="417"/>
      <c r="D3" s="417"/>
      <c r="E3" s="417"/>
      <c r="F3" s="417"/>
      <c r="G3" s="417"/>
      <c r="H3" s="417"/>
      <c r="I3" s="417"/>
      <c r="J3" s="417"/>
      <c r="K3" s="417"/>
      <c r="L3" s="417"/>
      <c r="M3" s="417"/>
      <c r="N3" s="417"/>
      <c r="O3" s="417"/>
      <c r="P3" s="417"/>
      <c r="Q3" s="417"/>
      <c r="R3" s="417"/>
      <c r="S3" s="417"/>
      <c r="T3" s="417"/>
    </row>
    <row r="4" spans="2:26" ht="15.6" x14ac:dyDescent="0.3">
      <c r="B4" s="1224" t="s">
        <v>793</v>
      </c>
      <c r="C4" s="1225"/>
      <c r="D4" s="1225"/>
      <c r="E4" s="1225"/>
      <c r="F4" s="1225"/>
      <c r="G4" s="1225"/>
      <c r="H4" s="1225"/>
      <c r="I4" s="1225"/>
      <c r="J4" s="1225"/>
      <c r="K4" s="1225"/>
      <c r="L4" s="1225"/>
      <c r="M4" s="1226"/>
      <c r="O4" s="1224" t="s">
        <v>797</v>
      </c>
      <c r="P4" s="1225"/>
      <c r="Q4" s="1225"/>
      <c r="R4" s="1225"/>
      <c r="S4" s="1225"/>
      <c r="T4" s="1225"/>
      <c r="U4" s="1225"/>
      <c r="V4" s="1225"/>
      <c r="W4" s="1225"/>
      <c r="X4" s="1225"/>
      <c r="Y4" s="1225"/>
      <c r="Z4" s="1226"/>
    </row>
    <row r="5" spans="2:26" x14ac:dyDescent="0.3">
      <c r="B5" s="1222"/>
      <c r="C5" s="1223"/>
      <c r="D5" s="1223"/>
      <c r="E5" s="1223"/>
      <c r="F5" s="1223"/>
      <c r="G5" s="1223"/>
      <c r="H5" s="1223"/>
      <c r="I5" s="1223"/>
      <c r="J5" s="1223"/>
      <c r="K5" s="1223"/>
      <c r="L5" s="1223"/>
      <c r="M5" s="419"/>
      <c r="O5" s="418"/>
      <c r="Z5" s="419"/>
    </row>
    <row r="6" spans="2:26" x14ac:dyDescent="0.3">
      <c r="B6" s="424" t="s">
        <v>786</v>
      </c>
      <c r="C6" s="337" t="s">
        <v>790</v>
      </c>
      <c r="M6" s="419"/>
      <c r="O6" s="418"/>
      <c r="Z6" s="419"/>
    </row>
    <row r="7" spans="2:26" x14ac:dyDescent="0.3">
      <c r="B7" s="423" t="s">
        <v>787</v>
      </c>
      <c r="C7" s="337" t="s">
        <v>788</v>
      </c>
      <c r="M7" s="419"/>
      <c r="O7" s="418"/>
      <c r="Z7" s="419"/>
    </row>
    <row r="8" spans="2:26" x14ac:dyDescent="0.3">
      <c r="B8" s="418"/>
      <c r="M8" s="419"/>
      <c r="O8" s="418"/>
      <c r="Z8" s="419"/>
    </row>
    <row r="9" spans="2:26" x14ac:dyDescent="0.3">
      <c r="B9" s="418"/>
      <c r="M9" s="419"/>
      <c r="O9" s="418"/>
      <c r="Z9" s="419"/>
    </row>
    <row r="10" spans="2:26" x14ac:dyDescent="0.3">
      <c r="B10" s="418"/>
      <c r="M10" s="419"/>
      <c r="O10" s="418"/>
      <c r="Z10" s="419"/>
    </row>
    <row r="11" spans="2:26" x14ac:dyDescent="0.3">
      <c r="B11" s="418"/>
      <c r="M11" s="419"/>
      <c r="O11" s="418"/>
      <c r="Z11" s="419"/>
    </row>
    <row r="12" spans="2:26" x14ac:dyDescent="0.3">
      <c r="B12" s="418"/>
      <c r="M12" s="419"/>
      <c r="O12" s="418"/>
      <c r="Z12" s="419"/>
    </row>
    <row r="13" spans="2:26" x14ac:dyDescent="0.3">
      <c r="B13" s="418"/>
      <c r="M13" s="419"/>
      <c r="O13" s="418"/>
      <c r="Z13" s="419"/>
    </row>
    <row r="14" spans="2:26" x14ac:dyDescent="0.3">
      <c r="B14" s="418"/>
      <c r="M14" s="419"/>
      <c r="O14" s="418"/>
      <c r="Z14" s="419"/>
    </row>
    <row r="15" spans="2:26" x14ac:dyDescent="0.3">
      <c r="B15" s="418"/>
      <c r="M15" s="419"/>
      <c r="O15" s="418"/>
      <c r="Z15" s="419"/>
    </row>
    <row r="16" spans="2:26" x14ac:dyDescent="0.3">
      <c r="B16" s="418"/>
      <c r="M16" s="419"/>
      <c r="O16" s="418"/>
      <c r="Z16" s="419"/>
    </row>
    <row r="17" spans="2:26" x14ac:dyDescent="0.3">
      <c r="B17" s="418"/>
      <c r="M17" s="419"/>
      <c r="O17" s="418"/>
      <c r="Z17" s="419"/>
    </row>
    <row r="18" spans="2:26" ht="15.6" x14ac:dyDescent="0.3">
      <c r="B18" s="418"/>
      <c r="M18" s="419"/>
      <c r="O18" s="425"/>
      <c r="P18" s="426"/>
      <c r="Q18" s="426"/>
      <c r="R18" s="426"/>
      <c r="S18" s="426"/>
      <c r="T18" s="426"/>
      <c r="U18" s="426"/>
      <c r="V18" s="426"/>
      <c r="W18" s="426"/>
      <c r="X18" s="426"/>
      <c r="Y18" s="426"/>
      <c r="Z18" s="427"/>
    </row>
    <row r="19" spans="2:26" x14ac:dyDescent="0.3">
      <c r="B19" s="418"/>
      <c r="M19" s="419"/>
      <c r="O19" s="418"/>
      <c r="Z19" s="419"/>
    </row>
    <row r="20" spans="2:26" x14ac:dyDescent="0.3">
      <c r="B20" s="418"/>
      <c r="M20" s="419"/>
      <c r="O20" s="418"/>
      <c r="Z20" s="419"/>
    </row>
    <row r="21" spans="2:26" ht="15.6" x14ac:dyDescent="0.3">
      <c r="B21" s="418"/>
      <c r="M21" s="419"/>
      <c r="O21" s="1218" t="s">
        <v>796</v>
      </c>
      <c r="P21" s="1219"/>
      <c r="Q21" s="1219"/>
      <c r="R21" s="1219"/>
      <c r="S21" s="1219"/>
      <c r="T21" s="1219"/>
      <c r="U21" s="1219"/>
      <c r="V21" s="1219"/>
      <c r="W21" s="1219"/>
      <c r="X21" s="1219"/>
      <c r="Y21" s="1219"/>
      <c r="Z21" s="1220"/>
    </row>
    <row r="22" spans="2:26" x14ac:dyDescent="0.3">
      <c r="B22" s="418"/>
      <c r="M22" s="419"/>
      <c r="O22" s="418"/>
      <c r="Z22" s="419"/>
    </row>
    <row r="23" spans="2:26" x14ac:dyDescent="0.3">
      <c r="B23" s="418"/>
      <c r="M23" s="419"/>
      <c r="O23" s="418"/>
      <c r="Z23" s="419"/>
    </row>
    <row r="24" spans="2:26" x14ac:dyDescent="0.3">
      <c r="B24" s="418"/>
      <c r="M24" s="419"/>
      <c r="O24" s="418"/>
      <c r="Z24" s="419"/>
    </row>
    <row r="25" spans="2:26" x14ac:dyDescent="0.3">
      <c r="B25" s="418"/>
      <c r="M25" s="419"/>
      <c r="O25" s="418"/>
      <c r="Z25" s="419"/>
    </row>
    <row r="26" spans="2:26" x14ac:dyDescent="0.3">
      <c r="B26" s="424" t="s">
        <v>789</v>
      </c>
      <c r="C26" s="337" t="s">
        <v>791</v>
      </c>
      <c r="M26" s="419"/>
      <c r="O26" s="418"/>
      <c r="Z26" s="419"/>
    </row>
    <row r="27" spans="2:26" x14ac:dyDescent="0.3">
      <c r="B27" s="423" t="s">
        <v>787</v>
      </c>
      <c r="C27" s="337" t="s">
        <v>792</v>
      </c>
      <c r="M27" s="419"/>
      <c r="O27" s="418"/>
      <c r="Z27" s="419"/>
    </row>
    <row r="28" spans="2:26" x14ac:dyDescent="0.3">
      <c r="B28" s="418"/>
      <c r="M28" s="419"/>
      <c r="O28" s="418"/>
      <c r="Z28" s="419"/>
    </row>
    <row r="29" spans="2:26" x14ac:dyDescent="0.3">
      <c r="B29" s="418"/>
      <c r="M29" s="419"/>
      <c r="O29" s="418"/>
      <c r="Z29" s="419"/>
    </row>
    <row r="30" spans="2:26" x14ac:dyDescent="0.3">
      <c r="B30" s="418"/>
      <c r="M30" s="419"/>
      <c r="O30" s="418"/>
      <c r="Z30" s="419"/>
    </row>
    <row r="31" spans="2:26" x14ac:dyDescent="0.3">
      <c r="B31" s="418"/>
      <c r="M31" s="419"/>
      <c r="O31" s="418"/>
      <c r="Z31" s="419"/>
    </row>
    <row r="32" spans="2:26" ht="15.6" x14ac:dyDescent="0.3">
      <c r="B32" s="418"/>
      <c r="M32" s="419"/>
      <c r="O32" s="425"/>
      <c r="P32" s="426"/>
      <c r="Q32" s="426"/>
      <c r="R32" s="426"/>
      <c r="S32" s="426"/>
      <c r="T32" s="426"/>
      <c r="U32" s="426"/>
      <c r="V32" s="426"/>
      <c r="W32" s="426"/>
      <c r="X32" s="426"/>
      <c r="Y32" s="426"/>
      <c r="Z32" s="427"/>
    </row>
    <row r="33" spans="2:26" x14ac:dyDescent="0.3">
      <c r="B33" s="418"/>
      <c r="M33" s="419"/>
      <c r="O33" s="418"/>
      <c r="Z33" s="419"/>
    </row>
    <row r="34" spans="2:26" x14ac:dyDescent="0.3">
      <c r="B34" s="418"/>
      <c r="M34" s="419"/>
      <c r="O34" s="418"/>
      <c r="Z34" s="419"/>
    </row>
    <row r="35" spans="2:26" ht="15.6" x14ac:dyDescent="0.3">
      <c r="B35" s="418"/>
      <c r="M35" s="419"/>
      <c r="O35" s="1218" t="s">
        <v>795</v>
      </c>
      <c r="P35" s="1219"/>
      <c r="Q35" s="1219"/>
      <c r="R35" s="1219"/>
      <c r="S35" s="1219"/>
      <c r="T35" s="1219"/>
      <c r="U35" s="1219"/>
      <c r="V35" s="1219"/>
      <c r="W35" s="1219"/>
      <c r="X35" s="1219"/>
      <c r="Y35" s="1219"/>
      <c r="Z35" s="1220"/>
    </row>
    <row r="36" spans="2:26" x14ac:dyDescent="0.3">
      <c r="B36" s="418"/>
      <c r="M36" s="419"/>
      <c r="O36" s="418"/>
      <c r="Z36" s="419"/>
    </row>
    <row r="37" spans="2:26" x14ac:dyDescent="0.3">
      <c r="B37" s="418"/>
      <c r="M37" s="419"/>
      <c r="O37" s="418"/>
      <c r="Z37" s="419"/>
    </row>
    <row r="38" spans="2:26" x14ac:dyDescent="0.3">
      <c r="B38" s="418"/>
      <c r="M38" s="419"/>
      <c r="O38" s="418"/>
      <c r="Z38" s="419"/>
    </row>
    <row r="39" spans="2:26" x14ac:dyDescent="0.3">
      <c r="B39" s="418"/>
      <c r="M39" s="419"/>
      <c r="O39" s="418"/>
      <c r="Z39" s="419"/>
    </row>
    <row r="40" spans="2:26" x14ac:dyDescent="0.3">
      <c r="B40" s="418"/>
      <c r="M40" s="419"/>
      <c r="O40" s="418"/>
      <c r="Z40" s="419"/>
    </row>
    <row r="41" spans="2:26" x14ac:dyDescent="0.3">
      <c r="B41" s="418"/>
      <c r="M41" s="419"/>
      <c r="O41" s="418"/>
      <c r="Z41" s="419"/>
    </row>
    <row r="42" spans="2:26" x14ac:dyDescent="0.3">
      <c r="B42" s="418"/>
      <c r="M42" s="419"/>
      <c r="O42" s="418"/>
      <c r="Z42" s="419"/>
    </row>
    <row r="43" spans="2:26" x14ac:dyDescent="0.3">
      <c r="B43" s="418"/>
      <c r="M43" s="419"/>
      <c r="O43" s="418"/>
      <c r="Z43" s="419"/>
    </row>
    <row r="44" spans="2:26" x14ac:dyDescent="0.3">
      <c r="B44" s="418"/>
      <c r="M44" s="419"/>
      <c r="O44" s="418"/>
      <c r="Z44" s="419"/>
    </row>
    <row r="45" spans="2:26" x14ac:dyDescent="0.3">
      <c r="B45" s="418"/>
      <c r="M45" s="419"/>
      <c r="O45" s="418"/>
      <c r="Z45" s="419"/>
    </row>
    <row r="46" spans="2:26" x14ac:dyDescent="0.3">
      <c r="B46" s="420"/>
      <c r="C46" s="421"/>
      <c r="D46" s="421"/>
      <c r="E46" s="421"/>
      <c r="F46" s="421"/>
      <c r="G46" s="421"/>
      <c r="H46" s="421"/>
      <c r="I46" s="421"/>
      <c r="J46" s="421"/>
      <c r="K46" s="421"/>
      <c r="L46" s="421"/>
      <c r="M46" s="422"/>
      <c r="O46" s="420"/>
      <c r="P46" s="421"/>
      <c r="Q46" s="421"/>
      <c r="R46" s="421"/>
      <c r="S46" s="421"/>
      <c r="T46" s="421"/>
      <c r="U46" s="421"/>
      <c r="V46" s="421"/>
      <c r="W46" s="421"/>
      <c r="X46" s="421"/>
      <c r="Y46" s="421"/>
      <c r="Z46" s="422"/>
    </row>
  </sheetData>
  <mergeCells count="6">
    <mergeCell ref="O35:Z35"/>
    <mergeCell ref="O21:Z21"/>
    <mergeCell ref="D1:Z2"/>
    <mergeCell ref="B5:L5"/>
    <mergeCell ref="B4:M4"/>
    <mergeCell ref="O4:Z4"/>
  </mergeCells>
  <hyperlinks>
    <hyperlink ref="B6" r:id="rId1" xr:uid="{00000000-0004-0000-0D00-000000000000}"/>
    <hyperlink ref="B26" r:id="rId2" xr:uid="{00000000-0004-0000-0D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2D28-4B98-4048-85EA-D98309163968}">
  <dimension ref="A1:T35"/>
  <sheetViews>
    <sheetView workbookViewId="0">
      <selection activeCell="C4" sqref="C4:C6"/>
    </sheetView>
  </sheetViews>
  <sheetFormatPr defaultRowHeight="14.4" x14ac:dyDescent="0.3"/>
  <sheetData>
    <row r="1" spans="1:20" x14ac:dyDescent="0.3">
      <c r="A1" s="903"/>
      <c r="B1" s="903"/>
      <c r="C1" s="903"/>
      <c r="D1" s="903"/>
      <c r="E1" s="903"/>
      <c r="F1" s="903"/>
      <c r="G1" s="903"/>
      <c r="H1" s="903"/>
      <c r="I1" s="903"/>
      <c r="J1" s="903"/>
      <c r="K1" s="903"/>
      <c r="L1" s="903"/>
      <c r="M1" s="903"/>
      <c r="N1" s="903"/>
      <c r="O1" s="903"/>
      <c r="P1" s="903"/>
      <c r="Q1" s="903"/>
      <c r="R1" s="903"/>
      <c r="S1" s="903"/>
      <c r="T1" s="903"/>
    </row>
    <row r="2" spans="1:20" ht="15" thickBot="1" x14ac:dyDescent="0.35">
      <c r="A2" s="903"/>
      <c r="B2" s="903"/>
      <c r="C2" s="903"/>
      <c r="D2" s="903"/>
      <c r="E2" s="903"/>
      <c r="F2" s="903"/>
      <c r="G2" s="903"/>
      <c r="H2" s="903"/>
      <c r="I2" s="903"/>
      <c r="J2" s="903"/>
      <c r="K2" s="903"/>
      <c r="L2" s="903"/>
      <c r="M2" s="903"/>
      <c r="N2" s="903"/>
      <c r="O2" s="903"/>
      <c r="P2" s="903"/>
      <c r="Q2" s="903"/>
      <c r="R2" s="903"/>
      <c r="S2" s="903"/>
      <c r="T2" s="903"/>
    </row>
    <row r="3" spans="1:20" ht="15" thickBot="1" x14ac:dyDescent="0.35">
      <c r="A3" s="903"/>
      <c r="B3" s="1015" t="s">
        <v>969</v>
      </c>
      <c r="C3" s="145" t="s">
        <v>176</v>
      </c>
      <c r="D3" s="100">
        <v>12</v>
      </c>
      <c r="E3" s="101">
        <v>24</v>
      </c>
      <c r="F3" s="403">
        <v>36</v>
      </c>
      <c r="G3" s="998" t="s">
        <v>177</v>
      </c>
      <c r="H3" s="999"/>
      <c r="I3" s="903"/>
      <c r="J3" s="903"/>
      <c r="K3" s="903"/>
      <c r="L3" s="903"/>
      <c r="M3" s="903"/>
      <c r="N3" s="903"/>
      <c r="O3" s="903"/>
      <c r="P3" s="903"/>
      <c r="Q3" s="903"/>
      <c r="R3" s="903"/>
      <c r="S3" s="903"/>
      <c r="T3" s="903"/>
    </row>
    <row r="4" spans="1:20" ht="18" x14ac:dyDescent="0.35">
      <c r="A4" s="903"/>
      <c r="B4" s="1016"/>
      <c r="C4" s="1025"/>
      <c r="D4" s="207">
        <v>10.8</v>
      </c>
      <c r="E4" s="105">
        <v>9.9</v>
      </c>
      <c r="F4" s="296"/>
      <c r="G4" s="485"/>
      <c r="H4" s="486"/>
      <c r="I4" s="903"/>
      <c r="J4" s="903"/>
      <c r="K4" s="903"/>
      <c r="L4" s="903"/>
      <c r="M4" s="903"/>
      <c r="N4" s="903"/>
      <c r="O4" s="903"/>
      <c r="P4" s="903"/>
      <c r="Q4" s="903"/>
      <c r="R4" s="903"/>
      <c r="S4" s="903"/>
      <c r="T4" s="903"/>
    </row>
    <row r="5" spans="1:20" ht="15.6" x14ac:dyDescent="0.3">
      <c r="A5" s="903"/>
      <c r="B5" s="1016"/>
      <c r="C5" s="1026"/>
      <c r="D5" s="444">
        <v>10.8</v>
      </c>
      <c r="E5" s="441">
        <v>10</v>
      </c>
      <c r="F5" s="491"/>
      <c r="G5" s="487"/>
      <c r="H5" s="488"/>
      <c r="I5" s="903"/>
      <c r="J5" s="903"/>
      <c r="K5" s="903"/>
      <c r="L5" s="903"/>
      <c r="M5" s="903"/>
      <c r="N5" s="903"/>
      <c r="O5" s="903"/>
      <c r="P5" s="903"/>
      <c r="Q5" s="903"/>
      <c r="R5" s="903"/>
      <c r="S5" s="903"/>
      <c r="T5" s="903"/>
    </row>
    <row r="6" spans="1:20" ht="15" thickBot="1" x14ac:dyDescent="0.35">
      <c r="A6" s="903"/>
      <c r="B6" s="1016"/>
      <c r="C6" s="1027"/>
      <c r="D6" s="456">
        <v>10.8</v>
      </c>
      <c r="E6" s="453">
        <v>10.4</v>
      </c>
      <c r="F6" s="492"/>
      <c r="G6" s="489"/>
      <c r="H6" s="490"/>
      <c r="I6" s="903"/>
      <c r="J6" s="903"/>
      <c r="K6" s="903"/>
      <c r="L6" s="903"/>
      <c r="M6" s="903"/>
      <c r="N6" s="903"/>
      <c r="O6" s="903"/>
      <c r="P6" s="903"/>
      <c r="Q6" s="903"/>
      <c r="R6" s="903"/>
      <c r="S6" s="903"/>
      <c r="T6" s="903"/>
    </row>
    <row r="7" spans="1:20" ht="18" x14ac:dyDescent="0.35">
      <c r="A7" s="903"/>
      <c r="B7" s="1016"/>
      <c r="C7" s="956" t="s">
        <v>352</v>
      </c>
      <c r="D7" s="207">
        <v>10.8</v>
      </c>
      <c r="E7" s="105">
        <v>10.4</v>
      </c>
      <c r="F7" s="296" t="s">
        <v>343</v>
      </c>
      <c r="G7" s="1003" t="s">
        <v>103</v>
      </c>
      <c r="H7" s="1004"/>
      <c r="I7" s="903"/>
      <c r="J7" s="903"/>
      <c r="K7" s="903"/>
      <c r="L7" s="903"/>
      <c r="M7" s="903"/>
      <c r="N7" s="903"/>
      <c r="O7" s="903"/>
      <c r="P7" s="903"/>
      <c r="Q7" s="903"/>
      <c r="R7" s="903"/>
      <c r="S7" s="903"/>
      <c r="T7" s="903"/>
    </row>
    <row r="8" spans="1:20" ht="15.6" x14ac:dyDescent="0.3">
      <c r="A8" s="903"/>
      <c r="B8" s="1016"/>
      <c r="C8" s="957"/>
      <c r="D8" s="444">
        <v>8.6999999999999993</v>
      </c>
      <c r="E8" s="441">
        <v>10.4</v>
      </c>
      <c r="F8" s="446" t="s">
        <v>343</v>
      </c>
      <c r="G8" s="1005"/>
      <c r="H8" s="1006"/>
      <c r="I8" s="903"/>
      <c r="J8" s="903"/>
      <c r="K8" s="903"/>
      <c r="L8" s="903"/>
      <c r="M8" s="903"/>
      <c r="N8" s="903"/>
      <c r="O8" s="903"/>
      <c r="P8" s="903"/>
      <c r="Q8" s="903"/>
      <c r="R8" s="903"/>
      <c r="S8" s="903"/>
      <c r="T8" s="903"/>
    </row>
    <row r="9" spans="1:20" ht="15" thickBot="1" x14ac:dyDescent="0.35">
      <c r="A9" s="903"/>
      <c r="B9" s="1016"/>
      <c r="C9" s="958"/>
      <c r="D9" s="456">
        <v>13.5</v>
      </c>
      <c r="E9" s="453">
        <v>13.9</v>
      </c>
      <c r="F9" s="457" t="s">
        <v>343</v>
      </c>
      <c r="G9" s="1007"/>
      <c r="H9" s="1008"/>
      <c r="I9" s="903"/>
      <c r="J9" s="903"/>
      <c r="K9" s="903"/>
      <c r="L9" s="903"/>
      <c r="M9" s="903"/>
      <c r="N9" s="903"/>
      <c r="O9" s="903"/>
      <c r="P9" s="903"/>
      <c r="Q9" s="903"/>
      <c r="R9" s="903"/>
      <c r="S9" s="903"/>
      <c r="T9" s="903"/>
    </row>
    <row r="10" spans="1:20" ht="21" x14ac:dyDescent="0.4">
      <c r="A10" s="903"/>
      <c r="B10" s="1016"/>
      <c r="C10" s="965" t="s">
        <v>353</v>
      </c>
      <c r="D10" s="207">
        <v>10.9</v>
      </c>
      <c r="E10" s="142">
        <v>10.3</v>
      </c>
      <c r="F10" s="406">
        <v>10.3</v>
      </c>
      <c r="G10" s="1009"/>
      <c r="H10" s="1010"/>
      <c r="I10" s="903"/>
      <c r="J10" s="903"/>
      <c r="K10" s="903"/>
      <c r="L10" s="903"/>
      <c r="M10" s="903"/>
      <c r="N10" s="903"/>
      <c r="O10" s="903"/>
      <c r="P10" s="903"/>
      <c r="Q10" s="903"/>
      <c r="R10" s="903"/>
      <c r="S10" s="903"/>
      <c r="T10" s="903"/>
    </row>
    <row r="11" spans="1:20" ht="15.6" x14ac:dyDescent="0.3">
      <c r="A11" s="903"/>
      <c r="B11" s="1016"/>
      <c r="C11" s="966"/>
      <c r="D11" s="444">
        <v>11.2</v>
      </c>
      <c r="E11" s="445">
        <v>10.6</v>
      </c>
      <c r="F11" s="447">
        <v>10.6</v>
      </c>
      <c r="G11" s="1011"/>
      <c r="H11" s="1012"/>
      <c r="I11" s="903"/>
      <c r="J11" s="903"/>
      <c r="K11" s="903"/>
      <c r="L11" s="903"/>
      <c r="M11" s="903"/>
      <c r="N11" s="903"/>
      <c r="O11" s="903"/>
      <c r="P11" s="903"/>
      <c r="Q11" s="903"/>
      <c r="R11" s="903"/>
      <c r="S11" s="903"/>
      <c r="T11" s="903"/>
    </row>
    <row r="12" spans="1:20" ht="15" thickBot="1" x14ac:dyDescent="0.35">
      <c r="A12" s="903"/>
      <c r="B12" s="1016"/>
      <c r="C12" s="967"/>
      <c r="D12" s="456">
        <v>11.7</v>
      </c>
      <c r="E12" s="453">
        <v>11.1</v>
      </c>
      <c r="F12" s="460">
        <v>11.1</v>
      </c>
      <c r="G12" s="1013"/>
      <c r="H12" s="1014"/>
      <c r="I12" s="903"/>
      <c r="J12" s="903"/>
      <c r="K12" s="903"/>
      <c r="L12" s="903"/>
      <c r="M12" s="903"/>
      <c r="N12" s="903"/>
      <c r="O12" s="903"/>
      <c r="P12" s="903"/>
      <c r="Q12" s="903"/>
      <c r="R12" s="903"/>
      <c r="S12" s="903"/>
      <c r="T12" s="903"/>
    </row>
    <row r="13" spans="1:20" ht="18" x14ac:dyDescent="0.35">
      <c r="A13" s="903"/>
      <c r="B13" s="1016"/>
      <c r="C13" s="956" t="s">
        <v>838</v>
      </c>
      <c r="D13" s="500"/>
      <c r="E13" s="501"/>
      <c r="F13" s="501"/>
      <c r="G13" s="913"/>
      <c r="H13" s="914"/>
      <c r="I13" s="903"/>
      <c r="J13" s="903"/>
      <c r="K13" s="903"/>
      <c r="L13" s="903"/>
      <c r="M13" s="903"/>
      <c r="N13" s="903"/>
      <c r="O13" s="903"/>
      <c r="P13" s="903"/>
      <c r="Q13" s="903"/>
      <c r="R13" s="903"/>
      <c r="S13" s="903"/>
      <c r="T13" s="903"/>
    </row>
    <row r="14" spans="1:20" x14ac:dyDescent="0.3">
      <c r="A14" s="903"/>
      <c r="B14" s="1016"/>
      <c r="C14" s="957"/>
      <c r="D14" s="502"/>
      <c r="E14" s="502"/>
      <c r="F14" s="502"/>
      <c r="G14" s="915"/>
      <c r="H14" s="916"/>
      <c r="I14" s="903"/>
      <c r="J14" s="903"/>
      <c r="K14" s="903"/>
      <c r="L14" s="903"/>
      <c r="M14" s="903"/>
      <c r="N14" s="903"/>
      <c r="O14" s="903"/>
      <c r="P14" s="903"/>
      <c r="Q14" s="903"/>
      <c r="R14" s="903"/>
      <c r="S14" s="903"/>
      <c r="T14" s="903"/>
    </row>
    <row r="15" spans="1:20" ht="15" thickBot="1" x14ac:dyDescent="0.35">
      <c r="A15" s="903"/>
      <c r="B15" s="1016"/>
      <c r="C15" s="957"/>
      <c r="D15" s="729"/>
      <c r="E15" s="730"/>
      <c r="F15" s="731"/>
      <c r="G15" s="915"/>
      <c r="H15" s="916"/>
      <c r="I15" s="903"/>
      <c r="J15" s="903"/>
      <c r="K15" s="903"/>
      <c r="L15" s="903"/>
      <c r="M15" s="903"/>
      <c r="N15" s="903"/>
      <c r="O15" s="903"/>
      <c r="P15" s="903"/>
      <c r="Q15" s="903"/>
      <c r="R15" s="903"/>
      <c r="S15" s="903"/>
      <c r="T15" s="903"/>
    </row>
    <row r="16" spans="1:20" ht="15" thickBot="1" x14ac:dyDescent="0.35">
      <c r="A16" s="903"/>
      <c r="B16" s="1017"/>
      <c r="C16" s="1028" t="s">
        <v>952</v>
      </c>
      <c r="D16" s="938" t="s">
        <v>953</v>
      </c>
      <c r="E16" s="939"/>
      <c r="F16" s="940"/>
      <c r="G16" s="732"/>
      <c r="H16" s="733"/>
      <c r="I16" s="903"/>
      <c r="J16" s="903"/>
      <c r="K16" s="903"/>
      <c r="L16" s="903"/>
      <c r="M16" s="903"/>
      <c r="N16" s="903"/>
      <c r="O16" s="903"/>
      <c r="P16" s="903"/>
      <c r="Q16" s="903"/>
      <c r="R16" s="903"/>
      <c r="S16" s="903"/>
      <c r="T16" s="903"/>
    </row>
    <row r="17" spans="1:20" ht="21" x14ac:dyDescent="0.4">
      <c r="A17" s="903"/>
      <c r="B17" s="1017"/>
      <c r="C17" s="1029"/>
      <c r="D17" s="732"/>
      <c r="E17" s="739"/>
      <c r="F17" s="733"/>
      <c r="G17" s="734"/>
      <c r="H17" s="735"/>
      <c r="I17" s="903"/>
      <c r="J17" s="903"/>
      <c r="K17" s="903"/>
      <c r="L17" s="903"/>
      <c r="M17" s="903"/>
      <c r="N17" s="903"/>
      <c r="O17" s="903"/>
      <c r="P17" s="903"/>
      <c r="Q17" s="903"/>
      <c r="R17" s="903"/>
      <c r="S17" s="903"/>
      <c r="T17" s="903"/>
    </row>
    <row r="18" spans="1:20" x14ac:dyDescent="0.3">
      <c r="A18" s="903"/>
      <c r="B18" s="1017"/>
      <c r="C18" s="1029"/>
      <c r="D18" s="734"/>
      <c r="E18" s="738"/>
      <c r="F18" s="735"/>
      <c r="G18" s="734"/>
      <c r="H18" s="735"/>
      <c r="I18" s="903"/>
      <c r="J18" s="903"/>
      <c r="K18" s="903"/>
      <c r="L18" s="903"/>
      <c r="M18" s="903"/>
      <c r="N18" s="903"/>
      <c r="O18" s="903"/>
      <c r="P18" s="903"/>
      <c r="Q18" s="903"/>
      <c r="R18" s="903"/>
      <c r="S18" s="903"/>
      <c r="T18" s="903"/>
    </row>
    <row r="19" spans="1:20" ht="15" thickBot="1" x14ac:dyDescent="0.35">
      <c r="A19" s="903"/>
      <c r="B19" s="1017"/>
      <c r="C19" s="1030"/>
      <c r="D19" s="736"/>
      <c r="E19" s="740"/>
      <c r="F19" s="737"/>
      <c r="G19" s="734"/>
      <c r="H19" s="735"/>
      <c r="I19" s="903"/>
      <c r="J19" s="903"/>
      <c r="K19" s="903"/>
      <c r="L19" s="903"/>
      <c r="M19" s="903"/>
      <c r="N19" s="903"/>
      <c r="O19" s="903"/>
      <c r="P19" s="903"/>
      <c r="Q19" s="903"/>
      <c r="R19" s="903"/>
      <c r="S19" s="903"/>
      <c r="T19" s="903"/>
    </row>
    <row r="20" spans="1:20" ht="15" thickBot="1" x14ac:dyDescent="0.35">
      <c r="A20" s="903"/>
      <c r="B20" s="1017"/>
      <c r="C20" s="1063" t="s">
        <v>785</v>
      </c>
      <c r="D20" s="1064"/>
      <c r="E20" s="1064"/>
      <c r="F20" s="1065"/>
      <c r="G20" s="814">
        <v>60</v>
      </c>
      <c r="H20" s="728"/>
      <c r="I20" s="903"/>
      <c r="J20" s="903"/>
      <c r="K20" s="903"/>
      <c r="L20" s="903"/>
      <c r="M20" s="903"/>
      <c r="N20" s="903"/>
      <c r="O20" s="903"/>
      <c r="P20" s="903"/>
      <c r="Q20" s="903"/>
      <c r="R20" s="903"/>
      <c r="S20" s="903"/>
      <c r="T20" s="903"/>
    </row>
    <row r="21" spans="1:20" ht="18" x14ac:dyDescent="0.35">
      <c r="A21" s="903"/>
      <c r="B21" s="1016"/>
      <c r="C21" s="1060" t="s">
        <v>772</v>
      </c>
      <c r="D21" s="374">
        <v>10.9</v>
      </c>
      <c r="E21" s="105">
        <v>10.7</v>
      </c>
      <c r="F21" s="413">
        <v>10.5</v>
      </c>
      <c r="G21" s="307"/>
      <c r="H21" s="468"/>
      <c r="I21" s="903"/>
      <c r="J21" s="903"/>
      <c r="K21" s="903"/>
      <c r="L21" s="903"/>
      <c r="M21" s="903"/>
      <c r="N21" s="903"/>
      <c r="O21" s="903"/>
      <c r="P21" s="903"/>
      <c r="Q21" s="903"/>
      <c r="R21" s="903"/>
      <c r="S21" s="903"/>
      <c r="T21" s="903"/>
    </row>
    <row r="22" spans="1:20" ht="18" x14ac:dyDescent="0.35">
      <c r="A22" s="903"/>
      <c r="B22" s="1016"/>
      <c r="C22" s="1061"/>
      <c r="D22" s="440">
        <v>11.1</v>
      </c>
      <c r="E22" s="441">
        <v>10.9</v>
      </c>
      <c r="F22" s="461">
        <v>10.7</v>
      </c>
      <c r="G22" s="462"/>
      <c r="H22" s="469"/>
      <c r="I22" s="903"/>
      <c r="J22" s="903"/>
      <c r="K22" s="903"/>
      <c r="L22" s="903"/>
      <c r="M22" s="903"/>
      <c r="N22" s="903"/>
      <c r="O22" s="903"/>
      <c r="P22" s="903"/>
      <c r="Q22" s="903"/>
      <c r="R22" s="903"/>
      <c r="S22" s="903"/>
      <c r="T22" s="903"/>
    </row>
    <row r="23" spans="1:20" ht="15" thickBot="1" x14ac:dyDescent="0.35">
      <c r="A23" s="903"/>
      <c r="B23" s="1016"/>
      <c r="C23" s="1062"/>
      <c r="D23" s="452">
        <v>13.4</v>
      </c>
      <c r="E23" s="453">
        <v>13.2</v>
      </c>
      <c r="F23" s="466">
        <v>13</v>
      </c>
      <c r="G23" s="515"/>
      <c r="H23" s="516"/>
      <c r="I23" s="903"/>
      <c r="J23" s="903"/>
      <c r="K23" s="903"/>
      <c r="L23" s="903"/>
      <c r="M23" s="903"/>
      <c r="N23" s="903"/>
      <c r="O23" s="903"/>
      <c r="P23" s="903"/>
      <c r="Q23" s="903"/>
      <c r="R23" s="903"/>
      <c r="S23" s="903"/>
      <c r="T23" s="903"/>
    </row>
    <row r="24" spans="1:20" ht="15" thickBot="1" x14ac:dyDescent="0.35">
      <c r="A24" s="903"/>
      <c r="B24" s="1018"/>
      <c r="C24" s="91"/>
      <c r="D24" s="91"/>
      <c r="E24" s="91"/>
      <c r="F24" s="91"/>
      <c r="G24" s="91"/>
      <c r="H24" s="91"/>
      <c r="I24" s="903"/>
      <c r="J24" s="903"/>
      <c r="K24" s="903"/>
      <c r="L24" s="903"/>
      <c r="M24" s="903"/>
      <c r="N24" s="903"/>
      <c r="O24" s="903"/>
      <c r="P24" s="903"/>
      <c r="Q24" s="903"/>
      <c r="R24" s="903"/>
      <c r="S24" s="903"/>
      <c r="T24" s="903"/>
    </row>
    <row r="25" spans="1:20" x14ac:dyDescent="0.3">
      <c r="A25" s="903"/>
      <c r="B25" s="903"/>
      <c r="C25" s="903"/>
      <c r="D25" s="903"/>
      <c r="E25" s="903"/>
      <c r="F25" s="903"/>
      <c r="G25" s="903"/>
      <c r="H25" s="903"/>
      <c r="I25" s="903"/>
      <c r="J25" s="903"/>
      <c r="K25" s="903"/>
      <c r="L25" s="903"/>
      <c r="M25" s="903"/>
      <c r="N25" s="903"/>
      <c r="O25" s="903"/>
      <c r="P25" s="903"/>
      <c r="Q25" s="903"/>
      <c r="R25" s="903"/>
      <c r="S25" s="903"/>
      <c r="T25" s="903"/>
    </row>
    <row r="26" spans="1:20" x14ac:dyDescent="0.3">
      <c r="A26" s="903"/>
      <c r="B26" s="903"/>
      <c r="C26" s="903"/>
      <c r="D26" s="903"/>
      <c r="E26" s="903"/>
      <c r="F26" s="903"/>
      <c r="G26" s="903"/>
      <c r="H26" s="903"/>
      <c r="I26" s="903"/>
      <c r="J26" s="903"/>
      <c r="K26" s="903"/>
      <c r="L26" s="903"/>
      <c r="M26" s="903"/>
      <c r="N26" s="903"/>
      <c r="O26" s="903"/>
      <c r="P26" s="903"/>
      <c r="Q26" s="903"/>
      <c r="R26" s="903"/>
      <c r="S26" s="903"/>
      <c r="T26" s="903"/>
    </row>
    <row r="27" spans="1:20" x14ac:dyDescent="0.3">
      <c r="A27" s="903"/>
      <c r="B27" s="903"/>
      <c r="C27" s="903"/>
      <c r="D27" s="903"/>
      <c r="E27" s="903"/>
      <c r="F27" s="903"/>
      <c r="G27" s="903"/>
      <c r="H27" s="903"/>
      <c r="I27" s="903"/>
      <c r="J27" s="903"/>
      <c r="K27" s="903"/>
      <c r="L27" s="903"/>
      <c r="M27" s="903"/>
      <c r="N27" s="903"/>
      <c r="O27" s="903"/>
      <c r="P27" s="903"/>
      <c r="Q27" s="903"/>
      <c r="R27" s="903"/>
      <c r="S27" s="903"/>
      <c r="T27" s="903"/>
    </row>
    <row r="28" spans="1:20" x14ac:dyDescent="0.3">
      <c r="A28" s="903"/>
      <c r="B28" s="903"/>
      <c r="C28" s="903"/>
      <c r="D28" s="903"/>
      <c r="E28" s="903"/>
      <c r="F28" s="903"/>
      <c r="G28" s="903"/>
      <c r="H28" s="903"/>
      <c r="I28" s="903"/>
      <c r="J28" s="903"/>
      <c r="K28" s="903"/>
      <c r="L28" s="903"/>
      <c r="M28" s="903"/>
      <c r="N28" s="903"/>
      <c r="O28" s="903"/>
      <c r="P28" s="903"/>
      <c r="Q28" s="903"/>
      <c r="R28" s="903"/>
      <c r="S28" s="903"/>
      <c r="T28" s="903"/>
    </row>
    <row r="29" spans="1:20" x14ac:dyDescent="0.3">
      <c r="A29" s="903"/>
      <c r="B29" s="903"/>
      <c r="C29" s="903"/>
      <c r="D29" s="903"/>
      <c r="E29" s="903"/>
      <c r="F29" s="903"/>
      <c r="G29" s="903"/>
      <c r="H29" s="903"/>
      <c r="I29" s="903"/>
      <c r="J29" s="903"/>
      <c r="K29" s="903"/>
      <c r="L29" s="903"/>
      <c r="M29" s="903"/>
      <c r="N29" s="903"/>
      <c r="O29" s="903"/>
      <c r="P29" s="903"/>
      <c r="Q29" s="903"/>
      <c r="R29" s="903"/>
      <c r="S29" s="903"/>
      <c r="T29" s="903"/>
    </row>
    <row r="30" spans="1:20" x14ac:dyDescent="0.3">
      <c r="A30" s="903"/>
      <c r="B30" s="903"/>
      <c r="C30" s="903"/>
      <c r="D30" s="903"/>
      <c r="E30" s="903"/>
      <c r="F30" s="903"/>
      <c r="G30" s="903"/>
      <c r="H30" s="903"/>
      <c r="I30" s="903"/>
      <c r="J30" s="903"/>
      <c r="K30" s="903"/>
      <c r="L30" s="903"/>
      <c r="M30" s="903"/>
      <c r="N30" s="903"/>
      <c r="O30" s="903"/>
      <c r="P30" s="903"/>
      <c r="Q30" s="903"/>
      <c r="R30" s="903"/>
      <c r="S30" s="903"/>
      <c r="T30" s="903"/>
    </row>
    <row r="31" spans="1:20" x14ac:dyDescent="0.3">
      <c r="A31" s="903"/>
      <c r="B31" s="903"/>
      <c r="C31" s="903"/>
      <c r="D31" s="903"/>
      <c r="E31" s="903"/>
      <c r="F31" s="903"/>
      <c r="G31" s="903"/>
      <c r="H31" s="903"/>
      <c r="I31" s="903"/>
      <c r="J31" s="903"/>
      <c r="K31" s="903"/>
      <c r="L31" s="903"/>
      <c r="M31" s="903"/>
      <c r="N31" s="903"/>
      <c r="O31" s="903"/>
      <c r="P31" s="903"/>
      <c r="Q31" s="903"/>
      <c r="R31" s="903"/>
      <c r="S31" s="903"/>
      <c r="T31" s="903"/>
    </row>
    <row r="32" spans="1:20" x14ac:dyDescent="0.3">
      <c r="A32" s="903"/>
      <c r="B32" s="903"/>
      <c r="C32" s="903"/>
      <c r="D32" s="903"/>
      <c r="E32" s="903"/>
      <c r="F32" s="903"/>
      <c r="G32" s="903"/>
      <c r="H32" s="903"/>
      <c r="I32" s="903"/>
      <c r="J32" s="903"/>
      <c r="K32" s="903"/>
      <c r="L32" s="903"/>
      <c r="M32" s="903"/>
      <c r="N32" s="903"/>
      <c r="O32" s="903"/>
      <c r="P32" s="903"/>
      <c r="Q32" s="903"/>
      <c r="R32" s="903"/>
      <c r="S32" s="903"/>
      <c r="T32" s="903"/>
    </row>
    <row r="33" spans="1:20" x14ac:dyDescent="0.3">
      <c r="A33" s="903"/>
      <c r="B33" s="903"/>
      <c r="C33" s="903"/>
      <c r="D33" s="903"/>
      <c r="E33" s="903"/>
      <c r="F33" s="903"/>
      <c r="G33" s="903"/>
      <c r="H33" s="903"/>
      <c r="I33" s="903"/>
      <c r="J33" s="903"/>
      <c r="K33" s="903"/>
      <c r="L33" s="903"/>
      <c r="M33" s="903"/>
      <c r="N33" s="903"/>
      <c r="O33" s="903"/>
      <c r="P33" s="903"/>
      <c r="Q33" s="903"/>
      <c r="R33" s="903"/>
      <c r="S33" s="903"/>
      <c r="T33" s="903"/>
    </row>
    <row r="34" spans="1:20" x14ac:dyDescent="0.3">
      <c r="A34" s="903"/>
      <c r="B34" s="903"/>
      <c r="C34" s="903"/>
      <c r="D34" s="903"/>
      <c r="E34" s="903"/>
      <c r="F34" s="903"/>
      <c r="G34" s="903"/>
      <c r="H34" s="903"/>
      <c r="I34" s="903"/>
      <c r="J34" s="903"/>
      <c r="K34" s="903"/>
      <c r="L34" s="903"/>
      <c r="M34" s="903"/>
      <c r="N34" s="903"/>
      <c r="O34" s="903"/>
      <c r="P34" s="903"/>
      <c r="Q34" s="903"/>
      <c r="R34" s="903"/>
      <c r="S34" s="903"/>
      <c r="T34" s="903"/>
    </row>
    <row r="35" spans="1:20" x14ac:dyDescent="0.3">
      <c r="A35" s="903"/>
      <c r="B35" s="903"/>
      <c r="C35" s="903"/>
      <c r="D35" s="903"/>
      <c r="E35" s="903"/>
      <c r="F35" s="903"/>
      <c r="G35" s="903"/>
      <c r="H35" s="903"/>
      <c r="I35" s="903"/>
      <c r="J35" s="903"/>
      <c r="K35" s="903"/>
      <c r="L35" s="903"/>
      <c r="M35" s="903"/>
      <c r="N35" s="903"/>
      <c r="O35" s="903"/>
      <c r="P35" s="903"/>
      <c r="Q35" s="903"/>
      <c r="R35" s="903"/>
      <c r="S35" s="903"/>
      <c r="T35" s="903"/>
    </row>
  </sheetData>
  <mergeCells count="13">
    <mergeCell ref="D16:F16"/>
    <mergeCell ref="C20:F20"/>
    <mergeCell ref="C21:C23"/>
    <mergeCell ref="B3:B24"/>
    <mergeCell ref="G3:H3"/>
    <mergeCell ref="C4:C6"/>
    <mergeCell ref="C7:C9"/>
    <mergeCell ref="G7:H9"/>
    <mergeCell ref="C10:C12"/>
    <mergeCell ref="G10:H12"/>
    <mergeCell ref="C13:C15"/>
    <mergeCell ref="G13:H15"/>
    <mergeCell ref="C16:C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pageSetUpPr fitToPage="1"/>
  </sheetPr>
  <dimension ref="A1:M326"/>
  <sheetViews>
    <sheetView zoomScale="70" zoomScaleNormal="70" workbookViewId="0">
      <selection activeCell="L12" sqref="L12"/>
    </sheetView>
  </sheetViews>
  <sheetFormatPr defaultColWidth="9.109375" defaultRowHeight="14.4" x14ac:dyDescent="0.3"/>
  <cols>
    <col min="1" max="1" width="10" style="225" customWidth="1"/>
    <col min="2" max="2" width="28.33203125" style="225" bestFit="1" customWidth="1"/>
    <col min="3" max="3" width="22.88671875" style="225" customWidth="1"/>
    <col min="4" max="4" width="23.5546875" style="225" customWidth="1"/>
    <col min="5" max="5" width="75.109375" style="225" customWidth="1"/>
    <col min="6" max="7" width="9.109375" style="225"/>
    <col min="8" max="8" width="44.33203125" style="225" bestFit="1" customWidth="1"/>
    <col min="9" max="9" width="12.88671875" style="225" bestFit="1" customWidth="1"/>
    <col min="10" max="10" width="9.109375" style="225"/>
    <col min="11" max="11" width="16.33203125" style="225" customWidth="1"/>
    <col min="12" max="12" width="16.44140625" style="225" bestFit="1" customWidth="1"/>
    <col min="13" max="16384" width="9.109375" style="225"/>
  </cols>
  <sheetData>
    <row r="1" spans="2:12" ht="15" customHeight="1" x14ac:dyDescent="0.3">
      <c r="B1" s="1240" t="s">
        <v>403</v>
      </c>
      <c r="C1" s="1240"/>
      <c r="D1" s="1240"/>
      <c r="E1" s="1240"/>
      <c r="F1" s="1240"/>
      <c r="G1" s="1240"/>
      <c r="H1" s="1240"/>
      <c r="I1" s="1240"/>
      <c r="J1" s="1240"/>
      <c r="K1" s="1240"/>
      <c r="L1" s="235"/>
    </row>
    <row r="2" spans="2:12" ht="15" customHeight="1" x14ac:dyDescent="0.3">
      <c r="B2" s="1240"/>
      <c r="C2" s="1240"/>
      <c r="D2" s="1240"/>
      <c r="E2" s="1240"/>
      <c r="F2" s="1240"/>
      <c r="G2" s="1240"/>
      <c r="H2" s="1240"/>
      <c r="I2" s="1240"/>
      <c r="J2" s="1240"/>
      <c r="K2" s="1240"/>
      <c r="L2" s="235"/>
    </row>
    <row r="3" spans="2:12" ht="21" x14ac:dyDescent="0.3">
      <c r="B3" s="1240"/>
      <c r="C3" s="1240"/>
      <c r="D3" s="1240"/>
      <c r="E3" s="1240"/>
      <c r="F3" s="1240"/>
      <c r="G3" s="1240"/>
      <c r="H3" s="1240"/>
      <c r="I3" s="1240"/>
      <c r="J3" s="1240"/>
      <c r="K3" s="1240"/>
      <c r="L3" s="226"/>
    </row>
    <row r="4" spans="2:12" ht="18" x14ac:dyDescent="0.35">
      <c r="B4" s="208" t="s">
        <v>355</v>
      </c>
      <c r="C4" s="208"/>
      <c r="D4" s="208"/>
      <c r="E4" s="208"/>
      <c r="H4" s="236" t="s">
        <v>404</v>
      </c>
      <c r="I4" s="250" t="s">
        <v>68</v>
      </c>
      <c r="J4" s="236" t="s">
        <v>443</v>
      </c>
      <c r="K4" s="236" t="s">
        <v>467</v>
      </c>
      <c r="L4" s="236" t="s">
        <v>549</v>
      </c>
    </row>
    <row r="5" spans="2:12" ht="18" x14ac:dyDescent="0.35">
      <c r="B5" s="209" t="s">
        <v>459</v>
      </c>
      <c r="C5" s="209" t="s">
        <v>345</v>
      </c>
      <c r="D5" s="209" t="s">
        <v>354</v>
      </c>
      <c r="E5" s="209" t="s">
        <v>463</v>
      </c>
      <c r="H5" s="227" t="s">
        <v>382</v>
      </c>
      <c r="I5" s="251">
        <v>19</v>
      </c>
      <c r="J5" s="26"/>
      <c r="K5" s="254">
        <f>I5*J5</f>
        <v>0</v>
      </c>
      <c r="L5" s="254">
        <v>1</v>
      </c>
    </row>
    <row r="6" spans="2:12" ht="18" x14ac:dyDescent="0.35">
      <c r="B6" s="209"/>
      <c r="C6" s="209"/>
      <c r="D6" s="209"/>
      <c r="E6" s="210"/>
      <c r="H6" s="228" t="s">
        <v>384</v>
      </c>
      <c r="I6" s="252">
        <v>49</v>
      </c>
      <c r="J6" s="253"/>
      <c r="K6" s="255">
        <f t="shared" ref="K6:K30" si="0">I6*J6</f>
        <v>0</v>
      </c>
      <c r="L6" s="255">
        <v>2</v>
      </c>
    </row>
    <row r="7" spans="2:12" ht="18" x14ac:dyDescent="0.35">
      <c r="B7" s="209" t="s">
        <v>458</v>
      </c>
      <c r="C7" s="209">
        <v>34.99</v>
      </c>
      <c r="D7" s="265">
        <v>99</v>
      </c>
      <c r="E7" s="210" t="s">
        <v>547</v>
      </c>
      <c r="H7" s="227" t="s">
        <v>386</v>
      </c>
      <c r="I7" s="251">
        <v>49</v>
      </c>
      <c r="J7" s="26"/>
      <c r="K7" s="254">
        <f t="shared" si="0"/>
        <v>0</v>
      </c>
      <c r="L7" s="254">
        <v>2</v>
      </c>
    </row>
    <row r="8" spans="2:12" ht="18" x14ac:dyDescent="0.35">
      <c r="B8" s="209" t="s">
        <v>460</v>
      </c>
      <c r="C8" s="209">
        <v>43.99</v>
      </c>
      <c r="D8" s="265">
        <v>0</v>
      </c>
      <c r="E8" s="210" t="s">
        <v>546</v>
      </c>
      <c r="H8" s="228" t="s">
        <v>388</v>
      </c>
      <c r="I8" s="252">
        <v>19</v>
      </c>
      <c r="J8" s="253"/>
      <c r="K8" s="255">
        <f t="shared" si="0"/>
        <v>0</v>
      </c>
      <c r="L8" s="255">
        <v>1</v>
      </c>
    </row>
    <row r="9" spans="2:12" ht="18" x14ac:dyDescent="0.35">
      <c r="B9" s="209" t="s">
        <v>461</v>
      </c>
      <c r="C9" s="209">
        <v>49.99</v>
      </c>
      <c r="D9" s="265">
        <v>49</v>
      </c>
      <c r="E9" s="210" t="s">
        <v>548</v>
      </c>
      <c r="H9" s="227" t="s">
        <v>464</v>
      </c>
      <c r="I9" s="251">
        <v>49</v>
      </c>
      <c r="J9" s="26"/>
      <c r="K9" s="254">
        <f t="shared" si="0"/>
        <v>0</v>
      </c>
      <c r="L9" s="254">
        <v>2</v>
      </c>
    </row>
    <row r="10" spans="2:12" ht="18" x14ac:dyDescent="0.35">
      <c r="B10" s="230" t="s">
        <v>462</v>
      </c>
      <c r="C10" s="230">
        <v>56.99</v>
      </c>
      <c r="D10" s="265">
        <v>99</v>
      </c>
      <c r="E10" s="263" t="s">
        <v>477</v>
      </c>
      <c r="H10" s="228" t="s">
        <v>390</v>
      </c>
      <c r="I10" s="252">
        <v>149</v>
      </c>
      <c r="J10" s="253"/>
      <c r="K10" s="255">
        <f t="shared" si="0"/>
        <v>0</v>
      </c>
      <c r="L10" s="255">
        <v>5</v>
      </c>
    </row>
    <row r="11" spans="2:12" ht="18" x14ac:dyDescent="0.35">
      <c r="B11" s="230"/>
      <c r="C11" s="230"/>
      <c r="D11" s="233"/>
      <c r="E11" s="263"/>
      <c r="H11" s="227" t="s">
        <v>392</v>
      </c>
      <c r="I11" s="251">
        <v>19</v>
      </c>
      <c r="J11" s="26"/>
      <c r="K11" s="254">
        <f t="shared" si="0"/>
        <v>0</v>
      </c>
      <c r="L11" s="254">
        <v>1</v>
      </c>
    </row>
    <row r="12" spans="2:12" ht="18" x14ac:dyDescent="0.35">
      <c r="B12" s="230"/>
      <c r="C12" s="230"/>
      <c r="D12" s="233"/>
      <c r="E12" s="263"/>
      <c r="H12" s="228" t="s">
        <v>394</v>
      </c>
      <c r="I12" s="252">
        <v>59</v>
      </c>
      <c r="J12" s="253"/>
      <c r="K12" s="255">
        <f t="shared" si="0"/>
        <v>0</v>
      </c>
      <c r="L12" s="255">
        <v>2</v>
      </c>
    </row>
    <row r="13" spans="2:12" ht="18" x14ac:dyDescent="0.35">
      <c r="B13" s="213"/>
      <c r="C13" s="213"/>
      <c r="D13" s="211"/>
      <c r="E13" s="210"/>
      <c r="H13" s="227" t="s">
        <v>550</v>
      </c>
      <c r="I13" s="251">
        <v>69</v>
      </c>
      <c r="J13" s="26"/>
      <c r="K13" s="254">
        <f t="shared" si="0"/>
        <v>0</v>
      </c>
      <c r="L13" s="254">
        <v>2</v>
      </c>
    </row>
    <row r="14" spans="2:12" ht="18" x14ac:dyDescent="0.35">
      <c r="B14" s="234"/>
      <c r="C14" s="234"/>
      <c r="D14" s="233"/>
      <c r="E14" s="224"/>
      <c r="H14" s="228" t="s">
        <v>397</v>
      </c>
      <c r="I14" s="252">
        <v>59</v>
      </c>
      <c r="J14" s="253"/>
      <c r="K14" s="255">
        <f t="shared" si="0"/>
        <v>0</v>
      </c>
      <c r="L14" s="255">
        <v>2</v>
      </c>
    </row>
    <row r="15" spans="2:12" ht="18" x14ac:dyDescent="0.35">
      <c r="B15" s="230"/>
      <c r="C15" s="230"/>
      <c r="D15" s="233"/>
      <c r="E15" s="264"/>
      <c r="H15" s="227" t="s">
        <v>399</v>
      </c>
      <c r="I15" s="251">
        <v>199</v>
      </c>
      <c r="J15" s="26"/>
      <c r="K15" s="254">
        <f t="shared" si="0"/>
        <v>0</v>
      </c>
      <c r="L15" s="254">
        <v>6</v>
      </c>
    </row>
    <row r="16" spans="2:12" ht="18" x14ac:dyDescent="0.35">
      <c r="B16" s="230"/>
      <c r="C16" s="230"/>
      <c r="D16" s="233"/>
      <c r="E16" s="264"/>
      <c r="H16" s="228" t="s">
        <v>401</v>
      </c>
      <c r="I16" s="252">
        <v>49</v>
      </c>
      <c r="J16" s="253"/>
      <c r="K16" s="255">
        <f t="shared" si="0"/>
        <v>0</v>
      </c>
      <c r="L16" s="255">
        <v>2</v>
      </c>
    </row>
    <row r="17" spans="1:12" ht="18" x14ac:dyDescent="0.35">
      <c r="B17" s="230"/>
      <c r="C17" s="230"/>
      <c r="D17" s="233"/>
      <c r="E17" s="224"/>
      <c r="H17" s="227" t="s">
        <v>383</v>
      </c>
      <c r="I17" s="251">
        <v>49</v>
      </c>
      <c r="J17" s="26"/>
      <c r="K17" s="254">
        <f t="shared" si="0"/>
        <v>0</v>
      </c>
      <c r="L17" s="254">
        <v>2</v>
      </c>
    </row>
    <row r="18" spans="1:12" ht="18" x14ac:dyDescent="0.35">
      <c r="B18" s="229"/>
      <c r="C18" s="229"/>
      <c r="D18" s="229"/>
      <c r="E18" s="229"/>
      <c r="H18" s="228" t="s">
        <v>385</v>
      </c>
      <c r="I18" s="252">
        <v>49</v>
      </c>
      <c r="J18" s="253"/>
      <c r="K18" s="255">
        <f t="shared" si="0"/>
        <v>0</v>
      </c>
      <c r="L18" s="255">
        <v>2</v>
      </c>
    </row>
    <row r="19" spans="1:12" ht="18" x14ac:dyDescent="0.35">
      <c r="B19" s="229"/>
      <c r="C19" s="229"/>
      <c r="D19" s="229"/>
      <c r="E19" s="229"/>
      <c r="H19" s="227" t="s">
        <v>387</v>
      </c>
      <c r="I19" s="251">
        <v>49</v>
      </c>
      <c r="J19" s="26"/>
      <c r="K19" s="254">
        <f t="shared" si="0"/>
        <v>0</v>
      </c>
      <c r="L19" s="254">
        <v>2</v>
      </c>
    </row>
    <row r="20" spans="1:12" ht="18" x14ac:dyDescent="0.35">
      <c r="B20" s="206" t="s">
        <v>332</v>
      </c>
      <c r="C20" s="206"/>
      <c r="D20" s="206"/>
      <c r="E20" s="206"/>
      <c r="H20" s="228" t="s">
        <v>389</v>
      </c>
      <c r="I20" s="252">
        <v>49</v>
      </c>
      <c r="J20" s="253"/>
      <c r="K20" s="255">
        <f t="shared" si="0"/>
        <v>0</v>
      </c>
      <c r="L20" s="255">
        <v>2</v>
      </c>
    </row>
    <row r="21" spans="1:12" ht="18" x14ac:dyDescent="0.35">
      <c r="B21" s="231">
        <v>36.99</v>
      </c>
      <c r="C21" s="231"/>
      <c r="D21" s="212">
        <v>99</v>
      </c>
      <c r="E21" s="210" t="s">
        <v>346</v>
      </c>
      <c r="H21" s="227" t="s">
        <v>465</v>
      </c>
      <c r="I21" s="251">
        <v>199</v>
      </c>
      <c r="J21" s="26"/>
      <c r="K21" s="254">
        <f t="shared" si="0"/>
        <v>0</v>
      </c>
      <c r="L21" s="254">
        <v>10</v>
      </c>
    </row>
    <row r="22" spans="1:12" ht="18" x14ac:dyDescent="0.35">
      <c r="B22" s="231">
        <v>44.99</v>
      </c>
      <c r="C22" s="231"/>
      <c r="D22" s="212">
        <v>99</v>
      </c>
      <c r="E22" s="210" t="s">
        <v>347</v>
      </c>
      <c r="H22" s="228" t="s">
        <v>391</v>
      </c>
      <c r="I22" s="252">
        <v>269</v>
      </c>
      <c r="J22" s="253"/>
      <c r="K22" s="255">
        <f t="shared" si="0"/>
        <v>0</v>
      </c>
      <c r="L22" s="255">
        <v>10</v>
      </c>
    </row>
    <row r="23" spans="1:12" ht="18" x14ac:dyDescent="0.35">
      <c r="B23" s="232">
        <v>52.99</v>
      </c>
      <c r="C23" s="232"/>
      <c r="D23" s="212">
        <v>99</v>
      </c>
      <c r="E23" s="210" t="s">
        <v>348</v>
      </c>
      <c r="H23" s="227" t="s">
        <v>393</v>
      </c>
      <c r="I23" s="251">
        <v>130</v>
      </c>
      <c r="J23" s="26"/>
      <c r="K23" s="254">
        <f t="shared" si="0"/>
        <v>0</v>
      </c>
      <c r="L23" s="254">
        <v>5</v>
      </c>
    </row>
    <row r="24" spans="1:12" ht="18" x14ac:dyDescent="0.35">
      <c r="B24" s="214" t="s">
        <v>359</v>
      </c>
      <c r="C24" s="214"/>
      <c r="D24" s="210"/>
      <c r="E24" s="210"/>
      <c r="H24" s="228" t="s">
        <v>395</v>
      </c>
      <c r="I24" s="252">
        <v>49</v>
      </c>
      <c r="J24" s="253"/>
      <c r="K24" s="255">
        <f t="shared" si="0"/>
        <v>0</v>
      </c>
      <c r="L24" s="255">
        <v>2</v>
      </c>
    </row>
    <row r="25" spans="1:12" ht="18" x14ac:dyDescent="0.35">
      <c r="B25" s="231">
        <v>58.99</v>
      </c>
      <c r="C25" s="231"/>
      <c r="D25" s="212">
        <v>99</v>
      </c>
      <c r="E25" s="210" t="s">
        <v>589</v>
      </c>
      <c r="H25" s="227" t="s">
        <v>396</v>
      </c>
      <c r="I25" s="251">
        <v>149</v>
      </c>
      <c r="J25" s="26"/>
      <c r="K25" s="254">
        <f t="shared" si="0"/>
        <v>0</v>
      </c>
      <c r="L25" s="254">
        <v>4</v>
      </c>
    </row>
    <row r="26" spans="1:12" ht="18" x14ac:dyDescent="0.35">
      <c r="B26" s="229"/>
      <c r="C26" s="229"/>
      <c r="D26" s="229"/>
      <c r="E26" s="229"/>
      <c r="H26" s="228" t="s">
        <v>398</v>
      </c>
      <c r="I26" s="252">
        <v>149</v>
      </c>
      <c r="J26" s="253"/>
      <c r="K26" s="255">
        <f t="shared" si="0"/>
        <v>0</v>
      </c>
      <c r="L26" s="255">
        <v>5</v>
      </c>
    </row>
    <row r="27" spans="1:12" ht="18" x14ac:dyDescent="0.35">
      <c r="B27" s="206" t="s">
        <v>333</v>
      </c>
      <c r="C27" s="206"/>
      <c r="D27" s="206"/>
      <c r="E27" s="206"/>
      <c r="H27" s="227" t="s">
        <v>400</v>
      </c>
      <c r="I27" s="251">
        <v>249</v>
      </c>
      <c r="J27" s="26"/>
      <c r="K27" s="254">
        <f t="shared" si="0"/>
        <v>0</v>
      </c>
      <c r="L27" s="254">
        <v>10</v>
      </c>
    </row>
    <row r="28" spans="1:12" ht="18" x14ac:dyDescent="0.35">
      <c r="B28" s="231" t="s">
        <v>357</v>
      </c>
      <c r="C28" s="231"/>
      <c r="D28" s="212" t="s">
        <v>356</v>
      </c>
      <c r="E28" s="210" t="s">
        <v>358</v>
      </c>
      <c r="H28" s="228" t="s">
        <v>402</v>
      </c>
      <c r="I28" s="252">
        <v>325</v>
      </c>
      <c r="J28" s="253"/>
      <c r="K28" s="254">
        <f t="shared" si="0"/>
        <v>0</v>
      </c>
      <c r="L28" s="254">
        <v>13</v>
      </c>
    </row>
    <row r="29" spans="1:12" x14ac:dyDescent="0.3">
      <c r="H29" s="227" t="s">
        <v>444</v>
      </c>
      <c r="I29" s="251">
        <v>175</v>
      </c>
      <c r="J29" s="26"/>
      <c r="K29" s="255">
        <f t="shared" si="0"/>
        <v>0</v>
      </c>
      <c r="L29" s="255">
        <v>6</v>
      </c>
    </row>
    <row r="30" spans="1:12" x14ac:dyDescent="0.3">
      <c r="H30" s="228" t="s">
        <v>473</v>
      </c>
      <c r="I30" s="251">
        <v>149</v>
      </c>
      <c r="J30" s="26"/>
      <c r="K30" s="254">
        <f t="shared" si="0"/>
        <v>0</v>
      </c>
      <c r="L30" s="255">
        <v>5</v>
      </c>
    </row>
    <row r="31" spans="1:12" x14ac:dyDescent="0.3">
      <c r="A31" s="1227"/>
      <c r="B31" s="1227"/>
      <c r="C31" s="262"/>
      <c r="H31" s="227" t="s">
        <v>468</v>
      </c>
      <c r="I31" s="270" t="s">
        <v>470</v>
      </c>
      <c r="J31" s="253"/>
      <c r="K31" s="255"/>
      <c r="L31" s="255">
        <v>2</v>
      </c>
    </row>
    <row r="32" spans="1:12" x14ac:dyDescent="0.3">
      <c r="A32" s="1227"/>
      <c r="B32" s="1227"/>
      <c r="C32" s="262"/>
      <c r="D32" s="1227"/>
      <c r="E32" s="1227"/>
      <c r="H32" s="228" t="s">
        <v>469</v>
      </c>
      <c r="I32" s="271" t="s">
        <v>470</v>
      </c>
      <c r="J32" s="26"/>
      <c r="K32" s="255"/>
      <c r="L32" s="255">
        <v>4</v>
      </c>
    </row>
    <row r="33" spans="1:13" x14ac:dyDescent="0.3">
      <c r="A33" s="1227"/>
      <c r="B33" s="1227"/>
      <c r="C33" s="262"/>
      <c r="D33" s="246" t="s">
        <v>405</v>
      </c>
      <c r="E33" s="246" t="s">
        <v>406</v>
      </c>
      <c r="H33" s="268"/>
      <c r="I33" s="1243" t="s">
        <v>445</v>
      </c>
      <c r="J33" s="1244"/>
      <c r="K33" s="257">
        <v>0</v>
      </c>
      <c r="L33" s="266"/>
    </row>
    <row r="34" spans="1:13" ht="15.6" x14ac:dyDescent="0.3">
      <c r="A34" s="1227"/>
      <c r="B34" s="1227"/>
      <c r="C34" s="262"/>
      <c r="D34" s="1245" t="s">
        <v>407</v>
      </c>
      <c r="E34" s="247" t="s">
        <v>476</v>
      </c>
      <c r="H34" s="269"/>
      <c r="I34" s="1241" t="s">
        <v>466</v>
      </c>
      <c r="J34" s="1242"/>
      <c r="K34" s="256">
        <f>SUM(K5:K33)</f>
        <v>0</v>
      </c>
      <c r="L34" s="267">
        <f>(L5*J5)+(L6*J6)+(L7*J7)+(L8*J8)+(L9*J9)+(L10*J10)+(L11*J11)+(L12*J12)+(L13*J13)+(L14*J14)+(L15*J15)+(L16*J16)+(L17*J17)+(L18*J18)+(L19*J19)+(L20*J20)+(L21*J21)+(L22*J22)+(L23*J23)+(L24*J24)+(L25*J25)+(L26*J26)+(L27*J27)+(L28*J28)+(L29*J29)+(L31*J31)+(L32*J32)</f>
        <v>0</v>
      </c>
    </row>
    <row r="35" spans="1:13" x14ac:dyDescent="0.3">
      <c r="A35" s="1227"/>
      <c r="B35" s="1227"/>
      <c r="C35" s="262"/>
      <c r="D35" s="1245"/>
      <c r="E35" s="248" t="s">
        <v>408</v>
      </c>
      <c r="H35" s="225" t="s">
        <v>475</v>
      </c>
    </row>
    <row r="36" spans="1:13" x14ac:dyDescent="0.3">
      <c r="A36" s="1227"/>
      <c r="B36" s="1227"/>
      <c r="C36" s="262"/>
      <c r="D36" s="1245"/>
      <c r="E36" s="247" t="s">
        <v>409</v>
      </c>
    </row>
    <row r="37" spans="1:13" ht="28.8" x14ac:dyDescent="0.3">
      <c r="A37" s="1227"/>
      <c r="B37" s="1227"/>
      <c r="C37" s="262"/>
      <c r="D37" s="1245"/>
      <c r="E37" s="248" t="s">
        <v>410</v>
      </c>
      <c r="H37" s="1235" t="s">
        <v>474</v>
      </c>
      <c r="I37" s="1236"/>
      <c r="J37" s="1236"/>
      <c r="K37" s="1236"/>
      <c r="L37" s="1236"/>
      <c r="M37" s="225">
        <f>49+49+19</f>
        <v>117</v>
      </c>
    </row>
    <row r="38" spans="1:13" x14ac:dyDescent="0.3">
      <c r="A38" s="1227"/>
      <c r="B38" s="1227"/>
      <c r="C38" s="262"/>
      <c r="D38" s="1246" t="s">
        <v>411</v>
      </c>
      <c r="E38" s="247" t="s">
        <v>412</v>
      </c>
      <c r="H38" s="1236"/>
      <c r="I38" s="1236"/>
      <c r="J38" s="1236"/>
      <c r="K38" s="1236"/>
      <c r="L38" s="1236"/>
    </row>
    <row r="39" spans="1:13" ht="28.8" x14ac:dyDescent="0.3">
      <c r="A39" s="1227"/>
      <c r="B39" s="1227"/>
      <c r="C39" s="262"/>
      <c r="D39" s="1246"/>
      <c r="E39" s="248" t="s">
        <v>413</v>
      </c>
      <c r="H39" s="1236"/>
      <c r="I39" s="1236"/>
      <c r="J39" s="1236"/>
      <c r="K39" s="1236"/>
      <c r="L39" s="1236"/>
    </row>
    <row r="40" spans="1:13" x14ac:dyDescent="0.3">
      <c r="A40" s="1227"/>
      <c r="B40" s="1227"/>
      <c r="C40" s="262"/>
      <c r="D40" s="1246"/>
      <c r="E40" s="247" t="s">
        <v>414</v>
      </c>
      <c r="H40" s="1236"/>
      <c r="I40" s="1236"/>
      <c r="J40" s="1236"/>
      <c r="K40" s="1236"/>
      <c r="L40" s="1236"/>
    </row>
    <row r="41" spans="1:13" x14ac:dyDescent="0.3">
      <c r="A41" s="1227"/>
      <c r="B41" s="1227"/>
      <c r="C41" s="262"/>
      <c r="D41" s="1247" t="s">
        <v>415</v>
      </c>
      <c r="E41" s="248" t="s">
        <v>416</v>
      </c>
      <c r="H41" s="1236"/>
      <c r="I41" s="1236"/>
      <c r="J41" s="1236"/>
      <c r="K41" s="1236"/>
      <c r="L41" s="1236"/>
    </row>
    <row r="42" spans="1:13" x14ac:dyDescent="0.3">
      <c r="A42" s="1227"/>
      <c r="B42" s="1227"/>
      <c r="C42" s="262"/>
      <c r="D42" s="1247"/>
      <c r="E42" s="247" t="s">
        <v>417</v>
      </c>
      <c r="H42" s="1236"/>
      <c r="I42" s="1236"/>
      <c r="J42" s="1236"/>
      <c r="K42" s="1236"/>
      <c r="L42" s="1236"/>
    </row>
    <row r="43" spans="1:13" ht="28.8" x14ac:dyDescent="0.3">
      <c r="A43" s="1227"/>
      <c r="B43" s="1227"/>
      <c r="C43" s="262"/>
      <c r="D43" s="1247"/>
      <c r="E43" s="248" t="s">
        <v>418</v>
      </c>
      <c r="H43" s="1236"/>
      <c r="I43" s="1236"/>
      <c r="J43" s="1236"/>
      <c r="K43" s="1236"/>
      <c r="L43" s="1236"/>
    </row>
    <row r="44" spans="1:13" ht="28.8" x14ac:dyDescent="0.3">
      <c r="A44" s="1227"/>
      <c r="B44" s="1227"/>
      <c r="C44" s="262"/>
      <c r="D44" s="1246" t="s">
        <v>419</v>
      </c>
      <c r="E44" s="247" t="s">
        <v>420</v>
      </c>
      <c r="H44" s="1236"/>
      <c r="I44" s="1236"/>
      <c r="J44" s="1236"/>
      <c r="K44" s="1236"/>
      <c r="L44" s="1236"/>
    </row>
    <row r="45" spans="1:13" x14ac:dyDescent="0.3">
      <c r="A45" s="1227"/>
      <c r="B45" s="1227"/>
      <c r="C45" s="262"/>
      <c r="D45" s="1246"/>
      <c r="E45" s="248" t="s">
        <v>421</v>
      </c>
      <c r="I45" s="1227"/>
      <c r="J45" s="1227"/>
      <c r="K45" s="1227"/>
    </row>
    <row r="46" spans="1:13" ht="28.8" x14ac:dyDescent="0.3">
      <c r="A46" s="1227"/>
      <c r="B46" s="1227"/>
      <c r="C46" s="262"/>
      <c r="D46" s="1246"/>
      <c r="E46" s="247" t="s">
        <v>422</v>
      </c>
      <c r="H46" s="1237" t="s">
        <v>648</v>
      </c>
      <c r="I46" s="1238"/>
      <c r="J46" s="1238"/>
      <c r="K46" s="1238"/>
      <c r="L46" s="1239"/>
    </row>
    <row r="47" spans="1:13" ht="43.2" x14ac:dyDescent="0.3">
      <c r="A47" s="1227"/>
      <c r="B47" s="1227"/>
      <c r="C47" s="262"/>
      <c r="D47" s="1246"/>
      <c r="E47" s="248" t="s">
        <v>423</v>
      </c>
      <c r="H47" s="338"/>
      <c r="I47" s="339"/>
      <c r="J47" s="339"/>
      <c r="K47" s="339"/>
      <c r="L47" s="340"/>
    </row>
    <row r="48" spans="1:13" x14ac:dyDescent="0.3">
      <c r="A48" s="1227"/>
      <c r="B48" s="1227"/>
      <c r="C48" s="262"/>
      <c r="D48" s="1246"/>
      <c r="E48" s="247" t="s">
        <v>424</v>
      </c>
      <c r="H48" s="338"/>
      <c r="I48" s="339"/>
      <c r="J48" s="339"/>
      <c r="K48" s="339"/>
      <c r="L48" s="340"/>
    </row>
    <row r="49" spans="1:12" x14ac:dyDescent="0.3">
      <c r="A49" s="1227"/>
      <c r="B49" s="1227"/>
      <c r="C49" s="262"/>
      <c r="D49" s="1246"/>
      <c r="E49" s="248" t="s">
        <v>425</v>
      </c>
      <c r="H49" s="338"/>
      <c r="I49" s="339"/>
      <c r="J49" s="339"/>
      <c r="K49" s="339"/>
      <c r="L49" s="340"/>
    </row>
    <row r="50" spans="1:12" x14ac:dyDescent="0.3">
      <c r="A50" s="1227"/>
      <c r="B50" s="1227"/>
      <c r="C50" s="262"/>
      <c r="D50" s="1246"/>
      <c r="E50" s="247" t="s">
        <v>426</v>
      </c>
      <c r="H50" s="338"/>
      <c r="I50" s="339"/>
      <c r="J50" s="339"/>
      <c r="K50" s="339"/>
      <c r="L50" s="340"/>
    </row>
    <row r="51" spans="1:12" ht="28.8" x14ac:dyDescent="0.3">
      <c r="A51" s="1227"/>
      <c r="B51" s="1227"/>
      <c r="C51" s="262"/>
      <c r="D51" s="1228" t="s">
        <v>427</v>
      </c>
      <c r="E51" s="248" t="s">
        <v>428</v>
      </c>
      <c r="H51" s="338"/>
      <c r="I51" s="339"/>
      <c r="J51" s="339"/>
      <c r="K51" s="339"/>
      <c r="L51" s="340"/>
    </row>
    <row r="52" spans="1:12" ht="28.8" x14ac:dyDescent="0.3">
      <c r="A52" s="1227"/>
      <c r="B52" s="1227"/>
      <c r="C52" s="262"/>
      <c r="D52" s="1229"/>
      <c r="E52" s="247" t="s">
        <v>429</v>
      </c>
      <c r="H52" s="338"/>
      <c r="I52" s="339"/>
      <c r="J52" s="339"/>
      <c r="K52" s="339"/>
      <c r="L52" s="340"/>
    </row>
    <row r="53" spans="1:12" ht="57.6" x14ac:dyDescent="0.3">
      <c r="A53" s="1227"/>
      <c r="B53" s="1227"/>
      <c r="C53" s="262"/>
      <c r="D53" s="1230"/>
      <c r="E53" s="248" t="s">
        <v>430</v>
      </c>
      <c r="H53" s="338"/>
      <c r="I53" s="339"/>
      <c r="J53" s="339"/>
      <c r="K53" s="339"/>
      <c r="L53" s="340"/>
    </row>
    <row r="54" spans="1:12" ht="28.8" x14ac:dyDescent="0.3">
      <c r="A54" s="1227"/>
      <c r="B54" s="1227"/>
      <c r="C54" s="262"/>
      <c r="D54" s="1232" t="s">
        <v>431</v>
      </c>
      <c r="E54" s="247" t="s">
        <v>432</v>
      </c>
      <c r="H54" s="338"/>
      <c r="I54" s="339"/>
      <c r="J54" s="339"/>
      <c r="K54" s="339"/>
      <c r="L54" s="340"/>
    </row>
    <row r="55" spans="1:12" x14ac:dyDescent="0.3">
      <c r="A55" s="1227"/>
      <c r="B55" s="1227"/>
      <c r="C55" s="262"/>
      <c r="D55" s="1233"/>
      <c r="E55" s="249" t="s">
        <v>433</v>
      </c>
      <c r="H55" s="341"/>
      <c r="I55" s="342"/>
      <c r="J55" s="342"/>
      <c r="K55" s="342"/>
      <c r="L55" s="343"/>
    </row>
    <row r="56" spans="1:12" ht="28.8" x14ac:dyDescent="0.3">
      <c r="A56" s="1227"/>
      <c r="B56" s="1227"/>
      <c r="C56" s="262"/>
      <c r="D56" s="1234"/>
      <c r="E56" s="247" t="s">
        <v>434</v>
      </c>
      <c r="I56" s="1227"/>
      <c r="J56" s="1227"/>
      <c r="K56" s="1227"/>
    </row>
    <row r="57" spans="1:12" ht="57.6" x14ac:dyDescent="0.3">
      <c r="A57" s="1227"/>
      <c r="B57" s="1227"/>
      <c r="C57" s="262"/>
      <c r="D57" s="1228" t="s">
        <v>435</v>
      </c>
      <c r="E57" s="249" t="s">
        <v>436</v>
      </c>
      <c r="I57" s="1227"/>
      <c r="J57" s="1227"/>
      <c r="K57" s="1227"/>
    </row>
    <row r="58" spans="1:12" ht="28.8" x14ac:dyDescent="0.3">
      <c r="A58" s="1227"/>
      <c r="B58" s="1227"/>
      <c r="C58" s="262"/>
      <c r="D58" s="1229"/>
      <c r="E58" s="247" t="s">
        <v>437</v>
      </c>
      <c r="I58" s="1227"/>
      <c r="J58" s="1227"/>
      <c r="K58" s="1227"/>
    </row>
    <row r="59" spans="1:12" ht="57.6" x14ac:dyDescent="0.3">
      <c r="A59" s="1227"/>
      <c r="B59" s="1227"/>
      <c r="C59" s="262"/>
      <c r="D59" s="1230"/>
      <c r="E59" s="249" t="s">
        <v>430</v>
      </c>
      <c r="I59" s="1227"/>
      <c r="J59" s="1227"/>
      <c r="K59" s="1227"/>
    </row>
    <row r="60" spans="1:12" ht="28.8" x14ac:dyDescent="0.3">
      <c r="A60" s="1227"/>
      <c r="B60" s="1227"/>
      <c r="C60" s="262"/>
      <c r="D60" s="1231" t="s">
        <v>438</v>
      </c>
      <c r="E60" s="247" t="s">
        <v>439</v>
      </c>
      <c r="I60" s="1227"/>
      <c r="J60" s="1227"/>
      <c r="K60" s="1227"/>
    </row>
    <row r="61" spans="1:12" ht="28.8" x14ac:dyDescent="0.3">
      <c r="A61" s="1227"/>
      <c r="B61" s="1227"/>
      <c r="C61" s="262"/>
      <c r="D61" s="1231"/>
      <c r="E61" s="249" t="s">
        <v>440</v>
      </c>
      <c r="I61" s="1227"/>
      <c r="J61" s="1227"/>
      <c r="K61" s="1227"/>
    </row>
    <row r="62" spans="1:12" ht="28.8" x14ac:dyDescent="0.3">
      <c r="A62" s="1227"/>
      <c r="B62" s="1227"/>
      <c r="C62" s="262"/>
      <c r="D62" s="1231"/>
      <c r="E62" s="247" t="s">
        <v>441</v>
      </c>
      <c r="I62" s="1227"/>
      <c r="J62" s="1227"/>
      <c r="K62" s="1227"/>
    </row>
    <row r="63" spans="1:12" x14ac:dyDescent="0.3">
      <c r="D63" s="1231"/>
      <c r="E63" s="249" t="s">
        <v>442</v>
      </c>
      <c r="I63" s="1227"/>
      <c r="J63" s="1227"/>
      <c r="K63" s="1227"/>
    </row>
    <row r="64" spans="1:12" x14ac:dyDescent="0.3">
      <c r="D64" s="1227"/>
      <c r="E64" s="1227"/>
      <c r="I64" s="1227"/>
      <c r="J64" s="1227"/>
      <c r="K64" s="1227"/>
    </row>
    <row r="65" spans="4:11" x14ac:dyDescent="0.3">
      <c r="D65" s="1227"/>
      <c r="E65" s="1227"/>
      <c r="I65" s="1227"/>
      <c r="J65" s="1227"/>
      <c r="K65" s="1227"/>
    </row>
    <row r="66" spans="4:11" x14ac:dyDescent="0.3">
      <c r="D66" s="1227"/>
      <c r="E66" s="1227"/>
      <c r="I66" s="1227"/>
      <c r="J66" s="1227"/>
      <c r="K66" s="1227"/>
    </row>
    <row r="67" spans="4:11" x14ac:dyDescent="0.3">
      <c r="D67" s="1227"/>
      <c r="E67" s="1227"/>
      <c r="I67" s="1227"/>
      <c r="J67" s="1227"/>
      <c r="K67" s="1227"/>
    </row>
    <row r="68" spans="4:11" x14ac:dyDescent="0.3">
      <c r="D68" s="1227"/>
      <c r="E68" s="1227"/>
      <c r="I68" s="1227"/>
      <c r="J68" s="1227"/>
      <c r="K68" s="1227"/>
    </row>
    <row r="69" spans="4:11" x14ac:dyDescent="0.3">
      <c r="D69" s="1227"/>
      <c r="E69" s="1227"/>
      <c r="I69" s="1227"/>
      <c r="J69" s="1227"/>
      <c r="K69" s="1227"/>
    </row>
    <row r="70" spans="4:11" x14ac:dyDescent="0.3">
      <c r="D70" s="1227"/>
      <c r="E70" s="1227"/>
    </row>
    <row r="71" spans="4:11" x14ac:dyDescent="0.3">
      <c r="D71" s="1227"/>
      <c r="E71" s="1227"/>
    </row>
    <row r="72" spans="4:11" x14ac:dyDescent="0.3">
      <c r="D72" s="1227"/>
      <c r="E72" s="1227"/>
    </row>
    <row r="73" spans="4:11" x14ac:dyDescent="0.3">
      <c r="D73" s="1227"/>
      <c r="E73" s="1227"/>
    </row>
    <row r="74" spans="4:11" x14ac:dyDescent="0.3">
      <c r="D74" s="1227"/>
      <c r="E74" s="1227"/>
    </row>
    <row r="75" spans="4:11" x14ac:dyDescent="0.3">
      <c r="D75" s="1227"/>
      <c r="E75" s="1227"/>
    </row>
    <row r="76" spans="4:11" x14ac:dyDescent="0.3">
      <c r="D76" s="1227"/>
      <c r="E76" s="1227"/>
    </row>
    <row r="77" spans="4:11" x14ac:dyDescent="0.3">
      <c r="D77" s="1227"/>
      <c r="E77" s="1227"/>
    </row>
    <row r="78" spans="4:11" x14ac:dyDescent="0.3">
      <c r="D78" s="1227"/>
      <c r="E78" s="1227"/>
    </row>
    <row r="79" spans="4:11" x14ac:dyDescent="0.3">
      <c r="D79" s="1227"/>
      <c r="E79" s="1227"/>
    </row>
    <row r="80" spans="4:11" x14ac:dyDescent="0.3">
      <c r="D80" s="1227"/>
      <c r="E80" s="1227"/>
    </row>
    <row r="81" spans="4:5" x14ac:dyDescent="0.3">
      <c r="D81" s="1227"/>
      <c r="E81" s="1227"/>
    </row>
    <row r="82" spans="4:5" x14ac:dyDescent="0.3">
      <c r="D82" s="1227"/>
      <c r="E82" s="1227"/>
    </row>
    <row r="83" spans="4:5" x14ac:dyDescent="0.3">
      <c r="D83" s="1227"/>
      <c r="E83" s="1227"/>
    </row>
    <row r="84" spans="4:5" x14ac:dyDescent="0.3">
      <c r="D84" s="1227"/>
      <c r="E84" s="1227"/>
    </row>
    <row r="85" spans="4:5" x14ac:dyDescent="0.3">
      <c r="D85" s="1227"/>
      <c r="E85" s="1227"/>
    </row>
    <row r="86" spans="4:5" x14ac:dyDescent="0.3">
      <c r="D86" s="1227"/>
      <c r="E86" s="1227"/>
    </row>
    <row r="87" spans="4:5" x14ac:dyDescent="0.3">
      <c r="D87" s="1227"/>
      <c r="E87" s="1227"/>
    </row>
    <row r="88" spans="4:5" x14ac:dyDescent="0.3">
      <c r="D88" s="1227"/>
      <c r="E88" s="1227"/>
    </row>
    <row r="89" spans="4:5" x14ac:dyDescent="0.3">
      <c r="D89" s="1227"/>
      <c r="E89" s="1227"/>
    </row>
    <row r="90" spans="4:5" x14ac:dyDescent="0.3">
      <c r="D90" s="1227"/>
      <c r="E90" s="1227"/>
    </row>
    <row r="91" spans="4:5" x14ac:dyDescent="0.3">
      <c r="D91" s="1227"/>
      <c r="E91" s="1227"/>
    </row>
    <row r="92" spans="4:5" x14ac:dyDescent="0.3">
      <c r="D92" s="1227"/>
      <c r="E92" s="1227"/>
    </row>
    <row r="93" spans="4:5" x14ac:dyDescent="0.3">
      <c r="D93" s="1227"/>
      <c r="E93" s="1227"/>
    </row>
    <row r="94" spans="4:5" x14ac:dyDescent="0.3">
      <c r="D94" s="1227"/>
      <c r="E94" s="1227"/>
    </row>
    <row r="95" spans="4:5" x14ac:dyDescent="0.3">
      <c r="D95" s="1227"/>
      <c r="E95" s="1227"/>
    </row>
    <row r="96" spans="4:5" x14ac:dyDescent="0.3">
      <c r="D96" s="1227"/>
      <c r="E96" s="1227"/>
    </row>
    <row r="97" spans="4:5" x14ac:dyDescent="0.3">
      <c r="D97" s="1227"/>
      <c r="E97" s="1227"/>
    </row>
    <row r="98" spans="4:5" x14ac:dyDescent="0.3">
      <c r="D98" s="1227"/>
      <c r="E98" s="1227"/>
    </row>
    <row r="99" spans="4:5" x14ac:dyDescent="0.3">
      <c r="D99" s="1227"/>
      <c r="E99" s="1227"/>
    </row>
    <row r="100" spans="4:5" x14ac:dyDescent="0.3">
      <c r="D100" s="1227"/>
      <c r="E100" s="1227"/>
    </row>
    <row r="101" spans="4:5" x14ac:dyDescent="0.3">
      <c r="D101" s="1227"/>
      <c r="E101" s="1227"/>
    </row>
    <row r="102" spans="4:5" x14ac:dyDescent="0.3">
      <c r="D102" s="1227"/>
      <c r="E102" s="1227"/>
    </row>
    <row r="103" spans="4:5" x14ac:dyDescent="0.3">
      <c r="D103" s="1227"/>
      <c r="E103" s="1227"/>
    </row>
    <row r="104" spans="4:5" x14ac:dyDescent="0.3">
      <c r="D104" s="1227"/>
      <c r="E104" s="1227"/>
    </row>
    <row r="105" spans="4:5" x14ac:dyDescent="0.3">
      <c r="D105" s="1227"/>
      <c r="E105" s="1227"/>
    </row>
    <row r="106" spans="4:5" x14ac:dyDescent="0.3">
      <c r="D106" s="1227"/>
      <c r="E106" s="1227"/>
    </row>
    <row r="107" spans="4:5" x14ac:dyDescent="0.3">
      <c r="D107" s="1227"/>
      <c r="E107" s="1227"/>
    </row>
    <row r="108" spans="4:5" x14ac:dyDescent="0.3">
      <c r="D108" s="1227"/>
      <c r="E108" s="1227"/>
    </row>
    <row r="109" spans="4:5" x14ac:dyDescent="0.3">
      <c r="D109" s="1227"/>
      <c r="E109" s="1227"/>
    </row>
    <row r="110" spans="4:5" x14ac:dyDescent="0.3">
      <c r="D110" s="1227"/>
      <c r="E110" s="1227"/>
    </row>
    <row r="111" spans="4:5" x14ac:dyDescent="0.3">
      <c r="D111" s="1227"/>
      <c r="E111" s="1227"/>
    </row>
    <row r="112" spans="4:5" x14ac:dyDescent="0.3">
      <c r="D112" s="1227"/>
      <c r="E112" s="1227"/>
    </row>
    <row r="113" spans="4:5" x14ac:dyDescent="0.3">
      <c r="D113" s="1227"/>
      <c r="E113" s="1227"/>
    </row>
    <row r="114" spans="4:5" x14ac:dyDescent="0.3">
      <c r="D114" s="1227"/>
      <c r="E114" s="1227"/>
    </row>
    <row r="115" spans="4:5" x14ac:dyDescent="0.3">
      <c r="D115" s="1227"/>
      <c r="E115" s="1227"/>
    </row>
    <row r="116" spans="4:5" x14ac:dyDescent="0.3">
      <c r="D116" s="1227"/>
      <c r="E116" s="1227"/>
    </row>
    <row r="117" spans="4:5" x14ac:dyDescent="0.3">
      <c r="D117" s="1227"/>
      <c r="E117" s="1227"/>
    </row>
    <row r="118" spans="4:5" x14ac:dyDescent="0.3">
      <c r="D118" s="1227"/>
      <c r="E118" s="1227"/>
    </row>
    <row r="119" spans="4:5" x14ac:dyDescent="0.3">
      <c r="D119" s="1227"/>
      <c r="E119" s="1227"/>
    </row>
    <row r="120" spans="4:5" x14ac:dyDescent="0.3">
      <c r="D120" s="1227"/>
      <c r="E120" s="1227"/>
    </row>
    <row r="121" spans="4:5" x14ac:dyDescent="0.3">
      <c r="D121" s="1227"/>
      <c r="E121" s="1227"/>
    </row>
    <row r="122" spans="4:5" x14ac:dyDescent="0.3">
      <c r="D122" s="1227"/>
      <c r="E122" s="1227"/>
    </row>
    <row r="123" spans="4:5" x14ac:dyDescent="0.3">
      <c r="D123" s="1227"/>
      <c r="E123" s="1227"/>
    </row>
    <row r="124" spans="4:5" x14ac:dyDescent="0.3">
      <c r="D124" s="1227"/>
      <c r="E124" s="1227"/>
    </row>
    <row r="125" spans="4:5" x14ac:dyDescent="0.3">
      <c r="D125" s="1227"/>
      <c r="E125" s="1227"/>
    </row>
    <row r="126" spans="4:5" x14ac:dyDescent="0.3">
      <c r="D126" s="1227"/>
      <c r="E126" s="1227"/>
    </row>
    <row r="127" spans="4:5" x14ac:dyDescent="0.3">
      <c r="D127" s="1227"/>
      <c r="E127" s="1227"/>
    </row>
    <row r="128" spans="4:5" x14ac:dyDescent="0.3">
      <c r="D128" s="1227"/>
      <c r="E128" s="1227"/>
    </row>
    <row r="129" spans="4:5" x14ac:dyDescent="0.3">
      <c r="D129" s="1227"/>
      <c r="E129" s="1227"/>
    </row>
    <row r="130" spans="4:5" x14ac:dyDescent="0.3">
      <c r="D130" s="1227"/>
      <c r="E130" s="1227"/>
    </row>
    <row r="131" spans="4:5" x14ac:dyDescent="0.3">
      <c r="D131" s="1227"/>
      <c r="E131" s="1227"/>
    </row>
    <row r="132" spans="4:5" x14ac:dyDescent="0.3">
      <c r="D132" s="1227"/>
      <c r="E132" s="1227"/>
    </row>
    <row r="133" spans="4:5" x14ac:dyDescent="0.3">
      <c r="D133" s="1227"/>
      <c r="E133" s="1227"/>
    </row>
    <row r="134" spans="4:5" x14ac:dyDescent="0.3">
      <c r="D134" s="1227"/>
      <c r="E134" s="1227"/>
    </row>
    <row r="135" spans="4:5" x14ac:dyDescent="0.3">
      <c r="D135" s="1227"/>
      <c r="E135" s="1227"/>
    </row>
    <row r="136" spans="4:5" x14ac:dyDescent="0.3">
      <c r="D136" s="1227"/>
      <c r="E136" s="1227"/>
    </row>
    <row r="137" spans="4:5" x14ac:dyDescent="0.3">
      <c r="D137" s="1227"/>
      <c r="E137" s="1227"/>
    </row>
    <row r="138" spans="4:5" x14ac:dyDescent="0.3">
      <c r="D138" s="1227"/>
      <c r="E138" s="1227"/>
    </row>
    <row r="139" spans="4:5" x14ac:dyDescent="0.3">
      <c r="D139" s="1227"/>
      <c r="E139" s="1227"/>
    </row>
    <row r="140" spans="4:5" x14ac:dyDescent="0.3">
      <c r="D140" s="1227"/>
      <c r="E140" s="1227"/>
    </row>
    <row r="141" spans="4:5" x14ac:dyDescent="0.3">
      <c r="D141" s="1227"/>
      <c r="E141" s="1227"/>
    </row>
    <row r="142" spans="4:5" x14ac:dyDescent="0.3">
      <c r="D142" s="1227"/>
      <c r="E142" s="1227"/>
    </row>
    <row r="143" spans="4:5" x14ac:dyDescent="0.3">
      <c r="D143" s="1227"/>
      <c r="E143" s="1227"/>
    </row>
    <row r="144" spans="4:5" x14ac:dyDescent="0.3">
      <c r="D144" s="1227"/>
      <c r="E144" s="1227"/>
    </row>
    <row r="145" spans="4:5" x14ac:dyDescent="0.3">
      <c r="D145" s="1227"/>
      <c r="E145" s="1227"/>
    </row>
    <row r="146" spans="4:5" x14ac:dyDescent="0.3">
      <c r="D146" s="1227"/>
      <c r="E146" s="1227"/>
    </row>
    <row r="147" spans="4:5" x14ac:dyDescent="0.3">
      <c r="D147" s="1227"/>
      <c r="E147" s="1227"/>
    </row>
    <row r="148" spans="4:5" x14ac:dyDescent="0.3">
      <c r="D148" s="1227"/>
      <c r="E148" s="1227"/>
    </row>
    <row r="149" spans="4:5" x14ac:dyDescent="0.3">
      <c r="D149" s="1227"/>
      <c r="E149" s="1227"/>
    </row>
    <row r="150" spans="4:5" x14ac:dyDescent="0.3">
      <c r="D150" s="1227"/>
      <c r="E150" s="1227"/>
    </row>
    <row r="151" spans="4:5" x14ac:dyDescent="0.3">
      <c r="D151" s="1227"/>
      <c r="E151" s="1227"/>
    </row>
    <row r="152" spans="4:5" x14ac:dyDescent="0.3">
      <c r="D152" s="1227"/>
      <c r="E152" s="1227"/>
    </row>
    <row r="153" spans="4:5" x14ac:dyDescent="0.3">
      <c r="D153" s="1227"/>
      <c r="E153" s="1227"/>
    </row>
    <row r="154" spans="4:5" x14ac:dyDescent="0.3">
      <c r="D154" s="1227"/>
      <c r="E154" s="1227"/>
    </row>
    <row r="155" spans="4:5" x14ac:dyDescent="0.3">
      <c r="D155" s="1227"/>
      <c r="E155" s="1227"/>
    </row>
    <row r="156" spans="4:5" x14ac:dyDescent="0.3">
      <c r="D156" s="1227"/>
      <c r="E156" s="1227"/>
    </row>
    <row r="157" spans="4:5" x14ac:dyDescent="0.3">
      <c r="D157" s="1227"/>
      <c r="E157" s="1227"/>
    </row>
    <row r="158" spans="4:5" x14ac:dyDescent="0.3">
      <c r="D158" s="1227"/>
      <c r="E158" s="1227"/>
    </row>
    <row r="159" spans="4:5" x14ac:dyDescent="0.3">
      <c r="D159" s="1227"/>
      <c r="E159" s="1227"/>
    </row>
    <row r="160" spans="4:5" x14ac:dyDescent="0.3">
      <c r="D160" s="1227"/>
      <c r="E160" s="1227"/>
    </row>
    <row r="161" spans="4:5" x14ac:dyDescent="0.3">
      <c r="D161" s="1227"/>
      <c r="E161" s="1227"/>
    </row>
    <row r="162" spans="4:5" x14ac:dyDescent="0.3">
      <c r="D162" s="1227"/>
      <c r="E162" s="1227"/>
    </row>
    <row r="163" spans="4:5" x14ac:dyDescent="0.3">
      <c r="D163" s="1227"/>
      <c r="E163" s="1227"/>
    </row>
    <row r="164" spans="4:5" x14ac:dyDescent="0.3">
      <c r="D164" s="1227"/>
      <c r="E164" s="1227"/>
    </row>
    <row r="165" spans="4:5" x14ac:dyDescent="0.3">
      <c r="D165" s="1227"/>
      <c r="E165" s="1227"/>
    </row>
    <row r="166" spans="4:5" x14ac:dyDescent="0.3">
      <c r="D166" s="1227"/>
      <c r="E166" s="1227"/>
    </row>
    <row r="167" spans="4:5" x14ac:dyDescent="0.3">
      <c r="D167" s="1227"/>
      <c r="E167" s="1227"/>
    </row>
    <row r="168" spans="4:5" x14ac:dyDescent="0.3">
      <c r="D168" s="1227"/>
      <c r="E168" s="1227"/>
    </row>
    <row r="169" spans="4:5" x14ac:dyDescent="0.3">
      <c r="D169" s="1227"/>
      <c r="E169" s="1227"/>
    </row>
    <row r="170" spans="4:5" x14ac:dyDescent="0.3">
      <c r="D170" s="1227"/>
      <c r="E170" s="1227"/>
    </row>
    <row r="171" spans="4:5" x14ac:dyDescent="0.3">
      <c r="D171" s="1227"/>
      <c r="E171" s="1227"/>
    </row>
    <row r="172" spans="4:5" x14ac:dyDescent="0.3">
      <c r="D172" s="1227"/>
      <c r="E172" s="1227"/>
    </row>
    <row r="173" spans="4:5" x14ac:dyDescent="0.3">
      <c r="D173" s="1227"/>
      <c r="E173" s="1227"/>
    </row>
    <row r="174" spans="4:5" x14ac:dyDescent="0.3">
      <c r="D174" s="1227"/>
      <c r="E174" s="1227"/>
    </row>
    <row r="175" spans="4:5" x14ac:dyDescent="0.3">
      <c r="D175" s="1227"/>
      <c r="E175" s="1227"/>
    </row>
    <row r="176" spans="4:5" x14ac:dyDescent="0.3">
      <c r="D176" s="1227"/>
      <c r="E176" s="1227"/>
    </row>
    <row r="177" spans="4:5" x14ac:dyDescent="0.3">
      <c r="D177" s="1227"/>
      <c r="E177" s="1227"/>
    </row>
    <row r="178" spans="4:5" x14ac:dyDescent="0.3">
      <c r="D178" s="1227"/>
      <c r="E178" s="1227"/>
    </row>
    <row r="179" spans="4:5" x14ac:dyDescent="0.3">
      <c r="D179" s="1227"/>
      <c r="E179" s="1227"/>
    </row>
    <row r="180" spans="4:5" x14ac:dyDescent="0.3">
      <c r="D180" s="1227"/>
      <c r="E180" s="1227"/>
    </row>
    <row r="181" spans="4:5" x14ac:dyDescent="0.3">
      <c r="D181" s="1227"/>
      <c r="E181" s="1227"/>
    </row>
    <row r="182" spans="4:5" x14ac:dyDescent="0.3">
      <c r="D182" s="1227"/>
      <c r="E182" s="1227"/>
    </row>
    <row r="183" spans="4:5" x14ac:dyDescent="0.3">
      <c r="D183" s="1227"/>
      <c r="E183" s="1227"/>
    </row>
    <row r="184" spans="4:5" x14ac:dyDescent="0.3">
      <c r="D184" s="1227"/>
      <c r="E184" s="1227"/>
    </row>
    <row r="185" spans="4:5" x14ac:dyDescent="0.3">
      <c r="D185" s="1227"/>
      <c r="E185" s="1227"/>
    </row>
    <row r="186" spans="4:5" x14ac:dyDescent="0.3">
      <c r="D186" s="1227"/>
      <c r="E186" s="1227"/>
    </row>
    <row r="187" spans="4:5" x14ac:dyDescent="0.3">
      <c r="D187" s="1227"/>
      <c r="E187" s="1227"/>
    </row>
    <row r="188" spans="4:5" x14ac:dyDescent="0.3">
      <c r="D188" s="1227"/>
      <c r="E188" s="1227"/>
    </row>
    <row r="189" spans="4:5" x14ac:dyDescent="0.3">
      <c r="D189" s="1227"/>
      <c r="E189" s="1227"/>
    </row>
    <row r="190" spans="4:5" x14ac:dyDescent="0.3">
      <c r="D190" s="1227"/>
      <c r="E190" s="1227"/>
    </row>
    <row r="191" spans="4:5" x14ac:dyDescent="0.3">
      <c r="D191" s="1227"/>
      <c r="E191" s="1227"/>
    </row>
    <row r="192" spans="4:5" x14ac:dyDescent="0.3">
      <c r="D192" s="1227"/>
      <c r="E192" s="1227"/>
    </row>
    <row r="193" spans="4:5" x14ac:dyDescent="0.3">
      <c r="D193" s="1227"/>
      <c r="E193" s="1227"/>
    </row>
    <row r="194" spans="4:5" x14ac:dyDescent="0.3">
      <c r="D194" s="1227"/>
      <c r="E194" s="1227"/>
    </row>
    <row r="195" spans="4:5" x14ac:dyDescent="0.3">
      <c r="D195" s="1227"/>
      <c r="E195" s="1227"/>
    </row>
    <row r="196" spans="4:5" x14ac:dyDescent="0.3">
      <c r="D196" s="1227"/>
      <c r="E196" s="1227"/>
    </row>
    <row r="197" spans="4:5" x14ac:dyDescent="0.3">
      <c r="D197" s="1227"/>
      <c r="E197" s="1227"/>
    </row>
    <row r="198" spans="4:5" x14ac:dyDescent="0.3">
      <c r="D198" s="1227"/>
      <c r="E198" s="1227"/>
    </row>
    <row r="199" spans="4:5" x14ac:dyDescent="0.3">
      <c r="D199" s="1227"/>
      <c r="E199" s="1227"/>
    </row>
    <row r="200" spans="4:5" x14ac:dyDescent="0.3">
      <c r="D200" s="1227"/>
      <c r="E200" s="1227"/>
    </row>
    <row r="201" spans="4:5" x14ac:dyDescent="0.3">
      <c r="D201" s="1227"/>
      <c r="E201" s="1227"/>
    </row>
    <row r="202" spans="4:5" x14ac:dyDescent="0.3">
      <c r="D202" s="1227"/>
      <c r="E202" s="1227"/>
    </row>
    <row r="203" spans="4:5" x14ac:dyDescent="0.3">
      <c r="D203" s="1227"/>
      <c r="E203" s="1227"/>
    </row>
    <row r="204" spans="4:5" x14ac:dyDescent="0.3">
      <c r="D204" s="1227"/>
      <c r="E204" s="1227"/>
    </row>
    <row r="205" spans="4:5" x14ac:dyDescent="0.3">
      <c r="D205" s="1227"/>
      <c r="E205" s="1227"/>
    </row>
    <row r="206" spans="4:5" x14ac:dyDescent="0.3">
      <c r="D206" s="1227"/>
      <c r="E206" s="1227"/>
    </row>
    <row r="207" spans="4:5" x14ac:dyDescent="0.3">
      <c r="D207" s="1227"/>
      <c r="E207" s="1227"/>
    </row>
    <row r="208" spans="4:5" x14ac:dyDescent="0.3">
      <c r="D208" s="1227"/>
      <c r="E208" s="1227"/>
    </row>
    <row r="209" spans="4:5" x14ac:dyDescent="0.3">
      <c r="D209" s="1227"/>
      <c r="E209" s="1227"/>
    </row>
    <row r="210" spans="4:5" x14ac:dyDescent="0.3">
      <c r="D210" s="1227"/>
      <c r="E210" s="1227"/>
    </row>
    <row r="211" spans="4:5" x14ac:dyDescent="0.3">
      <c r="D211" s="1227"/>
      <c r="E211" s="1227"/>
    </row>
    <row r="212" spans="4:5" x14ac:dyDescent="0.3">
      <c r="D212" s="1227"/>
      <c r="E212" s="1227"/>
    </row>
    <row r="213" spans="4:5" x14ac:dyDescent="0.3">
      <c r="D213" s="1227"/>
      <c r="E213" s="1227"/>
    </row>
    <row r="214" spans="4:5" x14ac:dyDescent="0.3">
      <c r="D214" s="1227"/>
      <c r="E214" s="1227"/>
    </row>
    <row r="215" spans="4:5" x14ac:dyDescent="0.3">
      <c r="D215" s="1227"/>
      <c r="E215" s="1227"/>
    </row>
    <row r="216" spans="4:5" x14ac:dyDescent="0.3">
      <c r="D216" s="1227"/>
      <c r="E216" s="1227"/>
    </row>
    <row r="217" spans="4:5" x14ac:dyDescent="0.3">
      <c r="D217" s="1227"/>
      <c r="E217" s="1227"/>
    </row>
    <row r="218" spans="4:5" x14ac:dyDescent="0.3">
      <c r="D218" s="1227"/>
      <c r="E218" s="1227"/>
    </row>
    <row r="219" spans="4:5" x14ac:dyDescent="0.3">
      <c r="D219" s="1227"/>
      <c r="E219" s="1227"/>
    </row>
    <row r="220" spans="4:5" x14ac:dyDescent="0.3">
      <c r="D220" s="1227"/>
      <c r="E220" s="1227"/>
    </row>
    <row r="221" spans="4:5" x14ac:dyDescent="0.3">
      <c r="D221" s="1227"/>
      <c r="E221" s="1227"/>
    </row>
    <row r="222" spans="4:5" x14ac:dyDescent="0.3">
      <c r="D222" s="1227"/>
      <c r="E222" s="1227"/>
    </row>
    <row r="223" spans="4:5" x14ac:dyDescent="0.3">
      <c r="D223" s="1227"/>
      <c r="E223" s="1227"/>
    </row>
    <row r="224" spans="4:5" x14ac:dyDescent="0.3">
      <c r="D224" s="1227"/>
      <c r="E224" s="1227"/>
    </row>
    <row r="225" spans="4:5" x14ac:dyDescent="0.3">
      <c r="D225" s="1227"/>
      <c r="E225" s="1227"/>
    </row>
    <row r="226" spans="4:5" x14ac:dyDescent="0.3">
      <c r="D226" s="1227"/>
      <c r="E226" s="1227"/>
    </row>
    <row r="227" spans="4:5" x14ac:dyDescent="0.3">
      <c r="D227" s="1227"/>
      <c r="E227" s="1227"/>
    </row>
    <row r="228" spans="4:5" x14ac:dyDescent="0.3">
      <c r="D228" s="1227"/>
      <c r="E228" s="1227"/>
    </row>
    <row r="229" spans="4:5" x14ac:dyDescent="0.3">
      <c r="D229" s="1227"/>
      <c r="E229" s="1227"/>
    </row>
    <row r="230" spans="4:5" x14ac:dyDescent="0.3">
      <c r="D230" s="1227"/>
      <c r="E230" s="1227"/>
    </row>
    <row r="231" spans="4:5" x14ac:dyDescent="0.3">
      <c r="D231" s="1227"/>
      <c r="E231" s="1227"/>
    </row>
    <row r="232" spans="4:5" x14ac:dyDescent="0.3">
      <c r="D232" s="1227"/>
      <c r="E232" s="1227"/>
    </row>
    <row r="233" spans="4:5" x14ac:dyDescent="0.3">
      <c r="D233" s="1227"/>
      <c r="E233" s="1227"/>
    </row>
    <row r="234" spans="4:5" x14ac:dyDescent="0.3">
      <c r="D234" s="1227"/>
      <c r="E234" s="1227"/>
    </row>
    <row r="235" spans="4:5" x14ac:dyDescent="0.3">
      <c r="D235" s="1227"/>
      <c r="E235" s="1227"/>
    </row>
    <row r="236" spans="4:5" x14ac:dyDescent="0.3">
      <c r="D236" s="1227"/>
      <c r="E236" s="1227"/>
    </row>
    <row r="237" spans="4:5" x14ac:dyDescent="0.3">
      <c r="D237" s="1227"/>
      <c r="E237" s="1227"/>
    </row>
    <row r="238" spans="4:5" x14ac:dyDescent="0.3">
      <c r="D238" s="1227"/>
      <c r="E238" s="1227"/>
    </row>
    <row r="239" spans="4:5" x14ac:dyDescent="0.3">
      <c r="D239" s="1227"/>
      <c r="E239" s="1227"/>
    </row>
    <row r="240" spans="4:5" x14ac:dyDescent="0.3">
      <c r="D240" s="1227"/>
      <c r="E240" s="1227"/>
    </row>
    <row r="241" spans="4:5" x14ac:dyDescent="0.3">
      <c r="D241" s="1227"/>
      <c r="E241" s="1227"/>
    </row>
    <row r="242" spans="4:5" x14ac:dyDescent="0.3">
      <c r="D242" s="1227"/>
      <c r="E242" s="1227"/>
    </row>
    <row r="243" spans="4:5" x14ac:dyDescent="0.3">
      <c r="D243" s="1227"/>
      <c r="E243" s="1227"/>
    </row>
    <row r="244" spans="4:5" x14ac:dyDescent="0.3">
      <c r="D244" s="1227"/>
      <c r="E244" s="1227"/>
    </row>
    <row r="245" spans="4:5" x14ac:dyDescent="0.3">
      <c r="D245" s="1227"/>
      <c r="E245" s="1227"/>
    </row>
    <row r="246" spans="4:5" x14ac:dyDescent="0.3">
      <c r="D246" s="1227"/>
      <c r="E246" s="1227"/>
    </row>
    <row r="247" spans="4:5" x14ac:dyDescent="0.3">
      <c r="D247" s="1227"/>
      <c r="E247" s="1227"/>
    </row>
    <row r="248" spans="4:5" x14ac:dyDescent="0.3">
      <c r="D248" s="1227"/>
      <c r="E248" s="1227"/>
    </row>
    <row r="249" spans="4:5" x14ac:dyDescent="0.3">
      <c r="D249" s="1227"/>
      <c r="E249" s="1227"/>
    </row>
    <row r="250" spans="4:5" x14ac:dyDescent="0.3">
      <c r="D250" s="1227"/>
      <c r="E250" s="1227"/>
    </row>
    <row r="251" spans="4:5" x14ac:dyDescent="0.3">
      <c r="D251" s="1227"/>
      <c r="E251" s="1227"/>
    </row>
    <row r="252" spans="4:5" x14ac:dyDescent="0.3">
      <c r="D252" s="1227"/>
      <c r="E252" s="1227"/>
    </row>
    <row r="253" spans="4:5" x14ac:dyDescent="0.3">
      <c r="D253" s="1227"/>
      <c r="E253" s="1227"/>
    </row>
    <row r="254" spans="4:5" x14ac:dyDescent="0.3">
      <c r="D254" s="1227"/>
      <c r="E254" s="1227"/>
    </row>
    <row r="255" spans="4:5" x14ac:dyDescent="0.3">
      <c r="D255" s="1227"/>
      <c r="E255" s="1227"/>
    </row>
    <row r="256" spans="4:5" x14ac:dyDescent="0.3">
      <c r="D256" s="1227"/>
      <c r="E256" s="1227"/>
    </row>
    <row r="257" spans="4:5" x14ac:dyDescent="0.3">
      <c r="D257" s="1227"/>
      <c r="E257" s="1227"/>
    </row>
    <row r="258" spans="4:5" x14ac:dyDescent="0.3">
      <c r="D258" s="1227"/>
      <c r="E258" s="1227"/>
    </row>
    <row r="259" spans="4:5" x14ac:dyDescent="0.3">
      <c r="D259" s="1227"/>
      <c r="E259" s="1227"/>
    </row>
    <row r="260" spans="4:5" x14ac:dyDescent="0.3">
      <c r="D260" s="1227"/>
      <c r="E260" s="1227"/>
    </row>
    <row r="261" spans="4:5" x14ac:dyDescent="0.3">
      <c r="D261" s="1227"/>
      <c r="E261" s="1227"/>
    </row>
    <row r="262" spans="4:5" x14ac:dyDescent="0.3">
      <c r="D262" s="1227"/>
      <c r="E262" s="1227"/>
    </row>
    <row r="263" spans="4:5" x14ac:dyDescent="0.3">
      <c r="D263" s="1227"/>
      <c r="E263" s="1227"/>
    </row>
    <row r="264" spans="4:5" x14ac:dyDescent="0.3">
      <c r="D264" s="1227"/>
      <c r="E264" s="1227"/>
    </row>
    <row r="265" spans="4:5" x14ac:dyDescent="0.3">
      <c r="D265" s="1227"/>
      <c r="E265" s="1227"/>
    </row>
    <row r="266" spans="4:5" x14ac:dyDescent="0.3">
      <c r="D266" s="1227"/>
      <c r="E266" s="1227"/>
    </row>
    <row r="267" spans="4:5" x14ac:dyDescent="0.3">
      <c r="D267" s="1227"/>
      <c r="E267" s="1227"/>
    </row>
    <row r="268" spans="4:5" x14ac:dyDescent="0.3">
      <c r="D268" s="1227"/>
      <c r="E268" s="1227"/>
    </row>
    <row r="269" spans="4:5" x14ac:dyDescent="0.3">
      <c r="D269" s="1227"/>
      <c r="E269" s="1227"/>
    </row>
    <row r="270" spans="4:5" x14ac:dyDescent="0.3">
      <c r="D270" s="1227"/>
      <c r="E270" s="1227"/>
    </row>
    <row r="271" spans="4:5" x14ac:dyDescent="0.3">
      <c r="D271" s="1227"/>
      <c r="E271" s="1227"/>
    </row>
    <row r="272" spans="4:5" x14ac:dyDescent="0.3">
      <c r="D272" s="1227"/>
      <c r="E272" s="1227"/>
    </row>
    <row r="273" spans="4:5" x14ac:dyDescent="0.3">
      <c r="D273" s="1227"/>
      <c r="E273" s="1227"/>
    </row>
    <row r="274" spans="4:5" x14ac:dyDescent="0.3">
      <c r="D274" s="1227"/>
      <c r="E274" s="1227"/>
    </row>
    <row r="275" spans="4:5" x14ac:dyDescent="0.3">
      <c r="D275" s="1227"/>
      <c r="E275" s="1227"/>
    </row>
    <row r="276" spans="4:5" x14ac:dyDescent="0.3">
      <c r="D276" s="1227"/>
      <c r="E276" s="1227"/>
    </row>
    <row r="277" spans="4:5" x14ac:dyDescent="0.3">
      <c r="D277" s="1227"/>
      <c r="E277" s="1227"/>
    </row>
    <row r="278" spans="4:5" x14ac:dyDescent="0.3">
      <c r="D278" s="1227"/>
      <c r="E278" s="1227"/>
    </row>
    <row r="279" spans="4:5" x14ac:dyDescent="0.3">
      <c r="D279" s="1227"/>
      <c r="E279" s="1227"/>
    </row>
    <row r="280" spans="4:5" x14ac:dyDescent="0.3">
      <c r="D280" s="1227"/>
      <c r="E280" s="1227"/>
    </row>
    <row r="281" spans="4:5" x14ac:dyDescent="0.3">
      <c r="D281" s="1227"/>
      <c r="E281" s="1227"/>
    </row>
    <row r="282" spans="4:5" x14ac:dyDescent="0.3">
      <c r="D282" s="1227"/>
      <c r="E282" s="1227"/>
    </row>
    <row r="283" spans="4:5" x14ac:dyDescent="0.3">
      <c r="D283" s="1227"/>
      <c r="E283" s="1227"/>
    </row>
    <row r="284" spans="4:5" x14ac:dyDescent="0.3">
      <c r="D284" s="1227"/>
      <c r="E284" s="1227"/>
    </row>
    <row r="285" spans="4:5" x14ac:dyDescent="0.3">
      <c r="D285" s="1227"/>
      <c r="E285" s="1227"/>
    </row>
    <row r="286" spans="4:5" x14ac:dyDescent="0.3">
      <c r="D286" s="1227"/>
      <c r="E286" s="1227"/>
    </row>
    <row r="287" spans="4:5" x14ac:dyDescent="0.3">
      <c r="D287" s="1227"/>
      <c r="E287" s="1227"/>
    </row>
    <row r="288" spans="4:5" x14ac:dyDescent="0.3">
      <c r="D288" s="1227"/>
      <c r="E288" s="1227"/>
    </row>
    <row r="289" spans="4:5" x14ac:dyDescent="0.3">
      <c r="D289" s="1227"/>
      <c r="E289" s="1227"/>
    </row>
    <row r="290" spans="4:5" x14ac:dyDescent="0.3">
      <c r="D290" s="1227"/>
      <c r="E290" s="1227"/>
    </row>
    <row r="291" spans="4:5" x14ac:dyDescent="0.3">
      <c r="D291" s="1227"/>
      <c r="E291" s="1227"/>
    </row>
    <row r="292" spans="4:5" x14ac:dyDescent="0.3">
      <c r="D292" s="1227"/>
      <c r="E292" s="1227"/>
    </row>
    <row r="293" spans="4:5" x14ac:dyDescent="0.3">
      <c r="D293" s="1227"/>
      <c r="E293" s="1227"/>
    </row>
    <row r="294" spans="4:5" x14ac:dyDescent="0.3">
      <c r="D294" s="1227"/>
      <c r="E294" s="1227"/>
    </row>
    <row r="295" spans="4:5" x14ac:dyDescent="0.3">
      <c r="D295" s="1227"/>
      <c r="E295" s="1227"/>
    </row>
    <row r="296" spans="4:5" x14ac:dyDescent="0.3">
      <c r="D296" s="1227"/>
      <c r="E296" s="1227"/>
    </row>
    <row r="297" spans="4:5" x14ac:dyDescent="0.3">
      <c r="D297" s="1227"/>
      <c r="E297" s="1227"/>
    </row>
    <row r="298" spans="4:5" x14ac:dyDescent="0.3">
      <c r="D298" s="1227"/>
      <c r="E298" s="1227"/>
    </row>
    <row r="299" spans="4:5" x14ac:dyDescent="0.3">
      <c r="D299" s="1227"/>
      <c r="E299" s="1227"/>
    </row>
    <row r="300" spans="4:5" x14ac:dyDescent="0.3">
      <c r="D300" s="1227"/>
      <c r="E300" s="1227"/>
    </row>
    <row r="301" spans="4:5" x14ac:dyDescent="0.3">
      <c r="D301" s="1227"/>
      <c r="E301" s="1227"/>
    </row>
    <row r="302" spans="4:5" x14ac:dyDescent="0.3">
      <c r="D302" s="1227"/>
      <c r="E302" s="1227"/>
    </row>
    <row r="303" spans="4:5" x14ac:dyDescent="0.3">
      <c r="D303" s="1227"/>
      <c r="E303" s="1227"/>
    </row>
    <row r="304" spans="4:5" x14ac:dyDescent="0.3">
      <c r="D304" s="1227"/>
      <c r="E304" s="1227"/>
    </row>
    <row r="305" spans="4:5" x14ac:dyDescent="0.3">
      <c r="D305" s="1227"/>
      <c r="E305" s="1227"/>
    </row>
    <row r="306" spans="4:5" x14ac:dyDescent="0.3">
      <c r="D306" s="1227"/>
      <c r="E306" s="1227"/>
    </row>
    <row r="307" spans="4:5" x14ac:dyDescent="0.3">
      <c r="D307" s="1227"/>
      <c r="E307" s="1227"/>
    </row>
    <row r="308" spans="4:5" x14ac:dyDescent="0.3">
      <c r="D308" s="1227"/>
      <c r="E308" s="1227"/>
    </row>
    <row r="309" spans="4:5" x14ac:dyDescent="0.3">
      <c r="D309" s="1227"/>
      <c r="E309" s="1227"/>
    </row>
    <row r="310" spans="4:5" x14ac:dyDescent="0.3">
      <c r="D310" s="1227"/>
      <c r="E310" s="1227"/>
    </row>
    <row r="311" spans="4:5" x14ac:dyDescent="0.3">
      <c r="D311" s="1227"/>
      <c r="E311" s="1227"/>
    </row>
    <row r="312" spans="4:5" x14ac:dyDescent="0.3">
      <c r="D312" s="1227"/>
      <c r="E312" s="1227"/>
    </row>
    <row r="313" spans="4:5" x14ac:dyDescent="0.3">
      <c r="D313" s="1227"/>
      <c r="E313" s="1227"/>
    </row>
    <row r="314" spans="4:5" x14ac:dyDescent="0.3">
      <c r="D314" s="1227"/>
      <c r="E314" s="1227"/>
    </row>
    <row r="315" spans="4:5" x14ac:dyDescent="0.3">
      <c r="D315" s="1227"/>
      <c r="E315" s="1227"/>
    </row>
    <row r="316" spans="4:5" x14ac:dyDescent="0.3">
      <c r="D316" s="1227"/>
      <c r="E316" s="1227"/>
    </row>
    <row r="317" spans="4:5" x14ac:dyDescent="0.3">
      <c r="D317" s="1227"/>
      <c r="E317" s="1227"/>
    </row>
    <row r="318" spans="4:5" x14ac:dyDescent="0.3">
      <c r="D318" s="1227"/>
      <c r="E318" s="1227"/>
    </row>
    <row r="319" spans="4:5" x14ac:dyDescent="0.3">
      <c r="D319" s="1227"/>
      <c r="E319" s="1227"/>
    </row>
    <row r="320" spans="4:5" x14ac:dyDescent="0.3">
      <c r="D320" s="1227"/>
      <c r="E320" s="1227"/>
    </row>
    <row r="321" spans="4:5" x14ac:dyDescent="0.3">
      <c r="D321" s="1227"/>
      <c r="E321" s="1227"/>
    </row>
    <row r="322" spans="4:5" x14ac:dyDescent="0.3">
      <c r="D322" s="1227"/>
      <c r="E322" s="1227"/>
    </row>
    <row r="323" spans="4:5" x14ac:dyDescent="0.3">
      <c r="D323" s="1227"/>
      <c r="E323" s="1227"/>
    </row>
    <row r="324" spans="4:5" x14ac:dyDescent="0.3">
      <c r="D324" s="1227"/>
      <c r="E324" s="1227"/>
    </row>
    <row r="325" spans="4:5" x14ac:dyDescent="0.3">
      <c r="D325" s="1227"/>
      <c r="E325" s="1227"/>
    </row>
    <row r="326" spans="4:5" x14ac:dyDescent="0.3">
      <c r="D326" s="1227"/>
      <c r="E326" s="1227"/>
    </row>
  </sheetData>
  <mergeCells count="324">
    <mergeCell ref="B1:K3"/>
    <mergeCell ref="I34:J34"/>
    <mergeCell ref="I33:J33"/>
    <mergeCell ref="D32:E32"/>
    <mergeCell ref="D34:D37"/>
    <mergeCell ref="D38:D40"/>
    <mergeCell ref="D41:D43"/>
    <mergeCell ref="D44:D50"/>
    <mergeCell ref="D51:D53"/>
    <mergeCell ref="A31:B31"/>
    <mergeCell ref="A32:B32"/>
    <mergeCell ref="A33:B33"/>
    <mergeCell ref="A34:B34"/>
    <mergeCell ref="A35:B35"/>
    <mergeCell ref="A36:B36"/>
    <mergeCell ref="A37:B37"/>
    <mergeCell ref="A53:B53"/>
    <mergeCell ref="A54:B54"/>
    <mergeCell ref="D54:D56"/>
    <mergeCell ref="A62:B62"/>
    <mergeCell ref="A61:B61"/>
    <mergeCell ref="A60:B60"/>
    <mergeCell ref="I56:K56"/>
    <mergeCell ref="A40:B40"/>
    <mergeCell ref="A41:B41"/>
    <mergeCell ref="A42:B42"/>
    <mergeCell ref="A43:B43"/>
    <mergeCell ref="I45:K45"/>
    <mergeCell ref="H37:L44"/>
    <mergeCell ref="H46:L46"/>
    <mergeCell ref="I58:K58"/>
    <mergeCell ref="I57:K57"/>
    <mergeCell ref="D65:E65"/>
    <mergeCell ref="D66:E66"/>
    <mergeCell ref="D67:E67"/>
    <mergeCell ref="D68:E68"/>
    <mergeCell ref="D69:E69"/>
    <mergeCell ref="D64:E64"/>
    <mergeCell ref="A38:B38"/>
    <mergeCell ref="A39:B39"/>
    <mergeCell ref="A55:B55"/>
    <mergeCell ref="A56:B56"/>
    <mergeCell ref="A57:B57"/>
    <mergeCell ref="A58:B58"/>
    <mergeCell ref="A59:B59"/>
    <mergeCell ref="D57:D59"/>
    <mergeCell ref="D60:D63"/>
    <mergeCell ref="A44:B44"/>
    <mergeCell ref="A45:B45"/>
    <mergeCell ref="A46:B46"/>
    <mergeCell ref="A47:B47"/>
    <mergeCell ref="A48:B48"/>
    <mergeCell ref="A49:B49"/>
    <mergeCell ref="A50:B50"/>
    <mergeCell ref="A51:B51"/>
    <mergeCell ref="A52:B52"/>
    <mergeCell ref="D75:E75"/>
    <mergeCell ref="D76:E76"/>
    <mergeCell ref="D77:E77"/>
    <mergeCell ref="D78:E78"/>
    <mergeCell ref="D79:E79"/>
    <mergeCell ref="D70:E70"/>
    <mergeCell ref="D71:E71"/>
    <mergeCell ref="D72:E72"/>
    <mergeCell ref="D73:E73"/>
    <mergeCell ref="D74:E74"/>
    <mergeCell ref="D85:E85"/>
    <mergeCell ref="D86:E86"/>
    <mergeCell ref="D87:E87"/>
    <mergeCell ref="D88:E88"/>
    <mergeCell ref="D89:E89"/>
    <mergeCell ref="D80:E80"/>
    <mergeCell ref="D81:E81"/>
    <mergeCell ref="D82:E82"/>
    <mergeCell ref="D83:E83"/>
    <mergeCell ref="D84:E84"/>
    <mergeCell ref="D95:E95"/>
    <mergeCell ref="D96:E96"/>
    <mergeCell ref="D97:E97"/>
    <mergeCell ref="D98:E98"/>
    <mergeCell ref="D99:E99"/>
    <mergeCell ref="D90:E90"/>
    <mergeCell ref="D91:E91"/>
    <mergeCell ref="D92:E92"/>
    <mergeCell ref="D93:E93"/>
    <mergeCell ref="D94:E94"/>
    <mergeCell ref="D105:E105"/>
    <mergeCell ref="D106:E106"/>
    <mergeCell ref="D107:E107"/>
    <mergeCell ref="D108:E108"/>
    <mergeCell ref="D109:E109"/>
    <mergeCell ref="D100:E100"/>
    <mergeCell ref="D101:E101"/>
    <mergeCell ref="D102:E102"/>
    <mergeCell ref="D103:E103"/>
    <mergeCell ref="D104:E104"/>
    <mergeCell ref="D115:E115"/>
    <mergeCell ref="D116:E116"/>
    <mergeCell ref="D117:E117"/>
    <mergeCell ref="D118:E118"/>
    <mergeCell ref="D119:E119"/>
    <mergeCell ref="D110:E110"/>
    <mergeCell ref="D111:E111"/>
    <mergeCell ref="D112:E112"/>
    <mergeCell ref="D113:E113"/>
    <mergeCell ref="D114:E114"/>
    <mergeCell ref="D125:E125"/>
    <mergeCell ref="D126:E126"/>
    <mergeCell ref="D127:E127"/>
    <mergeCell ref="D128:E128"/>
    <mergeCell ref="D129:E129"/>
    <mergeCell ref="D120:E120"/>
    <mergeCell ref="D121:E121"/>
    <mergeCell ref="D122:E122"/>
    <mergeCell ref="D123:E123"/>
    <mergeCell ref="D124:E124"/>
    <mergeCell ref="D135:E135"/>
    <mergeCell ref="D136:E136"/>
    <mergeCell ref="D137:E137"/>
    <mergeCell ref="D138:E138"/>
    <mergeCell ref="D139:E139"/>
    <mergeCell ref="D130:E130"/>
    <mergeCell ref="D131:E131"/>
    <mergeCell ref="D132:E132"/>
    <mergeCell ref="D133:E133"/>
    <mergeCell ref="D134:E134"/>
    <mergeCell ref="D145:E145"/>
    <mergeCell ref="D146:E146"/>
    <mergeCell ref="D147:E147"/>
    <mergeCell ref="D148:E148"/>
    <mergeCell ref="D149:E149"/>
    <mergeCell ref="D140:E140"/>
    <mergeCell ref="D141:E141"/>
    <mergeCell ref="D142:E142"/>
    <mergeCell ref="D143:E143"/>
    <mergeCell ref="D144:E144"/>
    <mergeCell ref="D155:E155"/>
    <mergeCell ref="D156:E156"/>
    <mergeCell ref="D157:E157"/>
    <mergeCell ref="D158:E158"/>
    <mergeCell ref="D159:E159"/>
    <mergeCell ref="D150:E150"/>
    <mergeCell ref="D151:E151"/>
    <mergeCell ref="D152:E152"/>
    <mergeCell ref="D153:E153"/>
    <mergeCell ref="D154:E154"/>
    <mergeCell ref="D165:E165"/>
    <mergeCell ref="D166:E166"/>
    <mergeCell ref="D167:E167"/>
    <mergeCell ref="D168:E168"/>
    <mergeCell ref="D169:E169"/>
    <mergeCell ref="D160:E160"/>
    <mergeCell ref="D161:E161"/>
    <mergeCell ref="D162:E162"/>
    <mergeCell ref="D163:E163"/>
    <mergeCell ref="D164:E164"/>
    <mergeCell ref="D175:E175"/>
    <mergeCell ref="D176:E176"/>
    <mergeCell ref="D177:E177"/>
    <mergeCell ref="D178:E178"/>
    <mergeCell ref="D179:E179"/>
    <mergeCell ref="D170:E170"/>
    <mergeCell ref="D171:E171"/>
    <mergeCell ref="D172:E172"/>
    <mergeCell ref="D173:E173"/>
    <mergeCell ref="D174:E174"/>
    <mergeCell ref="D185:E185"/>
    <mergeCell ref="D186:E186"/>
    <mergeCell ref="D187:E187"/>
    <mergeCell ref="D188:E188"/>
    <mergeCell ref="D189:E189"/>
    <mergeCell ref="D180:E180"/>
    <mergeCell ref="D181:E181"/>
    <mergeCell ref="D182:E182"/>
    <mergeCell ref="D183:E183"/>
    <mergeCell ref="D184:E184"/>
    <mergeCell ref="D195:E195"/>
    <mergeCell ref="D196:E196"/>
    <mergeCell ref="D197:E197"/>
    <mergeCell ref="D198:E198"/>
    <mergeCell ref="D199:E199"/>
    <mergeCell ref="D190:E190"/>
    <mergeCell ref="D191:E191"/>
    <mergeCell ref="D192:E192"/>
    <mergeCell ref="D193:E193"/>
    <mergeCell ref="D194:E194"/>
    <mergeCell ref="D205:E205"/>
    <mergeCell ref="D206:E206"/>
    <mergeCell ref="D207:E207"/>
    <mergeCell ref="D208:E208"/>
    <mergeCell ref="D209:E209"/>
    <mergeCell ref="D200:E200"/>
    <mergeCell ref="D201:E201"/>
    <mergeCell ref="D202:E202"/>
    <mergeCell ref="D203:E203"/>
    <mergeCell ref="D204:E204"/>
    <mergeCell ref="D215:E215"/>
    <mergeCell ref="D216:E216"/>
    <mergeCell ref="D217:E217"/>
    <mergeCell ref="D218:E218"/>
    <mergeCell ref="D219:E219"/>
    <mergeCell ref="D210:E210"/>
    <mergeCell ref="D211:E211"/>
    <mergeCell ref="D212:E212"/>
    <mergeCell ref="D213:E213"/>
    <mergeCell ref="D214:E214"/>
    <mergeCell ref="D225:E225"/>
    <mergeCell ref="D226:E226"/>
    <mergeCell ref="D227:E227"/>
    <mergeCell ref="D228:E228"/>
    <mergeCell ref="D229:E229"/>
    <mergeCell ref="D220:E220"/>
    <mergeCell ref="D221:E221"/>
    <mergeCell ref="D222:E222"/>
    <mergeCell ref="D223:E223"/>
    <mergeCell ref="D224:E224"/>
    <mergeCell ref="D235:E235"/>
    <mergeCell ref="D236:E236"/>
    <mergeCell ref="D237:E237"/>
    <mergeCell ref="D238:E238"/>
    <mergeCell ref="D239:E239"/>
    <mergeCell ref="D230:E230"/>
    <mergeCell ref="D231:E231"/>
    <mergeCell ref="D232:E232"/>
    <mergeCell ref="D233:E233"/>
    <mergeCell ref="D234:E234"/>
    <mergeCell ref="D245:E245"/>
    <mergeCell ref="D246:E246"/>
    <mergeCell ref="D247:E247"/>
    <mergeCell ref="D248:E248"/>
    <mergeCell ref="D249:E249"/>
    <mergeCell ref="D240:E240"/>
    <mergeCell ref="D241:E241"/>
    <mergeCell ref="D242:E242"/>
    <mergeCell ref="D243:E243"/>
    <mergeCell ref="D244:E244"/>
    <mergeCell ref="D255:E255"/>
    <mergeCell ref="D256:E256"/>
    <mergeCell ref="D257:E257"/>
    <mergeCell ref="D258:E258"/>
    <mergeCell ref="D259:E259"/>
    <mergeCell ref="D250:E250"/>
    <mergeCell ref="D251:E251"/>
    <mergeCell ref="D252:E252"/>
    <mergeCell ref="D253:E253"/>
    <mergeCell ref="D254:E254"/>
    <mergeCell ref="D265:E265"/>
    <mergeCell ref="D266:E266"/>
    <mergeCell ref="D267:E267"/>
    <mergeCell ref="D268:E268"/>
    <mergeCell ref="D269:E269"/>
    <mergeCell ref="D260:E260"/>
    <mergeCell ref="D261:E261"/>
    <mergeCell ref="D262:E262"/>
    <mergeCell ref="D263:E263"/>
    <mergeCell ref="D264:E264"/>
    <mergeCell ref="D275:E275"/>
    <mergeCell ref="D276:E276"/>
    <mergeCell ref="D277:E277"/>
    <mergeCell ref="D278:E278"/>
    <mergeCell ref="D279:E279"/>
    <mergeCell ref="D270:E270"/>
    <mergeCell ref="D271:E271"/>
    <mergeCell ref="D272:E272"/>
    <mergeCell ref="D273:E273"/>
    <mergeCell ref="D274:E274"/>
    <mergeCell ref="D326:E326"/>
    <mergeCell ref="D320:E320"/>
    <mergeCell ref="D321:E321"/>
    <mergeCell ref="D322:E322"/>
    <mergeCell ref="D323:E323"/>
    <mergeCell ref="D324:E324"/>
    <mergeCell ref="D315:E315"/>
    <mergeCell ref="D316:E316"/>
    <mergeCell ref="D317:E317"/>
    <mergeCell ref="D318:E318"/>
    <mergeCell ref="D319:E319"/>
    <mergeCell ref="D325:E325"/>
    <mergeCell ref="D280:E280"/>
    <mergeCell ref="D281:E281"/>
    <mergeCell ref="D310:E310"/>
    <mergeCell ref="D311:E311"/>
    <mergeCell ref="D312:E312"/>
    <mergeCell ref="D313:E313"/>
    <mergeCell ref="D314:E314"/>
    <mergeCell ref="D305:E305"/>
    <mergeCell ref="D306:E306"/>
    <mergeCell ref="D307:E307"/>
    <mergeCell ref="D308:E308"/>
    <mergeCell ref="D309:E309"/>
    <mergeCell ref="D282:E282"/>
    <mergeCell ref="D283:E283"/>
    <mergeCell ref="D284:E284"/>
    <mergeCell ref="D291:E291"/>
    <mergeCell ref="D292:E292"/>
    <mergeCell ref="D293:E293"/>
    <mergeCell ref="D294:E294"/>
    <mergeCell ref="D285:E285"/>
    <mergeCell ref="D286:E286"/>
    <mergeCell ref="D287:E287"/>
    <mergeCell ref="D288:E288"/>
    <mergeCell ref="D289:E289"/>
    <mergeCell ref="D290:E290"/>
    <mergeCell ref="D300:E300"/>
    <mergeCell ref="D301:E301"/>
    <mergeCell ref="D302:E302"/>
    <mergeCell ref="D303:E303"/>
    <mergeCell ref="D304:E304"/>
    <mergeCell ref="D295:E295"/>
    <mergeCell ref="D296:E296"/>
    <mergeCell ref="D297:E297"/>
    <mergeCell ref="D298:E298"/>
    <mergeCell ref="D299:E299"/>
    <mergeCell ref="I69:K69"/>
    <mergeCell ref="I64:K64"/>
    <mergeCell ref="I65:K65"/>
    <mergeCell ref="I66:K66"/>
    <mergeCell ref="I67:K67"/>
    <mergeCell ref="I68:K68"/>
    <mergeCell ref="I59:K59"/>
    <mergeCell ref="I60:K60"/>
    <mergeCell ref="I61:K61"/>
    <mergeCell ref="I62:K62"/>
    <mergeCell ref="I63:K63"/>
  </mergeCells>
  <pageMargins left="0.25" right="0.25" top="0.75" bottom="0.75" header="0.3" footer="0.3"/>
  <pageSetup scale="12"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E1E23-7163-479F-B4D8-AF374E1B4690}">
  <sheetPr codeName="Sheet27"/>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2D4FC-FD07-4691-BE8A-3731578E736E}">
  <sheetPr codeName="Sheet28"/>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B2:R34"/>
  <sheetViews>
    <sheetView workbookViewId="0">
      <selection activeCell="U24" sqref="U24"/>
    </sheetView>
  </sheetViews>
  <sheetFormatPr defaultColWidth="9.109375" defaultRowHeight="14.4" x14ac:dyDescent="0.3"/>
  <cols>
    <col min="1" max="10" width="9.109375" style="314"/>
    <col min="11" max="11" width="11.33203125" style="314" customWidth="1"/>
    <col min="12" max="16384" width="9.109375" style="314"/>
  </cols>
  <sheetData>
    <row r="2" spans="2:18" ht="15" thickBot="1" x14ac:dyDescent="0.35"/>
    <row r="3" spans="2:18" ht="15" thickTop="1" x14ac:dyDescent="0.3">
      <c r="B3" s="1260" t="s">
        <v>665</v>
      </c>
      <c r="C3" s="1261"/>
      <c r="D3" s="1261"/>
      <c r="E3" s="1261"/>
      <c r="F3" s="1261"/>
      <c r="G3" s="1261"/>
      <c r="H3" s="1262"/>
      <c r="K3" s="1260" t="s">
        <v>681</v>
      </c>
      <c r="L3" s="1261"/>
      <c r="M3" s="1261"/>
      <c r="N3" s="1261"/>
      <c r="O3" s="1261"/>
      <c r="P3" s="1261"/>
      <c r="Q3" s="1261"/>
      <c r="R3" s="1262"/>
    </row>
    <row r="4" spans="2:18" x14ac:dyDescent="0.3">
      <c r="B4" s="1263"/>
      <c r="C4" s="1264"/>
      <c r="D4" s="1264"/>
      <c r="E4" s="1264"/>
      <c r="F4" s="1264"/>
      <c r="G4" s="1264"/>
      <c r="H4" s="1265"/>
      <c r="K4" s="1263"/>
      <c r="L4" s="1264"/>
      <c r="M4" s="1264"/>
      <c r="N4" s="1264"/>
      <c r="O4" s="1264"/>
      <c r="P4" s="1264"/>
      <c r="Q4" s="1264"/>
      <c r="R4" s="1265"/>
    </row>
    <row r="5" spans="2:18" x14ac:dyDescent="0.3">
      <c r="B5" s="313"/>
      <c r="H5" s="315"/>
      <c r="K5" s="313"/>
      <c r="L5" s="314" t="s">
        <v>509</v>
      </c>
      <c r="M5" s="314" t="s">
        <v>467</v>
      </c>
      <c r="Q5" s="314" t="s">
        <v>509</v>
      </c>
      <c r="R5" s="315" t="s">
        <v>467</v>
      </c>
    </row>
    <row r="6" spans="2:18" x14ac:dyDescent="0.3">
      <c r="B6" s="313" t="s">
        <v>666</v>
      </c>
      <c r="H6" s="346">
        <v>41.99</v>
      </c>
      <c r="K6" s="313" t="s">
        <v>682</v>
      </c>
      <c r="L6" s="345" t="s">
        <v>470</v>
      </c>
      <c r="M6" s="348">
        <v>39.5</v>
      </c>
      <c r="O6" s="314" t="s">
        <v>743</v>
      </c>
      <c r="Q6" s="345" t="s">
        <v>470</v>
      </c>
      <c r="R6" s="346">
        <v>79</v>
      </c>
    </row>
    <row r="7" spans="2:18" x14ac:dyDescent="0.3">
      <c r="B7" s="313"/>
      <c r="C7" s="314" t="s">
        <v>667</v>
      </c>
      <c r="F7" s="314" t="s">
        <v>677</v>
      </c>
      <c r="H7" s="315"/>
      <c r="K7" s="313"/>
      <c r="Q7" s="345"/>
      <c r="R7" s="315"/>
    </row>
    <row r="8" spans="2:18" x14ac:dyDescent="0.3">
      <c r="B8" s="313"/>
      <c r="C8" s="314" t="s">
        <v>668</v>
      </c>
      <c r="F8" s="314" t="s">
        <v>678</v>
      </c>
      <c r="H8" s="315"/>
      <c r="K8" s="313" t="s">
        <v>683</v>
      </c>
      <c r="L8" s="345"/>
      <c r="O8" s="314" t="s">
        <v>744</v>
      </c>
      <c r="Q8" s="345" t="s">
        <v>470</v>
      </c>
      <c r="R8" s="346">
        <v>79</v>
      </c>
    </row>
    <row r="9" spans="2:18" x14ac:dyDescent="0.3">
      <c r="B9" s="313"/>
      <c r="C9" s="314" t="s">
        <v>679</v>
      </c>
      <c r="F9" s="314" t="s">
        <v>680</v>
      </c>
      <c r="H9" s="315"/>
      <c r="K9" s="313" t="s">
        <v>684</v>
      </c>
      <c r="L9" s="345" t="s">
        <v>470</v>
      </c>
      <c r="M9" s="349">
        <v>79</v>
      </c>
      <c r="Q9" s="345"/>
      <c r="R9" s="315"/>
    </row>
    <row r="10" spans="2:18" x14ac:dyDescent="0.3">
      <c r="B10" s="313" t="s">
        <v>669</v>
      </c>
      <c r="H10" s="346">
        <v>47.99</v>
      </c>
      <c r="K10" s="313"/>
      <c r="L10" s="345"/>
      <c r="O10" s="314" t="s">
        <v>692</v>
      </c>
      <c r="Q10" s="345" t="s">
        <v>470</v>
      </c>
      <c r="R10" s="346">
        <v>99</v>
      </c>
    </row>
    <row r="11" spans="2:18" x14ac:dyDescent="0.3">
      <c r="B11" s="313"/>
      <c r="C11" s="314" t="s">
        <v>670</v>
      </c>
      <c r="F11" s="314" t="s">
        <v>677</v>
      </c>
      <c r="H11" s="315"/>
      <c r="K11" s="313" t="s">
        <v>685</v>
      </c>
      <c r="L11" s="345"/>
      <c r="Q11" s="345"/>
      <c r="R11" s="315"/>
    </row>
    <row r="12" spans="2:18" x14ac:dyDescent="0.3">
      <c r="B12" s="313"/>
      <c r="C12" s="314" t="s">
        <v>668</v>
      </c>
      <c r="F12" s="314" t="s">
        <v>678</v>
      </c>
      <c r="H12" s="315"/>
      <c r="K12" s="313" t="s">
        <v>686</v>
      </c>
      <c r="L12" s="345" t="s">
        <v>470</v>
      </c>
      <c r="M12" s="349">
        <v>99</v>
      </c>
      <c r="O12" s="314" t="s">
        <v>693</v>
      </c>
      <c r="Q12" s="345" t="s">
        <v>470</v>
      </c>
      <c r="R12" s="346">
        <v>99</v>
      </c>
    </row>
    <row r="13" spans="2:18" x14ac:dyDescent="0.3">
      <c r="B13" s="313"/>
      <c r="C13" s="314" t="s">
        <v>679</v>
      </c>
      <c r="F13" s="314" t="s">
        <v>680</v>
      </c>
      <c r="H13" s="315"/>
      <c r="K13" s="313"/>
      <c r="L13" s="345"/>
      <c r="Q13" s="345"/>
      <c r="R13" s="315"/>
    </row>
    <row r="14" spans="2:18" x14ac:dyDescent="0.3">
      <c r="B14" s="313" t="s">
        <v>671</v>
      </c>
      <c r="H14" s="346">
        <v>49.99</v>
      </c>
      <c r="K14" s="313" t="s">
        <v>687</v>
      </c>
      <c r="L14" s="345" t="s">
        <v>470</v>
      </c>
      <c r="M14" s="349">
        <v>99</v>
      </c>
      <c r="O14" s="314" t="s">
        <v>694</v>
      </c>
      <c r="Q14" s="351">
        <v>2</v>
      </c>
      <c r="R14" s="346">
        <v>99</v>
      </c>
    </row>
    <row r="15" spans="2:18" x14ac:dyDescent="0.3">
      <c r="B15" s="313"/>
      <c r="C15" s="314" t="s">
        <v>672</v>
      </c>
      <c r="F15" s="314" t="s">
        <v>677</v>
      </c>
      <c r="H15" s="315"/>
      <c r="K15" s="313"/>
      <c r="L15" s="345"/>
      <c r="Q15" s="345"/>
      <c r="R15" s="315"/>
    </row>
    <row r="16" spans="2:18" x14ac:dyDescent="0.3">
      <c r="B16" s="313"/>
      <c r="C16" s="314" t="s">
        <v>668</v>
      </c>
      <c r="F16" s="314" t="s">
        <v>678</v>
      </c>
      <c r="H16" s="315"/>
      <c r="K16" s="313" t="s">
        <v>688</v>
      </c>
      <c r="L16" s="345" t="s">
        <v>470</v>
      </c>
      <c r="M16" s="349">
        <v>19.95</v>
      </c>
      <c r="O16" s="314" t="s">
        <v>695</v>
      </c>
      <c r="Q16" s="351">
        <v>2</v>
      </c>
      <c r="R16" s="346">
        <v>125</v>
      </c>
    </row>
    <row r="17" spans="2:18" x14ac:dyDescent="0.3">
      <c r="B17" s="313"/>
      <c r="C17" s="314" t="s">
        <v>679</v>
      </c>
      <c r="F17" s="314" t="s">
        <v>680</v>
      </c>
      <c r="H17" s="315"/>
      <c r="K17" s="313"/>
      <c r="L17" s="345"/>
      <c r="Q17" s="345"/>
      <c r="R17" s="315"/>
    </row>
    <row r="18" spans="2:18" x14ac:dyDescent="0.3">
      <c r="B18" s="313" t="s">
        <v>673</v>
      </c>
      <c r="H18" s="346">
        <v>51.99</v>
      </c>
      <c r="K18" s="313" t="s">
        <v>745</v>
      </c>
      <c r="L18" s="345" t="s">
        <v>470</v>
      </c>
      <c r="M18" s="349">
        <v>30</v>
      </c>
      <c r="O18" s="314" t="s">
        <v>696</v>
      </c>
      <c r="Q18" s="345" t="s">
        <v>470</v>
      </c>
      <c r="R18" s="346">
        <v>125</v>
      </c>
    </row>
    <row r="19" spans="2:18" x14ac:dyDescent="0.3">
      <c r="B19" s="313"/>
      <c r="C19" s="314" t="s">
        <v>675</v>
      </c>
      <c r="F19" s="314" t="s">
        <v>677</v>
      </c>
      <c r="H19" s="315"/>
      <c r="K19" s="313"/>
      <c r="L19" s="345"/>
      <c r="Q19" s="345"/>
      <c r="R19" s="315"/>
    </row>
    <row r="20" spans="2:18" x14ac:dyDescent="0.3">
      <c r="B20" s="313"/>
      <c r="C20" s="314" t="s">
        <v>668</v>
      </c>
      <c r="F20" s="314" t="s">
        <v>678</v>
      </c>
      <c r="H20" s="315"/>
      <c r="K20" s="313" t="s">
        <v>689</v>
      </c>
      <c r="L20" s="345"/>
      <c r="O20" s="314" t="s">
        <v>697</v>
      </c>
      <c r="Q20" s="345" t="s">
        <v>470</v>
      </c>
      <c r="R20" s="346">
        <v>125</v>
      </c>
    </row>
    <row r="21" spans="2:18" x14ac:dyDescent="0.3">
      <c r="B21" s="313"/>
      <c r="C21" s="314" t="s">
        <v>679</v>
      </c>
      <c r="F21" s="314" t="s">
        <v>680</v>
      </c>
      <c r="H21" s="315"/>
      <c r="K21" s="313" t="s">
        <v>690</v>
      </c>
      <c r="L21" s="345" t="s">
        <v>470</v>
      </c>
      <c r="M21" s="349">
        <v>49.5</v>
      </c>
      <c r="Q21" s="345"/>
      <c r="R21" s="315"/>
    </row>
    <row r="22" spans="2:18" x14ac:dyDescent="0.3">
      <c r="B22" s="313" t="s">
        <v>674</v>
      </c>
      <c r="H22" s="346">
        <v>54.99</v>
      </c>
      <c r="K22" s="313"/>
      <c r="L22" s="345"/>
      <c r="O22" s="314" t="s">
        <v>698</v>
      </c>
      <c r="Q22" s="351">
        <v>10</v>
      </c>
      <c r="R22" s="347" t="s">
        <v>470</v>
      </c>
    </row>
    <row r="23" spans="2:18" x14ac:dyDescent="0.3">
      <c r="B23" s="313"/>
      <c r="C23" s="314" t="s">
        <v>676</v>
      </c>
      <c r="F23" s="314" t="s">
        <v>677</v>
      </c>
      <c r="H23" s="315"/>
      <c r="K23" s="313" t="s">
        <v>742</v>
      </c>
      <c r="L23" s="345" t="s">
        <v>470</v>
      </c>
      <c r="M23" s="349">
        <v>79</v>
      </c>
      <c r="Q23" s="345"/>
      <c r="R23" s="315"/>
    </row>
    <row r="24" spans="2:18" x14ac:dyDescent="0.3">
      <c r="B24" s="313"/>
      <c r="C24" s="314" t="s">
        <v>668</v>
      </c>
      <c r="F24" s="314" t="s">
        <v>678</v>
      </c>
      <c r="H24" s="315"/>
      <c r="K24" s="313"/>
      <c r="L24" s="345"/>
      <c r="O24" s="314" t="s">
        <v>699</v>
      </c>
      <c r="Q24" s="351">
        <v>5</v>
      </c>
      <c r="R24" s="346">
        <v>179</v>
      </c>
    </row>
    <row r="25" spans="2:18" x14ac:dyDescent="0.3">
      <c r="B25" s="313"/>
      <c r="C25" s="314" t="s">
        <v>679</v>
      </c>
      <c r="F25" s="314" t="s">
        <v>680</v>
      </c>
      <c r="H25" s="315"/>
      <c r="K25" s="313" t="s">
        <v>746</v>
      </c>
      <c r="L25" s="345"/>
      <c r="Q25" s="345"/>
      <c r="R25" s="315"/>
    </row>
    <row r="26" spans="2:18" ht="15" thickBot="1" x14ac:dyDescent="0.35">
      <c r="B26" s="316"/>
      <c r="C26" s="317"/>
      <c r="D26" s="317"/>
      <c r="E26" s="317"/>
      <c r="F26" s="317"/>
      <c r="G26" s="317"/>
      <c r="H26" s="318"/>
      <c r="K26" s="316" t="s">
        <v>691</v>
      </c>
      <c r="L26" s="344" t="s">
        <v>470</v>
      </c>
      <c r="M26" s="350">
        <v>95</v>
      </c>
      <c r="N26" s="317"/>
      <c r="O26" s="317" t="s">
        <v>700</v>
      </c>
      <c r="P26" s="317"/>
      <c r="Q26" s="352">
        <v>10</v>
      </c>
      <c r="R26" s="353">
        <v>99</v>
      </c>
    </row>
    <row r="27" spans="2:18" ht="15" thickTop="1" x14ac:dyDescent="0.3"/>
    <row r="28" spans="2:18" ht="15" thickBot="1" x14ac:dyDescent="0.35"/>
    <row r="29" spans="2:18" ht="19.5" customHeight="1" thickTop="1" x14ac:dyDescent="0.35">
      <c r="B29" s="1266" t="s">
        <v>741</v>
      </c>
      <c r="C29" s="1267"/>
      <c r="D29" s="1267"/>
      <c r="E29" s="1267"/>
      <c r="F29" s="1267"/>
      <c r="G29" s="1267"/>
      <c r="H29" s="1268"/>
      <c r="K29" s="1254" t="s">
        <v>704</v>
      </c>
      <c r="L29" s="1255"/>
      <c r="M29" s="1255"/>
      <c r="N29" s="1255"/>
      <c r="O29" s="1255"/>
      <c r="P29" s="1255"/>
      <c r="Q29" s="1255"/>
      <c r="R29" s="1256"/>
    </row>
    <row r="30" spans="2:18" ht="15" customHeight="1" x14ac:dyDescent="0.3">
      <c r="B30" s="1248" t="s">
        <v>740</v>
      </c>
      <c r="C30" s="1249"/>
      <c r="D30" s="1249"/>
      <c r="E30" s="1249"/>
      <c r="F30" s="1249"/>
      <c r="G30" s="1249"/>
      <c r="H30" s="1250"/>
      <c r="K30" s="1257"/>
      <c r="L30" s="1258"/>
      <c r="M30" s="1258"/>
      <c r="N30" s="1258"/>
      <c r="O30" s="1258"/>
      <c r="P30" s="1258"/>
      <c r="Q30" s="1258"/>
      <c r="R30" s="1259"/>
    </row>
    <row r="31" spans="2:18" x14ac:dyDescent="0.3">
      <c r="B31" s="1248" t="s">
        <v>703</v>
      </c>
      <c r="C31" s="1249"/>
      <c r="D31" s="1249"/>
      <c r="E31" s="1249"/>
      <c r="F31" s="1249"/>
      <c r="G31" s="1249"/>
      <c r="H31" s="1250"/>
      <c r="K31" s="1248" t="s">
        <v>705</v>
      </c>
      <c r="L31" s="1249"/>
      <c r="M31" s="1249"/>
      <c r="N31" s="1249"/>
      <c r="O31" s="1249"/>
      <c r="P31" s="1249"/>
      <c r="Q31" s="1249"/>
      <c r="R31" s="1250"/>
    </row>
    <row r="32" spans="2:18" x14ac:dyDescent="0.3">
      <c r="B32" s="1248" t="s">
        <v>702</v>
      </c>
      <c r="C32" s="1249"/>
      <c r="D32" s="1249"/>
      <c r="E32" s="1249"/>
      <c r="F32" s="1249"/>
      <c r="G32" s="1249"/>
      <c r="H32" s="1250"/>
      <c r="K32" s="1248" t="s">
        <v>706</v>
      </c>
      <c r="L32" s="1249"/>
      <c r="M32" s="1249"/>
      <c r="N32" s="1249"/>
      <c r="O32" s="1249"/>
      <c r="P32" s="1249"/>
      <c r="Q32" s="1249"/>
      <c r="R32" s="1250"/>
    </row>
    <row r="33" spans="2:18" ht="15" thickBot="1" x14ac:dyDescent="0.35">
      <c r="B33" s="1251" t="s">
        <v>701</v>
      </c>
      <c r="C33" s="1252"/>
      <c r="D33" s="1252"/>
      <c r="E33" s="1252"/>
      <c r="F33" s="1252"/>
      <c r="G33" s="1252"/>
      <c r="H33" s="1253"/>
      <c r="K33" s="1251" t="s">
        <v>707</v>
      </c>
      <c r="L33" s="1252"/>
      <c r="M33" s="1252"/>
      <c r="N33" s="1252"/>
      <c r="O33" s="1252"/>
      <c r="P33" s="1252"/>
      <c r="Q33" s="1252"/>
      <c r="R33" s="1253"/>
    </row>
    <row r="34" spans="2:18" ht="15" thickTop="1" x14ac:dyDescent="0.3"/>
  </sheetData>
  <mergeCells count="11">
    <mergeCell ref="K31:R31"/>
    <mergeCell ref="K32:R32"/>
    <mergeCell ref="K33:R33"/>
    <mergeCell ref="K29:R30"/>
    <mergeCell ref="B3:H4"/>
    <mergeCell ref="K3:R4"/>
    <mergeCell ref="B33:H33"/>
    <mergeCell ref="B32:H32"/>
    <mergeCell ref="B30:H30"/>
    <mergeCell ref="B31:H31"/>
    <mergeCell ref="B29:H2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AY304"/>
  <sheetViews>
    <sheetView workbookViewId="0">
      <selection activeCell="N28" sqref="N28"/>
    </sheetView>
  </sheetViews>
  <sheetFormatPr defaultRowHeight="14.4" x14ac:dyDescent="0.3"/>
  <sheetData>
    <row r="1" spans="1:51" ht="15" thickBot="1" x14ac:dyDescent="0.35">
      <c r="A1" s="258"/>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row>
    <row r="2" spans="1:51" ht="15" thickTop="1" x14ac:dyDescent="0.3">
      <c r="A2" s="258"/>
      <c r="B2" s="310"/>
      <c r="C2" s="311"/>
      <c r="D2" s="1269" t="s">
        <v>597</v>
      </c>
      <c r="E2" s="1270"/>
      <c r="F2" s="1270"/>
      <c r="G2" s="1270"/>
      <c r="H2" s="1270"/>
      <c r="I2" s="311"/>
      <c r="J2" s="311"/>
      <c r="K2" s="312"/>
      <c r="L2" s="258"/>
      <c r="M2" s="310"/>
      <c r="N2" s="311"/>
      <c r="O2" s="311"/>
      <c r="P2" s="1269" t="s">
        <v>598</v>
      </c>
      <c r="Q2" s="1271"/>
      <c r="R2" s="1271"/>
      <c r="S2" s="1271"/>
      <c r="T2" s="1271"/>
      <c r="U2" s="311"/>
      <c r="V2" s="311"/>
      <c r="W2" s="312"/>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row>
    <row r="3" spans="1:51" x14ac:dyDescent="0.3">
      <c r="A3" s="258"/>
      <c r="B3" s="313"/>
      <c r="C3" s="314"/>
      <c r="D3" s="1249"/>
      <c r="E3" s="1249"/>
      <c r="F3" s="1249"/>
      <c r="G3" s="1249"/>
      <c r="H3" s="1249"/>
      <c r="I3" s="314"/>
      <c r="J3" s="314"/>
      <c r="K3" s="315"/>
      <c r="L3" s="258"/>
      <c r="M3" s="313"/>
      <c r="N3" s="314"/>
      <c r="O3" s="314"/>
      <c r="P3" s="1272"/>
      <c r="Q3" s="1272"/>
      <c r="R3" s="1272"/>
      <c r="S3" s="1272"/>
      <c r="T3" s="1272"/>
      <c r="U3" s="314"/>
      <c r="V3" s="314"/>
      <c r="W3" s="315"/>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row>
    <row r="4" spans="1:51" x14ac:dyDescent="0.3">
      <c r="A4" s="258"/>
      <c r="B4" s="313"/>
      <c r="C4" s="314"/>
      <c r="D4" s="314"/>
      <c r="E4" s="314"/>
      <c r="F4" s="314"/>
      <c r="G4" s="314"/>
      <c r="H4" s="314"/>
      <c r="I4" s="314"/>
      <c r="J4" s="314"/>
      <c r="K4" s="315"/>
      <c r="L4" s="258"/>
      <c r="M4" s="313"/>
      <c r="N4" s="314"/>
      <c r="O4" s="314"/>
      <c r="P4" s="314"/>
      <c r="Q4" s="314"/>
      <c r="R4" s="314"/>
      <c r="S4" s="314"/>
      <c r="T4" s="314"/>
      <c r="U4" s="314"/>
      <c r="V4" s="314"/>
      <c r="W4" s="315"/>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row>
    <row r="5" spans="1:51" ht="18" x14ac:dyDescent="0.35">
      <c r="A5" s="258"/>
      <c r="B5" s="313"/>
      <c r="C5" s="314" t="s">
        <v>621</v>
      </c>
      <c r="D5" s="314"/>
      <c r="E5" s="314"/>
      <c r="F5" s="314"/>
      <c r="G5" s="314"/>
      <c r="H5" s="314"/>
      <c r="I5" s="314"/>
      <c r="J5" s="326">
        <v>59</v>
      </c>
      <c r="K5" s="315"/>
      <c r="L5" s="258"/>
      <c r="M5" s="313"/>
      <c r="N5" s="1273" t="s">
        <v>599</v>
      </c>
      <c r="O5" s="1274"/>
      <c r="P5" s="1274"/>
      <c r="Q5" s="1275"/>
      <c r="R5" s="314"/>
      <c r="S5" s="1273" t="s">
        <v>600</v>
      </c>
      <c r="T5" s="1274"/>
      <c r="U5" s="1274"/>
      <c r="V5" s="1275"/>
      <c r="W5" s="315"/>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row>
    <row r="6" spans="1:51" x14ac:dyDescent="0.3">
      <c r="A6" s="258"/>
      <c r="B6" s="313"/>
      <c r="C6" s="314" t="s">
        <v>622</v>
      </c>
      <c r="D6" s="314"/>
      <c r="E6" s="314"/>
      <c r="F6" s="314"/>
      <c r="G6" s="314"/>
      <c r="H6" s="314"/>
      <c r="I6" s="314"/>
      <c r="J6" s="326">
        <v>25</v>
      </c>
      <c r="K6" s="315"/>
      <c r="L6" s="258"/>
      <c r="M6" s="313"/>
      <c r="N6" s="319"/>
      <c r="O6" s="314"/>
      <c r="P6" s="314"/>
      <c r="Q6" s="320"/>
      <c r="R6" s="314"/>
      <c r="S6" s="319"/>
      <c r="T6" s="314"/>
      <c r="U6" s="314"/>
      <c r="V6" s="320"/>
      <c r="W6" s="315"/>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c r="AW6" s="258"/>
      <c r="AX6" s="258"/>
      <c r="AY6" s="258"/>
    </row>
    <row r="7" spans="1:51" ht="15.6" x14ac:dyDescent="0.3">
      <c r="A7" s="258"/>
      <c r="B7" s="313"/>
      <c r="C7" s="314" t="s">
        <v>623</v>
      </c>
      <c r="D7" s="314"/>
      <c r="E7" s="314"/>
      <c r="F7" s="314"/>
      <c r="G7" s="314"/>
      <c r="H7" s="314"/>
      <c r="I7" s="314"/>
      <c r="J7" s="326">
        <v>69</v>
      </c>
      <c r="K7" s="315"/>
      <c r="L7" s="258"/>
      <c r="M7" s="313"/>
      <c r="N7" s="324"/>
      <c r="O7" s="325" t="s">
        <v>664</v>
      </c>
      <c r="P7" s="325"/>
      <c r="Q7" s="320"/>
      <c r="R7" s="314"/>
      <c r="S7" s="1278" t="s">
        <v>663</v>
      </c>
      <c r="T7" s="1279"/>
      <c r="U7" s="1279"/>
      <c r="V7" s="1280"/>
      <c r="W7" s="315"/>
      <c r="X7" s="258"/>
      <c r="Y7" s="258"/>
      <c r="Z7" s="258"/>
      <c r="AA7" s="258"/>
      <c r="AB7" s="258"/>
      <c r="AC7" s="258"/>
      <c r="AD7" s="258"/>
      <c r="AE7" s="258"/>
      <c r="AF7" s="258"/>
      <c r="AG7" s="258"/>
      <c r="AH7" s="258"/>
      <c r="AI7" s="258"/>
      <c r="AJ7" s="258"/>
      <c r="AK7" s="258"/>
      <c r="AL7" s="258"/>
      <c r="AM7" s="258"/>
      <c r="AN7" s="258"/>
      <c r="AO7" s="258"/>
      <c r="AP7" s="258"/>
      <c r="AQ7" s="258"/>
      <c r="AR7" s="258"/>
      <c r="AS7" s="258"/>
      <c r="AT7" s="258"/>
      <c r="AU7" s="258"/>
      <c r="AV7" s="258"/>
      <c r="AW7" s="258"/>
      <c r="AX7" s="258"/>
      <c r="AY7" s="258"/>
    </row>
    <row r="8" spans="1:51" x14ac:dyDescent="0.3">
      <c r="A8" s="258"/>
      <c r="B8" s="313"/>
      <c r="C8" s="314" t="s">
        <v>624</v>
      </c>
      <c r="D8" s="314"/>
      <c r="E8" s="314"/>
      <c r="F8" s="314"/>
      <c r="G8" s="314"/>
      <c r="H8" s="314"/>
      <c r="I8" s="314"/>
      <c r="J8" s="326">
        <v>349</v>
      </c>
      <c r="K8" s="315"/>
      <c r="L8" s="258"/>
      <c r="M8" s="313"/>
      <c r="N8" s="319" t="s">
        <v>601</v>
      </c>
      <c r="O8" s="314"/>
      <c r="P8" s="314"/>
      <c r="Q8" s="320"/>
      <c r="R8" s="314"/>
      <c r="S8" s="319" t="s">
        <v>601</v>
      </c>
      <c r="T8" s="314"/>
      <c r="U8" s="314"/>
      <c r="V8" s="320"/>
      <c r="W8" s="315"/>
      <c r="X8" s="258"/>
      <c r="Y8" s="258"/>
      <c r="Z8" s="258"/>
      <c r="AA8" s="258"/>
      <c r="AB8" s="258"/>
      <c r="AC8" s="258"/>
      <c r="AD8" s="258"/>
      <c r="AE8" s="258"/>
      <c r="AF8" s="258"/>
      <c r="AG8" s="258"/>
      <c r="AH8" s="258"/>
      <c r="AI8" s="258"/>
      <c r="AJ8" s="258"/>
      <c r="AK8" s="258"/>
      <c r="AL8" s="258"/>
      <c r="AM8" s="258"/>
      <c r="AN8" s="258"/>
      <c r="AO8" s="258"/>
      <c r="AP8" s="258"/>
      <c r="AQ8" s="258"/>
      <c r="AR8" s="258"/>
      <c r="AS8" s="258"/>
      <c r="AT8" s="258"/>
      <c r="AU8" s="258"/>
      <c r="AV8" s="258"/>
      <c r="AW8" s="258"/>
      <c r="AX8" s="258"/>
      <c r="AY8" s="258"/>
    </row>
    <row r="9" spans="1:51" x14ac:dyDescent="0.3">
      <c r="A9" s="258"/>
      <c r="B9" s="313"/>
      <c r="C9" s="314" t="s">
        <v>626</v>
      </c>
      <c r="D9" s="314"/>
      <c r="E9" s="314"/>
      <c r="F9" s="314"/>
      <c r="G9" s="314"/>
      <c r="H9" s="314"/>
      <c r="I9" s="314"/>
      <c r="J9" s="326">
        <v>598</v>
      </c>
      <c r="K9" s="315"/>
      <c r="L9" s="258"/>
      <c r="M9" s="313"/>
      <c r="N9" s="319"/>
      <c r="O9" s="314" t="s">
        <v>608</v>
      </c>
      <c r="P9" s="314"/>
      <c r="Q9" s="320"/>
      <c r="R9" s="314"/>
      <c r="S9" s="319" t="s">
        <v>181</v>
      </c>
      <c r="T9" s="314" t="s">
        <v>612</v>
      </c>
      <c r="U9" s="314"/>
      <c r="V9" s="320"/>
      <c r="W9" s="315"/>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c r="AW9" s="258"/>
      <c r="AX9" s="258"/>
      <c r="AY9" s="258"/>
    </row>
    <row r="10" spans="1:51" x14ac:dyDescent="0.3">
      <c r="A10" s="258"/>
      <c r="B10" s="313"/>
      <c r="C10" s="314" t="s">
        <v>627</v>
      </c>
      <c r="D10" s="314"/>
      <c r="E10" s="314"/>
      <c r="F10" s="314"/>
      <c r="G10" s="314"/>
      <c r="H10" s="314"/>
      <c r="I10" s="314"/>
      <c r="J10" s="326">
        <v>169</v>
      </c>
      <c r="K10" s="315"/>
      <c r="L10" s="258"/>
      <c r="M10" s="313"/>
      <c r="N10" s="319"/>
      <c r="O10" s="314"/>
      <c r="P10" s="314"/>
      <c r="Q10" s="320"/>
      <c r="R10" s="314"/>
      <c r="S10" s="319"/>
      <c r="T10" s="314"/>
      <c r="U10" s="314"/>
      <c r="V10" s="320"/>
      <c r="W10" s="315"/>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row>
    <row r="11" spans="1:51" x14ac:dyDescent="0.3">
      <c r="A11" s="258"/>
      <c r="B11" s="313"/>
      <c r="C11" s="314" t="s">
        <v>628</v>
      </c>
      <c r="D11" s="314"/>
      <c r="E11" s="314"/>
      <c r="F11" s="314"/>
      <c r="G11" s="314"/>
      <c r="H11" s="314"/>
      <c r="I11" s="314"/>
      <c r="J11" s="326">
        <v>318</v>
      </c>
      <c r="K11" s="315"/>
      <c r="L11" s="258"/>
      <c r="M11" s="313"/>
      <c r="N11" s="319" t="s">
        <v>602</v>
      </c>
      <c r="O11" s="314"/>
      <c r="P11" s="314"/>
      <c r="Q11" s="320"/>
      <c r="R11" s="314"/>
      <c r="S11" s="319" t="s">
        <v>602</v>
      </c>
      <c r="T11" s="314"/>
      <c r="U11" s="314"/>
      <c r="V11" s="320"/>
      <c r="W11" s="315"/>
      <c r="X11" s="258"/>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row>
    <row r="12" spans="1:51" x14ac:dyDescent="0.3">
      <c r="A12" s="258"/>
      <c r="B12" s="313"/>
      <c r="C12" s="314" t="s">
        <v>625</v>
      </c>
      <c r="D12" s="314"/>
      <c r="E12" s="314"/>
      <c r="F12" s="314"/>
      <c r="G12" s="314"/>
      <c r="H12" s="314"/>
      <c r="I12" s="314"/>
      <c r="J12" s="326">
        <v>15</v>
      </c>
      <c r="K12" s="315"/>
      <c r="L12" s="258"/>
      <c r="M12" s="313"/>
      <c r="N12" s="319"/>
      <c r="O12" s="314" t="s">
        <v>609</v>
      </c>
      <c r="P12" s="314"/>
      <c r="Q12" s="320"/>
      <c r="R12" s="314"/>
      <c r="S12" s="319"/>
      <c r="T12" s="314" t="s">
        <v>607</v>
      </c>
      <c r="U12" s="314"/>
      <c r="V12" s="320"/>
      <c r="W12" s="315"/>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row>
    <row r="13" spans="1:51" x14ac:dyDescent="0.3">
      <c r="A13" s="258"/>
      <c r="B13" s="313"/>
      <c r="C13" s="314" t="s">
        <v>630</v>
      </c>
      <c r="D13" s="314"/>
      <c r="E13" s="314"/>
      <c r="F13" s="314"/>
      <c r="G13" s="314"/>
      <c r="H13" s="314"/>
      <c r="I13" s="314"/>
      <c r="J13" s="326">
        <v>249</v>
      </c>
      <c r="K13" s="315"/>
      <c r="L13" s="258"/>
      <c r="M13" s="313"/>
      <c r="N13" s="319"/>
      <c r="O13" s="314" t="s">
        <v>610</v>
      </c>
      <c r="P13" s="314"/>
      <c r="Q13" s="320"/>
      <c r="R13" s="314"/>
      <c r="S13" s="319"/>
      <c r="T13" s="314" t="s">
        <v>603</v>
      </c>
      <c r="U13" s="314"/>
      <c r="V13" s="320"/>
      <c r="W13" s="315"/>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58"/>
      <c r="AU13" s="258"/>
      <c r="AV13" s="258"/>
      <c r="AW13" s="258"/>
      <c r="AX13" s="258"/>
      <c r="AY13" s="258"/>
    </row>
    <row r="14" spans="1:51" x14ac:dyDescent="0.3">
      <c r="A14" s="258"/>
      <c r="B14" s="313"/>
      <c r="C14" s="314" t="s">
        <v>631</v>
      </c>
      <c r="D14" s="314"/>
      <c r="E14" s="314"/>
      <c r="F14" s="314"/>
      <c r="G14" s="314"/>
      <c r="H14" s="314"/>
      <c r="I14" s="314"/>
      <c r="J14" s="326">
        <v>448</v>
      </c>
      <c r="K14" s="315"/>
      <c r="L14" s="258"/>
      <c r="M14" s="313"/>
      <c r="N14" s="319"/>
      <c r="O14" s="314" t="s">
        <v>611</v>
      </c>
      <c r="P14" s="314"/>
      <c r="Q14" s="320"/>
      <c r="R14" s="314"/>
      <c r="S14" s="319"/>
      <c r="T14" s="314" t="s">
        <v>604</v>
      </c>
      <c r="U14" s="314"/>
      <c r="V14" s="320"/>
      <c r="W14" s="315"/>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58"/>
      <c r="AU14" s="258"/>
      <c r="AV14" s="258"/>
      <c r="AW14" s="258"/>
      <c r="AX14" s="258"/>
      <c r="AY14" s="258"/>
    </row>
    <row r="15" spans="1:51" x14ac:dyDescent="0.3">
      <c r="A15" s="258"/>
      <c r="B15" s="313"/>
      <c r="C15" s="314" t="s">
        <v>632</v>
      </c>
      <c r="D15" s="314"/>
      <c r="E15" s="314"/>
      <c r="F15" s="314"/>
      <c r="G15" s="314"/>
      <c r="H15" s="314"/>
      <c r="I15" s="314"/>
      <c r="J15" s="326">
        <v>199</v>
      </c>
      <c r="K15" s="315"/>
      <c r="L15" s="258"/>
      <c r="M15" s="313"/>
      <c r="N15" s="319"/>
      <c r="O15" s="314"/>
      <c r="P15" s="314"/>
      <c r="Q15" s="320"/>
      <c r="R15" s="314"/>
      <c r="S15" s="319"/>
      <c r="T15" s="314"/>
      <c r="U15" s="314" t="s">
        <v>605</v>
      </c>
      <c r="V15" s="320"/>
      <c r="W15" s="315"/>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8"/>
    </row>
    <row r="16" spans="1:51" x14ac:dyDescent="0.3">
      <c r="A16" s="258"/>
      <c r="B16" s="313"/>
      <c r="C16" s="314" t="s">
        <v>634</v>
      </c>
      <c r="D16" s="314"/>
      <c r="E16" s="314"/>
      <c r="F16" s="314"/>
      <c r="G16" s="314"/>
      <c r="H16" s="314"/>
      <c r="I16" s="314"/>
      <c r="J16" s="326">
        <v>299</v>
      </c>
      <c r="K16" s="315"/>
      <c r="L16" s="258"/>
      <c r="M16" s="313"/>
      <c r="N16" s="321"/>
      <c r="O16" s="322"/>
      <c r="P16" s="322"/>
      <c r="Q16" s="323"/>
      <c r="R16" s="314"/>
      <c r="S16" s="321"/>
      <c r="T16" s="322" t="s">
        <v>606</v>
      </c>
      <c r="U16" s="322"/>
      <c r="V16" s="323"/>
      <c r="W16" s="315"/>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row>
    <row r="17" spans="1:51" x14ac:dyDescent="0.3">
      <c r="A17" s="258"/>
      <c r="B17" s="313"/>
      <c r="C17" s="314" t="s">
        <v>636</v>
      </c>
      <c r="D17" s="314"/>
      <c r="E17" s="314"/>
      <c r="F17" s="314"/>
      <c r="G17" s="314"/>
      <c r="H17" s="314"/>
      <c r="I17" s="314"/>
      <c r="J17" s="314" t="s">
        <v>633</v>
      </c>
      <c r="K17" s="315"/>
      <c r="L17" s="258"/>
      <c r="M17" s="313"/>
      <c r="N17" s="314"/>
      <c r="O17" s="314"/>
      <c r="P17" s="314"/>
      <c r="Q17" s="314"/>
      <c r="R17" s="314"/>
      <c r="S17" s="314"/>
      <c r="T17" s="314"/>
      <c r="U17" s="314"/>
      <c r="V17" s="314"/>
      <c r="W17" s="315"/>
      <c r="X17" s="258"/>
      <c r="Y17" s="258"/>
      <c r="Z17" s="258"/>
      <c r="AA17" s="258"/>
      <c r="AB17" s="258"/>
      <c r="AC17" s="258"/>
      <c r="AD17" s="258"/>
      <c r="AE17" s="258"/>
      <c r="AF17" s="258"/>
      <c r="AG17" s="258"/>
      <c r="AH17" s="258"/>
      <c r="AI17" s="258"/>
      <c r="AJ17" s="258"/>
      <c r="AK17" s="258"/>
      <c r="AL17" s="258"/>
      <c r="AM17" s="258"/>
      <c r="AN17" s="258"/>
      <c r="AO17" s="258"/>
      <c r="AP17" s="258"/>
      <c r="AQ17" s="258"/>
      <c r="AR17" s="258"/>
      <c r="AS17" s="258"/>
      <c r="AT17" s="258"/>
      <c r="AU17" s="258"/>
      <c r="AV17" s="258"/>
      <c r="AW17" s="258"/>
      <c r="AX17" s="258"/>
      <c r="AY17" s="258"/>
    </row>
    <row r="18" spans="1:51" x14ac:dyDescent="0.3">
      <c r="A18" s="258"/>
      <c r="B18" s="313"/>
      <c r="C18" s="314" t="s">
        <v>635</v>
      </c>
      <c r="D18" s="314"/>
      <c r="E18" s="314"/>
      <c r="F18" s="314"/>
      <c r="G18" s="314"/>
      <c r="H18" s="314"/>
      <c r="I18" s="314"/>
      <c r="J18" s="326">
        <v>498</v>
      </c>
      <c r="K18" s="315"/>
      <c r="L18" s="258"/>
      <c r="M18" s="313"/>
      <c r="N18" s="314"/>
      <c r="O18" s="1281" t="s">
        <v>620</v>
      </c>
      <c r="P18" s="1282"/>
      <c r="Q18" s="1282"/>
      <c r="R18" s="1282"/>
      <c r="S18" s="1282"/>
      <c r="T18" s="1282"/>
      <c r="U18" s="1283"/>
      <c r="V18" s="314"/>
      <c r="W18" s="315"/>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8"/>
    </row>
    <row r="19" spans="1:51" x14ac:dyDescent="0.3">
      <c r="A19" s="258"/>
      <c r="B19" s="313"/>
      <c r="C19" s="314" t="s">
        <v>637</v>
      </c>
      <c r="D19" s="314"/>
      <c r="E19" s="314"/>
      <c r="F19" s="314"/>
      <c r="G19" s="314"/>
      <c r="H19" s="314"/>
      <c r="I19" s="314"/>
      <c r="J19" s="314" t="s">
        <v>659</v>
      </c>
      <c r="K19" s="315"/>
      <c r="L19" s="258"/>
      <c r="M19" s="313"/>
      <c r="N19" s="314"/>
      <c r="O19" s="1276" t="s">
        <v>614</v>
      </c>
      <c r="P19" s="1249"/>
      <c r="Q19" s="1249"/>
      <c r="R19" s="1249"/>
      <c r="S19" s="1249"/>
      <c r="T19" s="1249"/>
      <c r="U19" s="1277"/>
      <c r="V19" s="314"/>
      <c r="W19" s="315"/>
      <c r="X19" s="258"/>
      <c r="Y19" s="258"/>
      <c r="Z19" s="258"/>
      <c r="AA19" s="258"/>
      <c r="AB19" s="258"/>
      <c r="AC19" s="258"/>
      <c r="AD19" s="258"/>
      <c r="AE19" s="258"/>
      <c r="AF19" s="258"/>
      <c r="AG19" s="258"/>
      <c r="AH19" s="258"/>
      <c r="AI19" s="258"/>
      <c r="AJ19" s="258"/>
      <c r="AK19" s="258"/>
      <c r="AL19" s="258"/>
      <c r="AM19" s="258"/>
      <c r="AN19" s="258"/>
      <c r="AO19" s="258"/>
      <c r="AP19" s="258"/>
      <c r="AQ19" s="258"/>
      <c r="AR19" s="258"/>
      <c r="AS19" s="258"/>
      <c r="AT19" s="258"/>
      <c r="AU19" s="258"/>
      <c r="AV19" s="258"/>
      <c r="AW19" s="258"/>
      <c r="AX19" s="258"/>
      <c r="AY19" s="258"/>
    </row>
    <row r="20" spans="1:51" x14ac:dyDescent="0.3">
      <c r="A20" s="258"/>
      <c r="B20" s="313"/>
      <c r="C20" s="314" t="s">
        <v>660</v>
      </c>
      <c r="D20" s="314"/>
      <c r="E20" s="314"/>
      <c r="F20" s="314"/>
      <c r="G20" s="314"/>
      <c r="H20" s="314"/>
      <c r="I20" s="314"/>
      <c r="J20" s="326">
        <v>119</v>
      </c>
      <c r="K20" s="315"/>
      <c r="L20" s="258"/>
      <c r="M20" s="313"/>
      <c r="N20" s="314"/>
      <c r="O20" s="1276" t="s">
        <v>615</v>
      </c>
      <c r="P20" s="1249"/>
      <c r="Q20" s="1249"/>
      <c r="R20" s="1249"/>
      <c r="S20" s="1249"/>
      <c r="T20" s="1249"/>
      <c r="U20" s="1277"/>
      <c r="V20" s="314"/>
      <c r="W20" s="315"/>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row>
    <row r="21" spans="1:51" x14ac:dyDescent="0.3">
      <c r="A21" s="258"/>
      <c r="B21" s="313"/>
      <c r="C21" s="314" t="s">
        <v>661</v>
      </c>
      <c r="D21" s="314"/>
      <c r="E21" s="314"/>
      <c r="F21" s="314"/>
      <c r="G21" s="314"/>
      <c r="H21" s="314"/>
      <c r="I21" s="314"/>
      <c r="J21" s="326">
        <v>329</v>
      </c>
      <c r="K21" s="315"/>
      <c r="L21" s="258"/>
      <c r="M21" s="313"/>
      <c r="N21" s="314"/>
      <c r="O21" s="1276" t="s">
        <v>616</v>
      </c>
      <c r="P21" s="1249"/>
      <c r="Q21" s="1249"/>
      <c r="R21" s="1249"/>
      <c r="S21" s="1249"/>
      <c r="T21" s="1249"/>
      <c r="U21" s="1277"/>
      <c r="V21" s="314"/>
      <c r="W21" s="315"/>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row>
    <row r="22" spans="1:51" x14ac:dyDescent="0.3">
      <c r="A22" s="258"/>
      <c r="B22" s="313"/>
      <c r="C22" s="314" t="s">
        <v>662</v>
      </c>
      <c r="D22" s="314"/>
      <c r="E22" s="314"/>
      <c r="F22" s="314"/>
      <c r="G22" s="314"/>
      <c r="H22" s="314"/>
      <c r="I22" s="314"/>
      <c r="J22" s="326">
        <v>614</v>
      </c>
      <c r="K22" s="315"/>
      <c r="L22" s="258"/>
      <c r="M22" s="313"/>
      <c r="N22" s="314"/>
      <c r="O22" s="1276" t="s">
        <v>617</v>
      </c>
      <c r="P22" s="1249"/>
      <c r="Q22" s="1249"/>
      <c r="R22" s="1249"/>
      <c r="S22" s="1249"/>
      <c r="T22" s="1249"/>
      <c r="U22" s="1277"/>
      <c r="V22" s="314"/>
      <c r="W22" s="315"/>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row>
    <row r="23" spans="1:51" x14ac:dyDescent="0.3">
      <c r="A23" s="258"/>
      <c r="B23" s="313"/>
      <c r="C23" s="314"/>
      <c r="D23" s="314"/>
      <c r="E23" s="314"/>
      <c r="F23" s="314"/>
      <c r="G23" s="314"/>
      <c r="H23" s="314"/>
      <c r="I23" s="314"/>
      <c r="J23" s="314"/>
      <c r="K23" s="315"/>
      <c r="L23" s="258"/>
      <c r="M23" s="313"/>
      <c r="N23" s="314"/>
      <c r="O23" s="1276" t="s">
        <v>618</v>
      </c>
      <c r="P23" s="1249"/>
      <c r="Q23" s="1249"/>
      <c r="R23" s="1249"/>
      <c r="S23" s="1249"/>
      <c r="T23" s="1249"/>
      <c r="U23" s="1277"/>
      <c r="V23" s="314"/>
      <c r="W23" s="315"/>
      <c r="X23" s="258"/>
      <c r="Y23" s="258"/>
      <c r="Z23" s="258"/>
      <c r="AA23" s="258"/>
      <c r="AB23" s="258"/>
      <c r="AC23" s="258"/>
      <c r="AD23" s="258"/>
      <c r="AE23" s="258"/>
      <c r="AF23" s="258"/>
      <c r="AG23" s="258"/>
      <c r="AH23" s="258"/>
      <c r="AI23" s="258"/>
      <c r="AJ23" s="258"/>
      <c r="AK23" s="258"/>
      <c r="AL23" s="258"/>
      <c r="AM23" s="258"/>
      <c r="AN23" s="258"/>
      <c r="AO23" s="258"/>
      <c r="AP23" s="258"/>
      <c r="AQ23" s="258"/>
      <c r="AR23" s="258"/>
      <c r="AS23" s="258"/>
      <c r="AT23" s="258"/>
      <c r="AU23" s="258"/>
      <c r="AV23" s="258"/>
      <c r="AW23" s="258"/>
      <c r="AX23" s="258"/>
      <c r="AY23" s="258"/>
    </row>
    <row r="24" spans="1:51" x14ac:dyDescent="0.3">
      <c r="A24" s="258"/>
      <c r="B24" s="313"/>
      <c r="C24" s="314"/>
      <c r="D24" s="314"/>
      <c r="E24" s="314"/>
      <c r="F24" s="314"/>
      <c r="G24" s="314"/>
      <c r="H24" s="314"/>
      <c r="I24" s="314"/>
      <c r="J24" s="314"/>
      <c r="K24" s="315"/>
      <c r="L24" s="258"/>
      <c r="M24" s="313"/>
      <c r="N24" s="314"/>
      <c r="O24" s="1284" t="s">
        <v>619</v>
      </c>
      <c r="P24" s="1285"/>
      <c r="Q24" s="1285"/>
      <c r="R24" s="1285"/>
      <c r="S24" s="1285"/>
      <c r="T24" s="1285"/>
      <c r="U24" s="1286"/>
      <c r="V24" s="314"/>
      <c r="W24" s="315"/>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row>
    <row r="25" spans="1:51" x14ac:dyDescent="0.3">
      <c r="A25" s="258"/>
      <c r="B25" s="313"/>
      <c r="C25" s="1249" t="s">
        <v>629</v>
      </c>
      <c r="D25" s="1249"/>
      <c r="E25" s="1249"/>
      <c r="F25" s="1249"/>
      <c r="G25" s="1249"/>
      <c r="H25" s="1249"/>
      <c r="I25" s="1249"/>
      <c r="J25" s="1249"/>
      <c r="K25" s="315"/>
      <c r="L25" s="258"/>
      <c r="M25" s="313"/>
      <c r="N25" s="314"/>
      <c r="O25" s="314"/>
      <c r="P25" s="314"/>
      <c r="Q25" s="314"/>
      <c r="R25" s="314"/>
      <c r="S25" s="314"/>
      <c r="T25" s="314"/>
      <c r="U25" s="314"/>
      <c r="V25" s="314"/>
      <c r="W25" s="315"/>
      <c r="X25" s="258"/>
      <c r="Y25" s="258"/>
      <c r="Z25" s="258"/>
      <c r="AA25" s="258"/>
      <c r="AB25" s="258"/>
      <c r="AC25" s="258"/>
      <c r="AD25" s="258"/>
      <c r="AE25" s="258"/>
      <c r="AF25" s="258"/>
      <c r="AG25" s="258"/>
      <c r="AH25" s="258"/>
      <c r="AI25" s="258"/>
      <c r="AJ25" s="258"/>
      <c r="AK25" s="258"/>
      <c r="AL25" s="258"/>
      <c r="AM25" s="258"/>
      <c r="AN25" s="258"/>
      <c r="AO25" s="258"/>
      <c r="AP25" s="258"/>
      <c r="AQ25" s="258"/>
      <c r="AR25" s="258"/>
      <c r="AS25" s="258"/>
      <c r="AT25" s="258"/>
      <c r="AU25" s="258"/>
      <c r="AV25" s="258"/>
      <c r="AW25" s="258"/>
      <c r="AX25" s="258"/>
      <c r="AY25" s="258"/>
    </row>
    <row r="26" spans="1:51" ht="15" thickBot="1" x14ac:dyDescent="0.35">
      <c r="A26" s="258"/>
      <c r="B26" s="316"/>
      <c r="C26" s="1295" t="s">
        <v>638</v>
      </c>
      <c r="D26" s="1252"/>
      <c r="E26" s="1252"/>
      <c r="F26" s="1252"/>
      <c r="G26" s="1252"/>
      <c r="H26" s="1252"/>
      <c r="I26" s="1252"/>
      <c r="J26" s="1252"/>
      <c r="K26" s="318"/>
      <c r="L26" s="258"/>
      <c r="M26" s="316"/>
      <c r="N26" s="317"/>
      <c r="O26" s="317"/>
      <c r="P26" s="317"/>
      <c r="Q26" s="317"/>
      <c r="R26" s="317"/>
      <c r="S26" s="317"/>
      <c r="T26" s="317"/>
      <c r="U26" s="317"/>
      <c r="V26" s="317"/>
      <c r="W26" s="318"/>
      <c r="X26" s="258"/>
      <c r="Y26" s="258"/>
      <c r="Z26" s="258"/>
      <c r="AA26" s="258"/>
      <c r="AB26" s="258"/>
      <c r="AC26" s="258"/>
      <c r="AD26" s="258"/>
      <c r="AE26" s="258"/>
      <c r="AF26" s="258"/>
      <c r="AG26" s="258"/>
      <c r="AH26" s="258"/>
      <c r="AI26" s="258"/>
      <c r="AJ26" s="258"/>
      <c r="AK26" s="258"/>
      <c r="AL26" s="258"/>
      <c r="AM26" s="258"/>
      <c r="AN26" s="258"/>
      <c r="AO26" s="258"/>
      <c r="AP26" s="258"/>
      <c r="AQ26" s="258"/>
      <c r="AR26" s="258"/>
      <c r="AS26" s="258"/>
      <c r="AT26" s="258"/>
      <c r="AU26" s="258"/>
      <c r="AV26" s="258"/>
      <c r="AW26" s="258"/>
      <c r="AX26" s="258"/>
      <c r="AY26" s="258"/>
    </row>
    <row r="27" spans="1:51" ht="15" thickTop="1" x14ac:dyDescent="0.3">
      <c r="A27" s="258"/>
      <c r="B27" s="258"/>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c r="AE27" s="258"/>
      <c r="AF27" s="258"/>
      <c r="AG27" s="258"/>
      <c r="AH27" s="258"/>
      <c r="AI27" s="258"/>
      <c r="AJ27" s="258"/>
      <c r="AK27" s="258"/>
      <c r="AL27" s="258"/>
      <c r="AM27" s="258"/>
      <c r="AN27" s="258"/>
      <c r="AO27" s="258"/>
      <c r="AP27" s="258"/>
      <c r="AQ27" s="258"/>
      <c r="AR27" s="258"/>
      <c r="AS27" s="258"/>
      <c r="AT27" s="258"/>
      <c r="AU27" s="258"/>
      <c r="AV27" s="258"/>
      <c r="AW27" s="258"/>
      <c r="AX27" s="258"/>
      <c r="AY27" s="258"/>
    </row>
    <row r="28" spans="1:51" ht="15" thickBot="1" x14ac:dyDescent="0.35">
      <c r="A28" s="258"/>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row>
    <row r="29" spans="1:51" ht="15" thickTop="1" x14ac:dyDescent="0.3">
      <c r="A29" s="258"/>
      <c r="B29" s="1287" t="s">
        <v>709</v>
      </c>
      <c r="C29" s="1270"/>
      <c r="D29" s="1270"/>
      <c r="E29" s="1270"/>
      <c r="F29" s="1270"/>
      <c r="G29" s="1267"/>
      <c r="H29" s="1267"/>
      <c r="I29" s="1267"/>
      <c r="J29" s="1267"/>
      <c r="K29" s="1268"/>
      <c r="L29" s="258"/>
      <c r="M29" s="258"/>
      <c r="N29" s="258"/>
      <c r="O29" s="258"/>
      <c r="P29" s="258"/>
      <c r="Q29" s="258"/>
      <c r="R29" s="258"/>
      <c r="S29" s="258"/>
      <c r="T29" s="258"/>
      <c r="U29" s="258"/>
      <c r="V29" s="258"/>
      <c r="W29" s="258"/>
      <c r="X29" s="258"/>
      <c r="Y29" s="258"/>
      <c r="Z29" s="258"/>
      <c r="AA29" s="258"/>
      <c r="AB29" s="258"/>
      <c r="AC29" s="258"/>
      <c r="AD29" s="258"/>
      <c r="AE29" s="258"/>
      <c r="AF29" s="258"/>
      <c r="AG29" s="258"/>
      <c r="AH29" s="258"/>
      <c r="AI29" s="258"/>
      <c r="AJ29" s="258"/>
      <c r="AK29" s="258"/>
      <c r="AL29" s="258"/>
      <c r="AM29" s="258"/>
      <c r="AN29" s="258"/>
      <c r="AO29" s="258"/>
      <c r="AP29" s="258"/>
      <c r="AQ29" s="258"/>
      <c r="AR29" s="258"/>
      <c r="AS29" s="258"/>
      <c r="AT29" s="258"/>
      <c r="AU29" s="258"/>
      <c r="AV29" s="258"/>
      <c r="AW29" s="258"/>
      <c r="AX29" s="258"/>
      <c r="AY29" s="258"/>
    </row>
    <row r="30" spans="1:51" x14ac:dyDescent="0.3">
      <c r="A30" s="258"/>
      <c r="B30" s="1248"/>
      <c r="C30" s="1249"/>
      <c r="D30" s="1249"/>
      <c r="E30" s="1249"/>
      <c r="F30" s="1249"/>
      <c r="G30" s="1165"/>
      <c r="H30" s="1165"/>
      <c r="I30" s="1165"/>
      <c r="J30" s="1165"/>
      <c r="K30" s="128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row>
    <row r="31" spans="1:51" x14ac:dyDescent="0.3">
      <c r="A31" s="258"/>
      <c r="B31" s="313"/>
      <c r="C31" s="314"/>
      <c r="D31" s="314"/>
      <c r="E31" s="314"/>
      <c r="F31" s="314"/>
      <c r="G31" s="314"/>
      <c r="H31" s="314"/>
      <c r="I31" s="314"/>
      <c r="J31" s="314"/>
      <c r="K31" s="315"/>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row>
    <row r="32" spans="1:51" x14ac:dyDescent="0.3">
      <c r="A32" s="258"/>
      <c r="B32" s="1289" t="s">
        <v>714</v>
      </c>
      <c r="C32" s="1290"/>
      <c r="D32" s="1290"/>
      <c r="E32" s="1290"/>
      <c r="F32" s="1290"/>
      <c r="G32" s="1290"/>
      <c r="H32" s="1290"/>
      <c r="I32" s="1290"/>
      <c r="J32" s="1290"/>
      <c r="K32" s="1291"/>
      <c r="L32" s="258"/>
      <c r="M32" s="258"/>
      <c r="N32" s="258"/>
      <c r="O32" s="258"/>
      <c r="P32" s="258"/>
      <c r="Q32" s="258"/>
      <c r="R32" s="258"/>
      <c r="S32" s="258"/>
      <c r="T32" s="258"/>
      <c r="U32" s="258"/>
      <c r="V32" s="258"/>
      <c r="W32" s="258"/>
      <c r="X32" s="258"/>
      <c r="Y32" s="258"/>
      <c r="Z32" s="258"/>
      <c r="AA32" s="258"/>
      <c r="AB32" s="258"/>
      <c r="AC32" s="258"/>
      <c r="AD32" s="258"/>
      <c r="AE32" s="258"/>
      <c r="AF32" s="258"/>
      <c r="AG32" s="258"/>
      <c r="AH32" s="258"/>
      <c r="AI32" s="258"/>
      <c r="AJ32" s="258"/>
      <c r="AK32" s="258"/>
      <c r="AL32" s="258"/>
      <c r="AM32" s="258"/>
      <c r="AN32" s="258"/>
      <c r="AO32" s="258"/>
      <c r="AP32" s="258"/>
      <c r="AQ32" s="258"/>
      <c r="AR32" s="258"/>
      <c r="AS32" s="258"/>
      <c r="AT32" s="258"/>
      <c r="AU32" s="258"/>
      <c r="AV32" s="258"/>
      <c r="AW32" s="258"/>
      <c r="AX32" s="258"/>
      <c r="AY32" s="258"/>
    </row>
    <row r="33" spans="1:51" x14ac:dyDescent="0.3">
      <c r="A33" s="258"/>
      <c r="B33" s="1292" t="s">
        <v>708</v>
      </c>
      <c r="C33" s="1293"/>
      <c r="D33" s="1293"/>
      <c r="E33" s="1293"/>
      <c r="F33" s="1293"/>
      <c r="G33" s="1293"/>
      <c r="H33" s="1293"/>
      <c r="I33" s="1293"/>
      <c r="J33" s="1293"/>
      <c r="K33" s="1294"/>
      <c r="L33" s="258"/>
      <c r="M33" s="258"/>
      <c r="N33" s="258"/>
      <c r="O33" s="258"/>
      <c r="P33" s="258"/>
      <c r="Q33" s="258"/>
      <c r="R33" s="258"/>
      <c r="S33" s="258"/>
      <c r="T33" s="258"/>
      <c r="U33" s="258"/>
      <c r="V33" s="258"/>
      <c r="W33" s="258"/>
      <c r="X33" s="258"/>
      <c r="Y33" s="258"/>
      <c r="Z33" s="258"/>
      <c r="AA33" s="258"/>
      <c r="AB33" s="258"/>
      <c r="AC33" s="258"/>
      <c r="AD33" s="258"/>
      <c r="AE33" s="258"/>
      <c r="AF33" s="258"/>
      <c r="AG33" s="258"/>
      <c r="AH33" s="258"/>
      <c r="AI33" s="258"/>
      <c r="AJ33" s="258"/>
      <c r="AK33" s="258"/>
      <c r="AL33" s="258"/>
      <c r="AM33" s="258"/>
      <c r="AN33" s="258"/>
      <c r="AO33" s="258"/>
      <c r="AP33" s="258"/>
      <c r="AQ33" s="258"/>
      <c r="AR33" s="258"/>
      <c r="AS33" s="258"/>
      <c r="AT33" s="258"/>
      <c r="AU33" s="258"/>
      <c r="AV33" s="258"/>
      <c r="AW33" s="258"/>
      <c r="AX33" s="258"/>
      <c r="AY33" s="258"/>
    </row>
    <row r="34" spans="1:51" x14ac:dyDescent="0.3">
      <c r="A34" s="258"/>
      <c r="B34" s="1289" t="s">
        <v>711</v>
      </c>
      <c r="C34" s="1290"/>
      <c r="D34" s="1290"/>
      <c r="E34" s="1290"/>
      <c r="F34" s="1290"/>
      <c r="G34" s="1290"/>
      <c r="H34" s="1290"/>
      <c r="I34" s="1290"/>
      <c r="J34" s="1290"/>
      <c r="K34" s="1291"/>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row>
    <row r="35" spans="1:51" x14ac:dyDescent="0.3">
      <c r="A35" s="258"/>
      <c r="B35" s="1296" t="s">
        <v>710</v>
      </c>
      <c r="C35" s="1297"/>
      <c r="D35" s="1297"/>
      <c r="E35" s="1297"/>
      <c r="F35" s="1297"/>
      <c r="G35" s="1297"/>
      <c r="H35" s="1297"/>
      <c r="I35" s="1297"/>
      <c r="J35" s="1297"/>
      <c r="K35" s="129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8"/>
      <c r="AI35" s="258"/>
      <c r="AJ35" s="258"/>
      <c r="AK35" s="258"/>
      <c r="AL35" s="258"/>
      <c r="AM35" s="258"/>
      <c r="AN35" s="258"/>
      <c r="AO35" s="258"/>
      <c r="AP35" s="258"/>
      <c r="AQ35" s="258"/>
      <c r="AR35" s="258"/>
      <c r="AS35" s="258"/>
      <c r="AT35" s="258"/>
      <c r="AU35" s="258"/>
      <c r="AV35" s="258"/>
      <c r="AW35" s="258"/>
      <c r="AX35" s="258"/>
      <c r="AY35" s="258"/>
    </row>
    <row r="36" spans="1:51" x14ac:dyDescent="0.3">
      <c r="A36" s="258"/>
      <c r="B36" s="1289" t="s">
        <v>712</v>
      </c>
      <c r="C36" s="1290"/>
      <c r="D36" s="1290"/>
      <c r="E36" s="1290"/>
      <c r="F36" s="1290"/>
      <c r="G36" s="1290"/>
      <c r="H36" s="1290"/>
      <c r="I36" s="1290"/>
      <c r="J36" s="1290"/>
      <c r="K36" s="1291"/>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row>
    <row r="37" spans="1:51" x14ac:dyDescent="0.3">
      <c r="A37" s="258"/>
      <c r="B37" s="1296" t="s">
        <v>713</v>
      </c>
      <c r="C37" s="1297"/>
      <c r="D37" s="1297"/>
      <c r="E37" s="1297"/>
      <c r="F37" s="1297"/>
      <c r="G37" s="1297"/>
      <c r="H37" s="1297"/>
      <c r="I37" s="1297"/>
      <c r="J37" s="1297"/>
      <c r="K37" s="1298"/>
      <c r="L37" s="258"/>
      <c r="M37" s="258"/>
      <c r="N37" s="258"/>
      <c r="O37" s="258"/>
      <c r="P37" s="258"/>
      <c r="Q37" s="258"/>
      <c r="R37" s="258"/>
      <c r="S37" s="258"/>
      <c r="T37" s="258"/>
      <c r="U37" s="258"/>
      <c r="V37" s="258"/>
      <c r="W37" s="258"/>
      <c r="X37" s="258"/>
      <c r="Y37" s="258"/>
      <c r="Z37" s="258"/>
      <c r="AA37" s="258"/>
      <c r="AB37" s="258"/>
      <c r="AC37" s="258"/>
      <c r="AD37" s="258"/>
      <c r="AE37" s="258"/>
      <c r="AF37" s="258"/>
      <c r="AG37" s="258"/>
      <c r="AH37" s="258"/>
      <c r="AI37" s="258"/>
      <c r="AJ37" s="258"/>
      <c r="AK37" s="258"/>
      <c r="AL37" s="258"/>
      <c r="AM37" s="258"/>
      <c r="AN37" s="258"/>
      <c r="AO37" s="258"/>
      <c r="AP37" s="258"/>
      <c r="AQ37" s="258"/>
      <c r="AR37" s="258"/>
      <c r="AS37" s="258"/>
      <c r="AT37" s="258"/>
      <c r="AU37" s="258"/>
      <c r="AV37" s="258"/>
      <c r="AW37" s="258"/>
      <c r="AX37" s="258"/>
      <c r="AY37" s="258"/>
    </row>
    <row r="38" spans="1:51" x14ac:dyDescent="0.3">
      <c r="A38" s="258"/>
      <c r="B38" s="1289" t="s">
        <v>716</v>
      </c>
      <c r="C38" s="1290"/>
      <c r="D38" s="1290"/>
      <c r="E38" s="1290"/>
      <c r="F38" s="1290"/>
      <c r="G38" s="1290"/>
      <c r="H38" s="1290"/>
      <c r="I38" s="1290"/>
      <c r="J38" s="1290"/>
      <c r="K38" s="1291"/>
      <c r="L38" s="258"/>
      <c r="M38" s="258"/>
      <c r="N38" s="258"/>
      <c r="O38" s="258"/>
      <c r="P38" s="258"/>
      <c r="Q38" s="258"/>
      <c r="R38" s="258"/>
      <c r="S38" s="258"/>
      <c r="T38" s="258"/>
      <c r="U38" s="258"/>
      <c r="V38" s="258"/>
      <c r="W38" s="258"/>
      <c r="X38" s="258"/>
      <c r="Y38" s="258"/>
      <c r="Z38" s="258"/>
      <c r="AA38" s="258"/>
      <c r="AB38" s="258"/>
      <c r="AC38" s="258"/>
      <c r="AD38" s="258"/>
      <c r="AE38" s="258"/>
      <c r="AF38" s="258"/>
      <c r="AG38" s="258"/>
      <c r="AH38" s="258"/>
      <c r="AI38" s="258"/>
      <c r="AJ38" s="258"/>
      <c r="AK38" s="258"/>
      <c r="AL38" s="258"/>
      <c r="AM38" s="258"/>
      <c r="AN38" s="258"/>
      <c r="AO38" s="258"/>
      <c r="AP38" s="258"/>
      <c r="AQ38" s="258"/>
      <c r="AR38" s="258"/>
      <c r="AS38" s="258"/>
      <c r="AT38" s="258"/>
      <c r="AU38" s="258"/>
      <c r="AV38" s="258"/>
      <c r="AW38" s="258"/>
      <c r="AX38" s="258"/>
      <c r="AY38" s="258"/>
    </row>
    <row r="39" spans="1:51" x14ac:dyDescent="0.3">
      <c r="A39" s="258"/>
      <c r="B39" s="1296" t="s">
        <v>715</v>
      </c>
      <c r="C39" s="1297"/>
      <c r="D39" s="1297"/>
      <c r="E39" s="1297"/>
      <c r="F39" s="1297"/>
      <c r="G39" s="1297"/>
      <c r="H39" s="1297"/>
      <c r="I39" s="1297"/>
      <c r="J39" s="1297"/>
      <c r="K39" s="1298"/>
      <c r="L39" s="258"/>
      <c r="M39" s="258"/>
      <c r="N39" s="258"/>
      <c r="O39" s="258"/>
      <c r="P39" s="258"/>
      <c r="Q39" s="258"/>
      <c r="R39" s="258"/>
      <c r="S39" s="258"/>
      <c r="T39" s="258"/>
      <c r="U39" s="258"/>
      <c r="V39" s="258"/>
      <c r="W39" s="258"/>
      <c r="X39" s="258"/>
      <c r="Y39" s="258"/>
      <c r="Z39" s="258"/>
      <c r="AA39" s="258"/>
      <c r="AB39" s="258"/>
      <c r="AC39" s="258"/>
      <c r="AD39" s="258"/>
      <c r="AE39" s="258"/>
      <c r="AF39" s="258"/>
      <c r="AG39" s="258"/>
      <c r="AH39" s="258"/>
      <c r="AI39" s="258"/>
      <c r="AJ39" s="258"/>
      <c r="AK39" s="258"/>
      <c r="AL39" s="258"/>
      <c r="AM39" s="258"/>
      <c r="AN39" s="258"/>
      <c r="AO39" s="258"/>
      <c r="AP39" s="258"/>
      <c r="AQ39" s="258"/>
      <c r="AR39" s="258"/>
      <c r="AS39" s="258"/>
      <c r="AT39" s="258"/>
      <c r="AU39" s="258"/>
      <c r="AV39" s="258"/>
      <c r="AW39" s="258"/>
      <c r="AX39" s="258"/>
      <c r="AY39" s="258"/>
    </row>
    <row r="40" spans="1:51" x14ac:dyDescent="0.3">
      <c r="A40" s="258"/>
      <c r="B40" s="1289" t="s">
        <v>717</v>
      </c>
      <c r="C40" s="1290"/>
      <c r="D40" s="1290"/>
      <c r="E40" s="1290"/>
      <c r="F40" s="1290"/>
      <c r="G40" s="1290"/>
      <c r="H40" s="1290"/>
      <c r="I40" s="1290"/>
      <c r="J40" s="1290"/>
      <c r="K40" s="1291"/>
      <c r="L40" s="258"/>
      <c r="M40" s="258"/>
      <c r="N40" s="258"/>
      <c r="O40" s="258"/>
      <c r="P40" s="258"/>
      <c r="Q40" s="258"/>
      <c r="R40" s="258"/>
      <c r="S40" s="258"/>
      <c r="T40" s="258"/>
      <c r="U40" s="258"/>
      <c r="V40" s="258"/>
      <c r="W40" s="258"/>
      <c r="X40" s="258"/>
      <c r="Y40" s="258"/>
      <c r="Z40" s="258"/>
      <c r="AA40" s="258"/>
      <c r="AB40" s="258"/>
      <c r="AC40" s="258"/>
      <c r="AD40" s="258"/>
      <c r="AE40" s="258"/>
      <c r="AF40" s="258"/>
      <c r="AG40" s="258"/>
      <c r="AH40" s="258"/>
      <c r="AI40" s="258"/>
      <c r="AJ40" s="258"/>
      <c r="AK40" s="258"/>
      <c r="AL40" s="258"/>
      <c r="AM40" s="258"/>
      <c r="AN40" s="258"/>
      <c r="AO40" s="258"/>
      <c r="AP40" s="258"/>
      <c r="AQ40" s="258"/>
      <c r="AR40" s="258"/>
      <c r="AS40" s="258"/>
      <c r="AT40" s="258"/>
      <c r="AU40" s="258"/>
      <c r="AV40" s="258"/>
      <c r="AW40" s="258"/>
      <c r="AX40" s="258"/>
      <c r="AY40" s="258"/>
    </row>
    <row r="41" spans="1:51" x14ac:dyDescent="0.3">
      <c r="A41" s="258"/>
      <c r="B41" s="1296" t="s">
        <v>718</v>
      </c>
      <c r="C41" s="1297"/>
      <c r="D41" s="1297"/>
      <c r="E41" s="1297"/>
      <c r="F41" s="1297"/>
      <c r="G41" s="1297"/>
      <c r="H41" s="1297"/>
      <c r="I41" s="1297"/>
      <c r="J41" s="1297"/>
      <c r="K41" s="1298"/>
      <c r="L41" s="258"/>
      <c r="M41" s="258"/>
      <c r="N41" s="258"/>
      <c r="O41" s="258"/>
      <c r="P41" s="258"/>
      <c r="Q41" s="258"/>
      <c r="R41" s="258"/>
      <c r="S41" s="258"/>
      <c r="T41" s="258"/>
      <c r="U41" s="258"/>
      <c r="V41" s="258"/>
      <c r="W41" s="258"/>
      <c r="X41" s="258"/>
      <c r="Y41" s="258"/>
      <c r="Z41" s="258"/>
      <c r="AA41" s="258"/>
      <c r="AB41" s="258"/>
      <c r="AC41" s="258"/>
      <c r="AD41" s="258"/>
      <c r="AE41" s="258"/>
      <c r="AF41" s="258"/>
      <c r="AG41" s="258"/>
      <c r="AH41" s="258"/>
      <c r="AI41" s="258"/>
      <c r="AJ41" s="258"/>
      <c r="AK41" s="258"/>
      <c r="AL41" s="258"/>
      <c r="AM41" s="258"/>
      <c r="AN41" s="258"/>
      <c r="AO41" s="258"/>
      <c r="AP41" s="258"/>
      <c r="AQ41" s="258"/>
      <c r="AR41" s="258"/>
      <c r="AS41" s="258"/>
      <c r="AT41" s="258"/>
      <c r="AU41" s="258"/>
      <c r="AV41" s="258"/>
      <c r="AW41" s="258"/>
      <c r="AX41" s="258"/>
      <c r="AY41" s="258"/>
    </row>
    <row r="42" spans="1:51" x14ac:dyDescent="0.3">
      <c r="A42" s="258"/>
      <c r="B42" s="1289" t="s">
        <v>719</v>
      </c>
      <c r="C42" s="1290"/>
      <c r="D42" s="1290"/>
      <c r="E42" s="1290"/>
      <c r="F42" s="1290"/>
      <c r="G42" s="1290"/>
      <c r="H42" s="1290"/>
      <c r="I42" s="1290"/>
      <c r="J42" s="1290"/>
      <c r="K42" s="1291"/>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row>
    <row r="43" spans="1:51" ht="15" thickBot="1" x14ac:dyDescent="0.35">
      <c r="A43" s="258"/>
      <c r="B43" s="1299" t="s">
        <v>720</v>
      </c>
      <c r="C43" s="1300"/>
      <c r="D43" s="1300"/>
      <c r="E43" s="1300"/>
      <c r="F43" s="1300"/>
      <c r="G43" s="1300"/>
      <c r="H43" s="1300"/>
      <c r="I43" s="1300"/>
      <c r="J43" s="1300"/>
      <c r="K43" s="1301"/>
      <c r="L43" s="258"/>
      <c r="M43" s="258"/>
      <c r="N43" s="258"/>
      <c r="O43" s="258"/>
      <c r="P43" s="258"/>
      <c r="Q43" s="258"/>
      <c r="R43" s="258"/>
      <c r="S43" s="258"/>
      <c r="T43" s="258"/>
      <c r="U43" s="258"/>
      <c r="V43" s="258"/>
      <c r="W43" s="258"/>
      <c r="X43" s="258"/>
      <c r="Y43" s="258"/>
      <c r="Z43" s="258"/>
      <c r="AA43" s="258"/>
      <c r="AB43" s="258"/>
      <c r="AC43" s="258"/>
      <c r="AD43" s="258"/>
      <c r="AE43" s="258"/>
      <c r="AF43" s="258"/>
      <c r="AG43" s="258"/>
      <c r="AH43" s="258"/>
      <c r="AI43" s="258"/>
      <c r="AJ43" s="258"/>
      <c r="AK43" s="258"/>
      <c r="AL43" s="258"/>
      <c r="AM43" s="258"/>
      <c r="AN43" s="258"/>
      <c r="AO43" s="258"/>
      <c r="AP43" s="258"/>
      <c r="AQ43" s="258"/>
      <c r="AR43" s="258"/>
      <c r="AS43" s="258"/>
      <c r="AT43" s="258"/>
      <c r="AU43" s="258"/>
      <c r="AV43" s="258"/>
      <c r="AW43" s="258"/>
      <c r="AX43" s="258"/>
      <c r="AY43" s="258"/>
    </row>
    <row r="44" spans="1:51" ht="15" thickTop="1" x14ac:dyDescent="0.3">
      <c r="A44" s="258"/>
      <c r="B44" s="258"/>
      <c r="C44" s="258"/>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row>
    <row r="45" spans="1:51" x14ac:dyDescent="0.3">
      <c r="A45" s="258"/>
      <c r="B45" s="258"/>
      <c r="C45" s="258"/>
      <c r="D45" s="258"/>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8"/>
    </row>
    <row r="46" spans="1:51" x14ac:dyDescent="0.3">
      <c r="A46" s="258"/>
      <c r="B46" s="258"/>
      <c r="C46" s="258"/>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row>
    <row r="47" spans="1:51" x14ac:dyDescent="0.3">
      <c r="A47" s="258"/>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c r="AE47" s="258"/>
      <c r="AF47" s="258"/>
      <c r="AG47" s="258"/>
      <c r="AH47" s="258"/>
      <c r="AI47" s="258"/>
      <c r="AJ47" s="258"/>
      <c r="AK47" s="258"/>
      <c r="AL47" s="258"/>
      <c r="AM47" s="258"/>
      <c r="AN47" s="258"/>
      <c r="AO47" s="258"/>
      <c r="AP47" s="258"/>
      <c r="AQ47" s="258"/>
      <c r="AR47" s="258"/>
      <c r="AS47" s="258"/>
      <c r="AT47" s="258"/>
      <c r="AU47" s="258"/>
      <c r="AV47" s="258"/>
      <c r="AW47" s="258"/>
      <c r="AX47" s="258"/>
      <c r="AY47" s="258"/>
    </row>
    <row r="48" spans="1:51" x14ac:dyDescent="0.3">
      <c r="A48" s="258"/>
      <c r="B48" s="258"/>
      <c r="C48" s="258"/>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c r="AE48" s="258"/>
      <c r="AF48" s="258"/>
      <c r="AG48" s="258"/>
      <c r="AH48" s="258"/>
      <c r="AI48" s="258"/>
      <c r="AJ48" s="258"/>
      <c r="AK48" s="258"/>
      <c r="AL48" s="258"/>
      <c r="AM48" s="258"/>
      <c r="AN48" s="258"/>
      <c r="AO48" s="258"/>
      <c r="AP48" s="258"/>
      <c r="AQ48" s="258"/>
      <c r="AR48" s="258"/>
      <c r="AS48" s="258"/>
      <c r="AT48" s="258"/>
      <c r="AU48" s="258"/>
      <c r="AV48" s="258"/>
      <c r="AW48" s="258"/>
      <c r="AX48" s="258"/>
      <c r="AY48" s="258"/>
    </row>
    <row r="49" spans="1:51" x14ac:dyDescent="0.3">
      <c r="A49" s="258"/>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row>
    <row r="50" spans="1:51" x14ac:dyDescent="0.3">
      <c r="A50" s="258"/>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row>
    <row r="51" spans="1:51" x14ac:dyDescent="0.3">
      <c r="A51" s="258"/>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row>
    <row r="52" spans="1:51" x14ac:dyDescent="0.3">
      <c r="A52" s="258"/>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c r="AE52" s="258"/>
      <c r="AF52" s="258"/>
      <c r="AG52" s="258"/>
      <c r="AH52" s="258"/>
      <c r="AI52" s="258"/>
      <c r="AJ52" s="258"/>
      <c r="AK52" s="258"/>
      <c r="AL52" s="258"/>
      <c r="AM52" s="258"/>
      <c r="AN52" s="258"/>
      <c r="AO52" s="258"/>
      <c r="AP52" s="258"/>
      <c r="AQ52" s="258"/>
      <c r="AR52" s="258"/>
      <c r="AS52" s="258"/>
      <c r="AT52" s="258"/>
      <c r="AU52" s="258"/>
      <c r="AV52" s="258"/>
      <c r="AW52" s="258"/>
      <c r="AX52" s="258"/>
      <c r="AY52" s="258"/>
    </row>
    <row r="53" spans="1:51" x14ac:dyDescent="0.3">
      <c r="A53" s="258"/>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c r="AE53" s="258"/>
      <c r="AF53" s="258"/>
      <c r="AG53" s="258"/>
      <c r="AH53" s="258"/>
      <c r="AI53" s="258"/>
      <c r="AJ53" s="258"/>
      <c r="AK53" s="258"/>
      <c r="AL53" s="258"/>
      <c r="AM53" s="258"/>
      <c r="AN53" s="258"/>
      <c r="AO53" s="258"/>
      <c r="AP53" s="258"/>
      <c r="AQ53" s="258"/>
      <c r="AR53" s="258"/>
      <c r="AS53" s="258"/>
      <c r="AT53" s="258"/>
      <c r="AU53" s="258"/>
      <c r="AV53" s="258"/>
      <c r="AW53" s="258"/>
      <c r="AX53" s="258"/>
      <c r="AY53" s="258"/>
    </row>
    <row r="54" spans="1:51" x14ac:dyDescent="0.3">
      <c r="A54" s="258"/>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c r="AE54" s="258"/>
      <c r="AF54" s="258"/>
      <c r="AG54" s="258"/>
      <c r="AH54" s="258"/>
      <c r="AI54" s="258"/>
      <c r="AJ54" s="258"/>
      <c r="AK54" s="258"/>
      <c r="AL54" s="258"/>
      <c r="AM54" s="258"/>
      <c r="AN54" s="258"/>
      <c r="AO54" s="258"/>
      <c r="AP54" s="258"/>
      <c r="AQ54" s="258"/>
      <c r="AR54" s="258"/>
      <c r="AS54" s="258"/>
      <c r="AT54" s="258"/>
      <c r="AU54" s="258"/>
      <c r="AV54" s="258"/>
      <c r="AW54" s="258"/>
      <c r="AX54" s="258"/>
      <c r="AY54" s="258"/>
    </row>
    <row r="55" spans="1:51" x14ac:dyDescent="0.3">
      <c r="A55" s="258"/>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c r="AE55" s="258"/>
      <c r="AF55" s="258"/>
      <c r="AG55" s="258"/>
      <c r="AH55" s="258"/>
      <c r="AI55" s="258"/>
      <c r="AJ55" s="258"/>
      <c r="AK55" s="258"/>
      <c r="AL55" s="258"/>
      <c r="AM55" s="258"/>
      <c r="AN55" s="258"/>
      <c r="AO55" s="258"/>
      <c r="AP55" s="258"/>
      <c r="AQ55" s="258"/>
      <c r="AR55" s="258"/>
      <c r="AS55" s="258"/>
      <c r="AT55" s="258"/>
      <c r="AU55" s="258"/>
      <c r="AV55" s="258"/>
      <c r="AW55" s="258"/>
      <c r="AX55" s="258"/>
      <c r="AY55" s="258"/>
    </row>
    <row r="56" spans="1:51" x14ac:dyDescent="0.3">
      <c r="A56" s="258"/>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c r="AE56" s="258"/>
      <c r="AF56" s="258"/>
      <c r="AG56" s="258"/>
      <c r="AH56" s="258"/>
      <c r="AI56" s="258"/>
      <c r="AJ56" s="258"/>
      <c r="AK56" s="258"/>
      <c r="AL56" s="258"/>
      <c r="AM56" s="258"/>
      <c r="AN56" s="258"/>
      <c r="AO56" s="258"/>
      <c r="AP56" s="258"/>
      <c r="AQ56" s="258"/>
      <c r="AR56" s="258"/>
      <c r="AS56" s="258"/>
      <c r="AT56" s="258"/>
      <c r="AU56" s="258"/>
      <c r="AV56" s="258"/>
      <c r="AW56" s="258"/>
      <c r="AX56" s="258"/>
      <c r="AY56" s="258"/>
    </row>
    <row r="57" spans="1:51" x14ac:dyDescent="0.3">
      <c r="A57" s="258"/>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c r="AE57" s="258"/>
      <c r="AF57" s="258"/>
      <c r="AG57" s="258"/>
      <c r="AH57" s="258"/>
      <c r="AI57" s="258"/>
      <c r="AJ57" s="258"/>
      <c r="AK57" s="258"/>
      <c r="AL57" s="258"/>
      <c r="AM57" s="258"/>
      <c r="AN57" s="258"/>
      <c r="AO57" s="258"/>
      <c r="AP57" s="258"/>
      <c r="AQ57" s="258"/>
      <c r="AR57" s="258"/>
      <c r="AS57" s="258"/>
      <c r="AT57" s="258"/>
      <c r="AU57" s="258"/>
      <c r="AV57" s="258"/>
      <c r="AW57" s="258"/>
      <c r="AX57" s="258"/>
      <c r="AY57" s="258"/>
    </row>
    <row r="58" spans="1:51" x14ac:dyDescent="0.3">
      <c r="A58" s="258"/>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c r="AA58" s="258"/>
      <c r="AB58" s="258"/>
      <c r="AC58" s="258"/>
      <c r="AD58" s="258"/>
      <c r="AE58" s="258"/>
      <c r="AF58" s="258"/>
      <c r="AG58" s="258"/>
      <c r="AH58" s="258"/>
      <c r="AI58" s="258"/>
      <c r="AJ58" s="258"/>
      <c r="AK58" s="258"/>
      <c r="AL58" s="258"/>
      <c r="AM58" s="258"/>
      <c r="AN58" s="258"/>
      <c r="AO58" s="258"/>
      <c r="AP58" s="258"/>
      <c r="AQ58" s="258"/>
      <c r="AR58" s="258"/>
      <c r="AS58" s="258"/>
      <c r="AT58" s="258"/>
      <c r="AU58" s="258"/>
      <c r="AV58" s="258"/>
      <c r="AW58" s="258"/>
      <c r="AX58" s="258"/>
      <c r="AY58" s="258"/>
    </row>
    <row r="59" spans="1:51" x14ac:dyDescent="0.3">
      <c r="A59" s="258"/>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c r="AE59" s="258"/>
      <c r="AF59" s="258"/>
      <c r="AG59" s="258"/>
      <c r="AH59" s="258"/>
      <c r="AI59" s="258"/>
      <c r="AJ59" s="258"/>
      <c r="AK59" s="258"/>
      <c r="AL59" s="258"/>
      <c r="AM59" s="258"/>
      <c r="AN59" s="258"/>
      <c r="AO59" s="258"/>
      <c r="AP59" s="258"/>
      <c r="AQ59" s="258"/>
      <c r="AR59" s="258"/>
      <c r="AS59" s="258"/>
      <c r="AT59" s="258"/>
      <c r="AU59" s="258"/>
      <c r="AV59" s="258"/>
      <c r="AW59" s="258"/>
      <c r="AX59" s="258"/>
      <c r="AY59" s="258"/>
    </row>
    <row r="60" spans="1:51" x14ac:dyDescent="0.3">
      <c r="A60" s="258"/>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c r="AA60" s="258"/>
      <c r="AB60" s="258"/>
      <c r="AC60" s="258"/>
      <c r="AD60" s="258"/>
      <c r="AE60" s="258"/>
      <c r="AF60" s="258"/>
      <c r="AG60" s="258"/>
      <c r="AH60" s="258"/>
      <c r="AI60" s="258"/>
      <c r="AJ60" s="258"/>
      <c r="AK60" s="258"/>
      <c r="AL60" s="258"/>
      <c r="AM60" s="258"/>
      <c r="AN60" s="258"/>
      <c r="AO60" s="258"/>
      <c r="AP60" s="258"/>
      <c r="AQ60" s="258"/>
      <c r="AR60" s="258"/>
      <c r="AS60" s="258"/>
      <c r="AT60" s="258"/>
      <c r="AU60" s="258"/>
      <c r="AV60" s="258"/>
      <c r="AW60" s="258"/>
      <c r="AX60" s="258"/>
      <c r="AY60" s="258"/>
    </row>
    <row r="61" spans="1:51" x14ac:dyDescent="0.3">
      <c r="A61" s="258"/>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8"/>
      <c r="AV61" s="258"/>
      <c r="AW61" s="258"/>
      <c r="AX61" s="258"/>
      <c r="AY61" s="258"/>
    </row>
    <row r="62" spans="1:51" x14ac:dyDescent="0.3">
      <c r="A62" s="258"/>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8"/>
      <c r="AV62" s="258"/>
      <c r="AW62" s="258"/>
      <c r="AX62" s="258"/>
      <c r="AY62" s="258"/>
    </row>
    <row r="63" spans="1:51" x14ac:dyDescent="0.3">
      <c r="A63" s="258"/>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8"/>
      <c r="AV63" s="258"/>
      <c r="AW63" s="258"/>
      <c r="AX63" s="258"/>
      <c r="AY63" s="258"/>
    </row>
    <row r="64" spans="1:51" x14ac:dyDescent="0.3">
      <c r="A64" s="258"/>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row>
    <row r="65" spans="1:51" x14ac:dyDescent="0.3">
      <c r="A65" s="258"/>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8"/>
      <c r="AV65" s="258"/>
      <c r="AW65" s="258"/>
      <c r="AX65" s="258"/>
      <c r="AY65" s="258"/>
    </row>
    <row r="66" spans="1:51" x14ac:dyDescent="0.3">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8"/>
      <c r="AV66" s="258"/>
      <c r="AW66" s="258"/>
      <c r="AX66" s="258"/>
      <c r="AY66" s="258"/>
    </row>
    <row r="67" spans="1:51" x14ac:dyDescent="0.3">
      <c r="A67" s="258"/>
      <c r="B67" s="258"/>
      <c r="C67" s="258"/>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c r="AE67" s="258"/>
      <c r="AF67" s="258"/>
      <c r="AG67" s="258"/>
      <c r="AH67" s="258"/>
      <c r="AI67" s="258"/>
      <c r="AJ67" s="258"/>
      <c r="AK67" s="258"/>
      <c r="AL67" s="258"/>
      <c r="AM67" s="258"/>
      <c r="AN67" s="258"/>
      <c r="AO67" s="258"/>
      <c r="AP67" s="258"/>
      <c r="AQ67" s="258"/>
      <c r="AR67" s="258"/>
      <c r="AS67" s="258"/>
      <c r="AT67" s="258"/>
      <c r="AU67" s="258"/>
      <c r="AV67" s="258"/>
      <c r="AW67" s="258"/>
      <c r="AX67" s="258"/>
      <c r="AY67" s="258"/>
    </row>
    <row r="68" spans="1:51" x14ac:dyDescent="0.3">
      <c r="A68" s="258"/>
      <c r="B68" s="258"/>
      <c r="C68" s="258"/>
      <c r="D68" s="258"/>
      <c r="E68" s="258"/>
      <c r="F68" s="258"/>
      <c r="G68" s="258"/>
      <c r="H68" s="258"/>
      <c r="I68" s="258"/>
      <c r="J68" s="258"/>
      <c r="K68" s="258"/>
      <c r="L68" s="258"/>
      <c r="M68" s="258"/>
      <c r="N68" s="258"/>
      <c r="O68" s="258"/>
      <c r="P68" s="258"/>
      <c r="Q68" s="258"/>
      <c r="R68" s="258"/>
      <c r="S68" s="258"/>
      <c r="T68" s="258"/>
      <c r="U68" s="258"/>
      <c r="V68" s="258"/>
      <c r="W68" s="258"/>
      <c r="X68" s="258"/>
      <c r="Y68" s="258"/>
      <c r="Z68" s="258"/>
      <c r="AA68" s="258"/>
      <c r="AB68" s="258"/>
      <c r="AC68" s="258"/>
      <c r="AD68" s="258"/>
      <c r="AE68" s="258"/>
      <c r="AF68" s="258"/>
      <c r="AG68" s="258"/>
      <c r="AH68" s="258"/>
      <c r="AI68" s="258"/>
      <c r="AJ68" s="258"/>
      <c r="AK68" s="258"/>
      <c r="AL68" s="258"/>
      <c r="AM68" s="258"/>
      <c r="AN68" s="258"/>
      <c r="AO68" s="258"/>
      <c r="AP68" s="258"/>
      <c r="AQ68" s="258"/>
      <c r="AR68" s="258"/>
      <c r="AS68" s="258"/>
      <c r="AT68" s="258"/>
      <c r="AU68" s="258"/>
      <c r="AV68" s="258"/>
      <c r="AW68" s="258"/>
      <c r="AX68" s="258"/>
      <c r="AY68" s="258"/>
    </row>
    <row r="69" spans="1:51" x14ac:dyDescent="0.3">
      <c r="A69" s="258"/>
      <c r="B69" s="258"/>
      <c r="C69" s="258"/>
      <c r="D69" s="258"/>
      <c r="E69" s="258"/>
      <c r="F69" s="258"/>
      <c r="G69" s="258"/>
      <c r="H69" s="258"/>
      <c r="I69" s="258"/>
      <c r="J69" s="258"/>
      <c r="K69" s="258"/>
      <c r="L69" s="258"/>
      <c r="M69" s="258"/>
      <c r="N69" s="258"/>
      <c r="O69" s="258"/>
      <c r="P69" s="258"/>
      <c r="Q69" s="258"/>
      <c r="R69" s="258"/>
      <c r="S69" s="258"/>
      <c r="T69" s="258"/>
      <c r="U69" s="258"/>
      <c r="V69" s="258"/>
      <c r="W69" s="258"/>
      <c r="X69" s="258"/>
      <c r="Y69" s="258"/>
      <c r="Z69" s="258"/>
      <c r="AA69" s="258"/>
      <c r="AB69" s="258"/>
      <c r="AC69" s="258"/>
      <c r="AD69" s="258"/>
      <c r="AE69" s="258"/>
      <c r="AF69" s="258"/>
      <c r="AG69" s="258"/>
      <c r="AH69" s="258"/>
      <c r="AI69" s="258"/>
      <c r="AJ69" s="258"/>
      <c r="AK69" s="258"/>
      <c r="AL69" s="258"/>
      <c r="AM69" s="258"/>
      <c r="AN69" s="258"/>
      <c r="AO69" s="258"/>
      <c r="AP69" s="258"/>
      <c r="AQ69" s="258"/>
      <c r="AR69" s="258"/>
      <c r="AS69" s="258"/>
      <c r="AT69" s="258"/>
      <c r="AU69" s="258"/>
      <c r="AV69" s="258"/>
      <c r="AW69" s="258"/>
      <c r="AX69" s="258"/>
      <c r="AY69" s="258"/>
    </row>
    <row r="70" spans="1:51" x14ac:dyDescent="0.3">
      <c r="A70" s="258"/>
      <c r="B70" s="258"/>
      <c r="C70" s="258"/>
      <c r="D70" s="258"/>
      <c r="E70" s="258"/>
      <c r="F70" s="258"/>
      <c r="G70" s="258"/>
      <c r="H70" s="258"/>
      <c r="I70" s="258"/>
      <c r="J70" s="258"/>
      <c r="K70" s="258"/>
      <c r="L70" s="258"/>
      <c r="M70" s="258"/>
      <c r="N70" s="258"/>
      <c r="O70" s="258"/>
      <c r="P70" s="258"/>
      <c r="Q70" s="258"/>
      <c r="R70" s="258"/>
      <c r="S70" s="258"/>
      <c r="T70" s="258"/>
      <c r="U70" s="258"/>
      <c r="V70" s="258"/>
      <c r="W70" s="258"/>
      <c r="X70" s="258"/>
      <c r="Y70" s="258"/>
      <c r="Z70" s="258"/>
      <c r="AA70" s="258"/>
      <c r="AB70" s="258"/>
      <c r="AC70" s="258"/>
      <c r="AD70" s="258"/>
      <c r="AE70" s="258"/>
      <c r="AF70" s="258"/>
      <c r="AG70" s="258"/>
      <c r="AH70" s="258"/>
      <c r="AI70" s="258"/>
      <c r="AJ70" s="258"/>
      <c r="AK70" s="258"/>
      <c r="AL70" s="258"/>
      <c r="AM70" s="258"/>
      <c r="AN70" s="258"/>
      <c r="AO70" s="258"/>
      <c r="AP70" s="258"/>
      <c r="AQ70" s="258"/>
      <c r="AR70" s="258"/>
      <c r="AS70" s="258"/>
      <c r="AT70" s="258"/>
      <c r="AU70" s="258"/>
      <c r="AV70" s="258"/>
      <c r="AW70" s="258"/>
      <c r="AX70" s="258"/>
      <c r="AY70" s="258"/>
    </row>
    <row r="71" spans="1:51" x14ac:dyDescent="0.3">
      <c r="A71" s="258"/>
      <c r="B71" s="258"/>
      <c r="C71" s="258"/>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c r="AE71" s="258"/>
      <c r="AF71" s="258"/>
      <c r="AG71" s="258"/>
      <c r="AH71" s="258"/>
      <c r="AI71" s="258"/>
      <c r="AJ71" s="258"/>
      <c r="AK71" s="258"/>
      <c r="AL71" s="258"/>
      <c r="AM71" s="258"/>
      <c r="AN71" s="258"/>
      <c r="AO71" s="258"/>
      <c r="AP71" s="258"/>
      <c r="AQ71" s="258"/>
      <c r="AR71" s="258"/>
      <c r="AS71" s="258"/>
      <c r="AT71" s="258"/>
      <c r="AU71" s="258"/>
      <c r="AV71" s="258"/>
      <c r="AW71" s="258"/>
      <c r="AX71" s="258"/>
      <c r="AY71" s="258"/>
    </row>
    <row r="72" spans="1:51" x14ac:dyDescent="0.3">
      <c r="A72" s="258"/>
      <c r="B72" s="258"/>
      <c r="C72" s="258"/>
      <c r="D72" s="258"/>
      <c r="E72" s="258"/>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c r="AE72" s="258"/>
      <c r="AF72" s="258"/>
      <c r="AG72" s="258"/>
      <c r="AH72" s="258"/>
      <c r="AI72" s="258"/>
      <c r="AJ72" s="258"/>
      <c r="AK72" s="258"/>
      <c r="AL72" s="258"/>
      <c r="AM72" s="258"/>
      <c r="AN72" s="258"/>
      <c r="AO72" s="258"/>
      <c r="AP72" s="258"/>
      <c r="AQ72" s="258"/>
      <c r="AR72" s="258"/>
      <c r="AS72" s="258"/>
      <c r="AT72" s="258"/>
      <c r="AU72" s="258"/>
      <c r="AV72" s="258"/>
      <c r="AW72" s="258"/>
      <c r="AX72" s="258"/>
      <c r="AY72" s="258"/>
    </row>
    <row r="73" spans="1:51" x14ac:dyDescent="0.3">
      <c r="A73" s="258"/>
      <c r="B73" s="258"/>
      <c r="C73" s="258"/>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c r="AE73" s="258"/>
      <c r="AF73" s="258"/>
      <c r="AG73" s="258"/>
      <c r="AH73" s="258"/>
      <c r="AI73" s="258"/>
      <c r="AJ73" s="258"/>
      <c r="AK73" s="258"/>
      <c r="AL73" s="258"/>
      <c r="AM73" s="258"/>
      <c r="AN73" s="258"/>
      <c r="AO73" s="258"/>
      <c r="AP73" s="258"/>
      <c r="AQ73" s="258"/>
      <c r="AR73" s="258"/>
      <c r="AS73" s="258"/>
      <c r="AT73" s="258"/>
      <c r="AU73" s="258"/>
      <c r="AV73" s="258"/>
      <c r="AW73" s="258"/>
      <c r="AX73" s="258"/>
      <c r="AY73" s="258"/>
    </row>
    <row r="74" spans="1:51" x14ac:dyDescent="0.3">
      <c r="A74" s="258"/>
      <c r="B74" s="258"/>
      <c r="C74" s="258"/>
      <c r="D74" s="258"/>
      <c r="E74" s="258"/>
      <c r="F74" s="258"/>
      <c r="G74" s="258"/>
      <c r="H74" s="258"/>
      <c r="I74" s="258"/>
      <c r="J74" s="258"/>
      <c r="K74" s="258"/>
      <c r="L74" s="258"/>
      <c r="M74" s="258"/>
      <c r="N74" s="258"/>
      <c r="O74" s="258"/>
      <c r="P74" s="258"/>
      <c r="Q74" s="258"/>
      <c r="R74" s="258"/>
      <c r="S74" s="258"/>
      <c r="T74" s="258"/>
      <c r="U74" s="258"/>
      <c r="V74" s="258"/>
      <c r="W74" s="258"/>
      <c r="X74" s="258"/>
      <c r="Y74" s="258"/>
      <c r="Z74" s="258"/>
      <c r="AA74" s="258"/>
      <c r="AB74" s="258"/>
      <c r="AC74" s="258"/>
      <c r="AD74" s="258"/>
      <c r="AE74" s="258"/>
      <c r="AF74" s="258"/>
      <c r="AG74" s="258"/>
      <c r="AH74" s="258"/>
      <c r="AI74" s="258"/>
      <c r="AJ74" s="258"/>
      <c r="AK74" s="258"/>
      <c r="AL74" s="258"/>
      <c r="AM74" s="258"/>
      <c r="AN74" s="258"/>
      <c r="AO74" s="258"/>
      <c r="AP74" s="258"/>
      <c r="AQ74" s="258"/>
      <c r="AR74" s="258"/>
      <c r="AS74" s="258"/>
      <c r="AT74" s="258"/>
      <c r="AU74" s="258"/>
      <c r="AV74" s="258"/>
      <c r="AW74" s="258"/>
      <c r="AX74" s="258"/>
      <c r="AY74" s="258"/>
    </row>
    <row r="75" spans="1:51" x14ac:dyDescent="0.3">
      <c r="A75" s="258"/>
      <c r="B75" s="258"/>
      <c r="C75" s="258"/>
      <c r="D75" s="258"/>
      <c r="E75" s="258"/>
      <c r="F75" s="258"/>
      <c r="G75" s="258"/>
      <c r="H75" s="258"/>
      <c r="I75" s="258"/>
      <c r="J75" s="258"/>
      <c r="K75" s="258"/>
      <c r="L75" s="258"/>
      <c r="M75" s="258"/>
      <c r="N75" s="258"/>
      <c r="O75" s="258"/>
      <c r="P75" s="258"/>
      <c r="Q75" s="258"/>
      <c r="R75" s="258"/>
      <c r="S75" s="258"/>
      <c r="T75" s="258"/>
      <c r="U75" s="258"/>
      <c r="V75" s="258"/>
      <c r="W75" s="258"/>
      <c r="X75" s="258"/>
      <c r="Y75" s="258"/>
      <c r="Z75" s="258"/>
      <c r="AA75" s="258"/>
      <c r="AB75" s="258"/>
      <c r="AC75" s="258"/>
      <c r="AD75" s="258"/>
      <c r="AE75" s="258"/>
      <c r="AF75" s="258"/>
      <c r="AG75" s="258"/>
      <c r="AH75" s="258"/>
      <c r="AI75" s="258"/>
      <c r="AJ75" s="258"/>
      <c r="AK75" s="258"/>
      <c r="AL75" s="258"/>
      <c r="AM75" s="258"/>
      <c r="AN75" s="258"/>
      <c r="AO75" s="258"/>
      <c r="AP75" s="258"/>
      <c r="AQ75" s="258"/>
      <c r="AR75" s="258"/>
      <c r="AS75" s="258"/>
      <c r="AT75" s="258"/>
      <c r="AU75" s="258"/>
      <c r="AV75" s="258"/>
      <c r="AW75" s="258"/>
      <c r="AX75" s="258"/>
      <c r="AY75" s="258"/>
    </row>
    <row r="76" spans="1:51" x14ac:dyDescent="0.3">
      <c r="A76" s="258"/>
      <c r="B76" s="258"/>
      <c r="C76" s="258"/>
      <c r="D76" s="258"/>
      <c r="E76" s="258"/>
      <c r="F76" s="258"/>
      <c r="G76" s="258"/>
      <c r="H76" s="258"/>
      <c r="I76" s="258"/>
      <c r="J76" s="258"/>
      <c r="K76" s="258"/>
      <c r="L76" s="258"/>
      <c r="M76" s="258"/>
      <c r="N76" s="258"/>
      <c r="O76" s="258"/>
      <c r="P76" s="258"/>
      <c r="Q76" s="258"/>
      <c r="R76" s="258"/>
      <c r="S76" s="258"/>
      <c r="T76" s="258"/>
      <c r="U76" s="258"/>
      <c r="V76" s="258"/>
      <c r="W76" s="258"/>
      <c r="X76" s="258"/>
      <c r="Y76" s="258"/>
      <c r="Z76" s="258"/>
      <c r="AA76" s="258"/>
      <c r="AB76" s="258"/>
      <c r="AC76" s="258"/>
      <c r="AD76" s="258"/>
      <c r="AE76" s="258"/>
      <c r="AF76" s="258"/>
      <c r="AG76" s="258"/>
      <c r="AH76" s="258"/>
      <c r="AI76" s="258"/>
      <c r="AJ76" s="258"/>
      <c r="AK76" s="258"/>
      <c r="AL76" s="258"/>
      <c r="AM76" s="258"/>
      <c r="AN76" s="258"/>
      <c r="AO76" s="258"/>
      <c r="AP76" s="258"/>
      <c r="AQ76" s="258"/>
      <c r="AR76" s="258"/>
      <c r="AS76" s="258"/>
      <c r="AT76" s="258"/>
      <c r="AU76" s="258"/>
      <c r="AV76" s="258"/>
      <c r="AW76" s="258"/>
      <c r="AX76" s="258"/>
      <c r="AY76" s="258"/>
    </row>
    <row r="77" spans="1:51" x14ac:dyDescent="0.3">
      <c r="A77" s="258"/>
      <c r="B77" s="258"/>
      <c r="C77" s="258"/>
      <c r="D77" s="258"/>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c r="AE77" s="258"/>
      <c r="AF77" s="258"/>
      <c r="AG77" s="258"/>
      <c r="AH77" s="258"/>
      <c r="AI77" s="258"/>
      <c r="AJ77" s="258"/>
      <c r="AK77" s="258"/>
      <c r="AL77" s="258"/>
      <c r="AM77" s="258"/>
      <c r="AN77" s="258"/>
      <c r="AO77" s="258"/>
      <c r="AP77" s="258"/>
      <c r="AQ77" s="258"/>
      <c r="AR77" s="258"/>
      <c r="AS77" s="258"/>
      <c r="AT77" s="258"/>
      <c r="AU77" s="258"/>
      <c r="AV77" s="258"/>
      <c r="AW77" s="258"/>
      <c r="AX77" s="258"/>
      <c r="AY77" s="258"/>
    </row>
    <row r="78" spans="1:51" x14ac:dyDescent="0.3">
      <c r="A78" s="258"/>
      <c r="B78" s="258"/>
      <c r="C78" s="258"/>
      <c r="D78" s="258"/>
      <c r="E78" s="258"/>
      <c r="F78" s="258"/>
      <c r="G78" s="258"/>
      <c r="H78" s="258"/>
      <c r="I78" s="258"/>
      <c r="J78" s="258"/>
      <c r="K78" s="258"/>
      <c r="L78" s="258"/>
      <c r="M78" s="258"/>
      <c r="N78" s="258"/>
      <c r="O78" s="258"/>
      <c r="P78" s="258"/>
      <c r="Q78" s="258"/>
      <c r="R78" s="258"/>
      <c r="S78" s="258"/>
      <c r="T78" s="258"/>
      <c r="U78" s="258"/>
      <c r="V78" s="258"/>
      <c r="W78" s="258"/>
      <c r="X78" s="258"/>
      <c r="Y78" s="258"/>
      <c r="Z78" s="258"/>
      <c r="AA78" s="258"/>
      <c r="AB78" s="258"/>
      <c r="AC78" s="258"/>
      <c r="AD78" s="258"/>
      <c r="AE78" s="258"/>
      <c r="AF78" s="258"/>
      <c r="AG78" s="258"/>
      <c r="AH78" s="258"/>
      <c r="AI78" s="258"/>
      <c r="AJ78" s="258"/>
      <c r="AK78" s="258"/>
      <c r="AL78" s="258"/>
      <c r="AM78" s="258"/>
      <c r="AN78" s="258"/>
      <c r="AO78" s="258"/>
      <c r="AP78" s="258"/>
      <c r="AQ78" s="258"/>
      <c r="AR78" s="258"/>
      <c r="AS78" s="258"/>
      <c r="AT78" s="258"/>
      <c r="AU78" s="258"/>
      <c r="AV78" s="258"/>
      <c r="AW78" s="258"/>
      <c r="AX78" s="258"/>
      <c r="AY78" s="258"/>
    </row>
    <row r="79" spans="1:51" x14ac:dyDescent="0.3">
      <c r="A79" s="258"/>
      <c r="B79" s="258"/>
      <c r="C79" s="258"/>
      <c r="D79" s="258"/>
      <c r="E79" s="258"/>
      <c r="F79" s="258"/>
      <c r="G79" s="258"/>
      <c r="H79" s="258"/>
      <c r="I79" s="258"/>
      <c r="J79" s="258"/>
      <c r="K79" s="258"/>
      <c r="L79" s="258"/>
      <c r="M79" s="258"/>
      <c r="N79" s="258"/>
      <c r="O79" s="258"/>
      <c r="P79" s="258"/>
      <c r="Q79" s="258"/>
      <c r="R79" s="258"/>
      <c r="S79" s="258"/>
      <c r="T79" s="258"/>
      <c r="U79" s="258"/>
      <c r="V79" s="258"/>
      <c r="W79" s="258"/>
      <c r="X79" s="258"/>
      <c r="Y79" s="258"/>
      <c r="Z79" s="258"/>
      <c r="AA79" s="258"/>
      <c r="AB79" s="258"/>
      <c r="AC79" s="258"/>
      <c r="AD79" s="258"/>
      <c r="AE79" s="258"/>
      <c r="AF79" s="258"/>
      <c r="AG79" s="258"/>
      <c r="AH79" s="258"/>
      <c r="AI79" s="258"/>
      <c r="AJ79" s="258"/>
      <c r="AK79" s="258"/>
      <c r="AL79" s="258"/>
      <c r="AM79" s="258"/>
      <c r="AN79" s="258"/>
      <c r="AO79" s="258"/>
      <c r="AP79" s="258"/>
      <c r="AQ79" s="258"/>
      <c r="AR79" s="258"/>
      <c r="AS79" s="258"/>
      <c r="AT79" s="258"/>
      <c r="AU79" s="258"/>
      <c r="AV79" s="258"/>
      <c r="AW79" s="258"/>
      <c r="AX79" s="258"/>
      <c r="AY79" s="258"/>
    </row>
    <row r="80" spans="1:51" x14ac:dyDescent="0.3">
      <c r="A80" s="258"/>
      <c r="B80" s="258"/>
      <c r="C80" s="258"/>
      <c r="D80" s="258"/>
      <c r="E80" s="258"/>
      <c r="F80" s="258"/>
      <c r="G80" s="258"/>
      <c r="H80" s="258"/>
      <c r="I80" s="258"/>
      <c r="J80" s="258"/>
      <c r="K80" s="258"/>
      <c r="L80" s="258"/>
      <c r="M80" s="258"/>
      <c r="N80" s="258"/>
      <c r="O80" s="258"/>
      <c r="P80" s="258"/>
      <c r="Q80" s="258"/>
      <c r="R80" s="258"/>
      <c r="S80" s="258"/>
      <c r="T80" s="258"/>
      <c r="U80" s="258"/>
      <c r="V80" s="258"/>
      <c r="W80" s="258"/>
      <c r="X80" s="258"/>
      <c r="Y80" s="258"/>
      <c r="Z80" s="258"/>
      <c r="AA80" s="258"/>
      <c r="AB80" s="258"/>
      <c r="AC80" s="258"/>
      <c r="AD80" s="258"/>
      <c r="AE80" s="258"/>
      <c r="AF80" s="258"/>
      <c r="AG80" s="258"/>
      <c r="AH80" s="258"/>
      <c r="AI80" s="258"/>
      <c r="AJ80" s="258"/>
      <c r="AK80" s="258"/>
      <c r="AL80" s="258"/>
      <c r="AM80" s="258"/>
      <c r="AN80" s="258"/>
      <c r="AO80" s="258"/>
      <c r="AP80" s="258"/>
      <c r="AQ80" s="258"/>
      <c r="AR80" s="258"/>
      <c r="AS80" s="258"/>
      <c r="AT80" s="258"/>
      <c r="AU80" s="258"/>
      <c r="AV80" s="258"/>
      <c r="AW80" s="258"/>
      <c r="AX80" s="258"/>
      <c r="AY80" s="258"/>
    </row>
    <row r="81" spans="1:51" x14ac:dyDescent="0.3">
      <c r="A81" s="258"/>
      <c r="B81" s="258"/>
      <c r="C81" s="258"/>
      <c r="D81" s="258"/>
      <c r="E81" s="258"/>
      <c r="F81" s="258"/>
      <c r="G81" s="258"/>
      <c r="H81" s="258"/>
      <c r="I81" s="258"/>
      <c r="J81" s="258"/>
      <c r="K81" s="258"/>
      <c r="L81" s="258"/>
      <c r="M81" s="258"/>
      <c r="N81" s="258"/>
      <c r="O81" s="258"/>
      <c r="P81" s="258"/>
      <c r="Q81" s="258"/>
      <c r="R81" s="258"/>
      <c r="S81" s="258"/>
      <c r="T81" s="258"/>
      <c r="U81" s="258"/>
      <c r="V81" s="258"/>
      <c r="W81" s="258"/>
      <c r="X81" s="258"/>
      <c r="Y81" s="258"/>
      <c r="Z81" s="258"/>
      <c r="AA81" s="258"/>
      <c r="AB81" s="258"/>
      <c r="AC81" s="258"/>
      <c r="AD81" s="258"/>
      <c r="AE81" s="258"/>
      <c r="AF81" s="258"/>
      <c r="AG81" s="258"/>
      <c r="AH81" s="258"/>
      <c r="AI81" s="258"/>
      <c r="AJ81" s="258"/>
      <c r="AK81" s="258"/>
      <c r="AL81" s="258"/>
      <c r="AM81" s="258"/>
      <c r="AN81" s="258"/>
      <c r="AO81" s="258"/>
      <c r="AP81" s="258"/>
      <c r="AQ81" s="258"/>
      <c r="AR81" s="258"/>
      <c r="AS81" s="258"/>
      <c r="AT81" s="258"/>
      <c r="AU81" s="258"/>
      <c r="AV81" s="258"/>
      <c r="AW81" s="258"/>
      <c r="AX81" s="258"/>
      <c r="AY81" s="258"/>
    </row>
    <row r="82" spans="1:51" x14ac:dyDescent="0.3">
      <c r="A82" s="258"/>
      <c r="B82" s="258"/>
      <c r="C82" s="258"/>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258"/>
      <c r="AB82" s="258"/>
      <c r="AC82" s="258"/>
      <c r="AD82" s="258"/>
      <c r="AE82" s="258"/>
      <c r="AF82" s="258"/>
      <c r="AG82" s="258"/>
      <c r="AH82" s="258"/>
      <c r="AI82" s="258"/>
      <c r="AJ82" s="258"/>
      <c r="AK82" s="258"/>
      <c r="AL82" s="258"/>
      <c r="AM82" s="258"/>
      <c r="AN82" s="258"/>
      <c r="AO82" s="258"/>
      <c r="AP82" s="258"/>
      <c r="AQ82" s="258"/>
      <c r="AR82" s="258"/>
      <c r="AS82" s="258"/>
      <c r="AT82" s="258"/>
      <c r="AU82" s="258"/>
      <c r="AV82" s="258"/>
      <c r="AW82" s="258"/>
      <c r="AX82" s="258"/>
      <c r="AY82" s="258"/>
    </row>
    <row r="83" spans="1:51" x14ac:dyDescent="0.3">
      <c r="A83" s="258"/>
      <c r="B83" s="258"/>
      <c r="C83" s="258"/>
      <c r="D83" s="258"/>
      <c r="E83" s="258"/>
      <c r="F83" s="258"/>
      <c r="G83" s="258"/>
      <c r="H83" s="258"/>
      <c r="I83" s="258"/>
      <c r="J83" s="258"/>
      <c r="K83" s="258"/>
      <c r="L83" s="258"/>
      <c r="M83" s="258"/>
      <c r="N83" s="258"/>
      <c r="O83" s="258"/>
      <c r="P83" s="258"/>
      <c r="Q83" s="258"/>
      <c r="R83" s="258"/>
      <c r="S83" s="258"/>
      <c r="T83" s="258"/>
      <c r="U83" s="258"/>
      <c r="V83" s="258"/>
      <c r="W83" s="258"/>
      <c r="X83" s="258"/>
      <c r="Y83" s="258"/>
      <c r="Z83" s="258"/>
      <c r="AA83" s="258"/>
      <c r="AB83" s="258"/>
      <c r="AC83" s="258"/>
      <c r="AD83" s="258"/>
      <c r="AE83" s="258"/>
      <c r="AF83" s="258"/>
      <c r="AG83" s="258"/>
      <c r="AH83" s="258"/>
      <c r="AI83" s="258"/>
      <c r="AJ83" s="258"/>
      <c r="AK83" s="258"/>
      <c r="AL83" s="258"/>
      <c r="AM83" s="258"/>
      <c r="AN83" s="258"/>
      <c r="AO83" s="258"/>
      <c r="AP83" s="258"/>
      <c r="AQ83" s="258"/>
      <c r="AR83" s="258"/>
      <c r="AS83" s="258"/>
      <c r="AT83" s="258"/>
      <c r="AU83" s="258"/>
      <c r="AV83" s="258"/>
      <c r="AW83" s="258"/>
      <c r="AX83" s="258"/>
      <c r="AY83" s="258"/>
    </row>
    <row r="84" spans="1:51" x14ac:dyDescent="0.3">
      <c r="A84" s="258"/>
      <c r="B84" s="258"/>
      <c r="C84" s="258"/>
      <c r="D84" s="258"/>
      <c r="E84" s="258"/>
      <c r="F84" s="258"/>
      <c r="G84" s="258"/>
      <c r="H84" s="258"/>
      <c r="I84" s="258"/>
      <c r="J84" s="258"/>
      <c r="K84" s="258"/>
      <c r="L84" s="258"/>
      <c r="M84" s="258"/>
      <c r="N84" s="258"/>
      <c r="O84" s="258"/>
      <c r="P84" s="258"/>
      <c r="Q84" s="258"/>
      <c r="R84" s="258"/>
      <c r="S84" s="258"/>
      <c r="T84" s="258"/>
      <c r="U84" s="258"/>
      <c r="V84" s="258"/>
      <c r="W84" s="258"/>
      <c r="X84" s="258"/>
      <c r="Y84" s="258"/>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row>
    <row r="85" spans="1:51" x14ac:dyDescent="0.3">
      <c r="A85" s="258"/>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c r="AA85" s="258"/>
      <c r="AB85" s="258"/>
      <c r="AC85" s="258"/>
      <c r="AD85" s="258"/>
      <c r="AE85" s="258"/>
      <c r="AF85" s="258"/>
      <c r="AG85" s="258"/>
      <c r="AH85" s="258"/>
      <c r="AI85" s="258"/>
      <c r="AJ85" s="258"/>
      <c r="AK85" s="258"/>
      <c r="AL85" s="258"/>
      <c r="AM85" s="258"/>
      <c r="AN85" s="258"/>
      <c r="AO85" s="258"/>
      <c r="AP85" s="258"/>
      <c r="AQ85" s="258"/>
      <c r="AR85" s="258"/>
      <c r="AS85" s="258"/>
      <c r="AT85" s="258"/>
      <c r="AU85" s="258"/>
      <c r="AV85" s="258"/>
      <c r="AW85" s="258"/>
      <c r="AX85" s="258"/>
      <c r="AY85" s="258"/>
    </row>
    <row r="86" spans="1:51" x14ac:dyDescent="0.3">
      <c r="A86" s="258"/>
      <c r="B86" s="258"/>
      <c r="C86" s="258"/>
      <c r="D86" s="258"/>
      <c r="E86" s="258"/>
      <c r="F86" s="258"/>
      <c r="G86" s="258"/>
      <c r="H86" s="258"/>
      <c r="I86" s="258"/>
      <c r="J86" s="258"/>
      <c r="K86" s="258"/>
      <c r="L86" s="258"/>
      <c r="M86" s="258"/>
      <c r="N86" s="258"/>
      <c r="O86" s="258"/>
      <c r="P86" s="258"/>
      <c r="Q86" s="258"/>
      <c r="R86" s="258"/>
      <c r="S86" s="258"/>
      <c r="T86" s="258"/>
      <c r="U86" s="258"/>
      <c r="V86" s="258"/>
      <c r="W86" s="258"/>
      <c r="X86" s="258"/>
      <c r="Y86" s="258"/>
      <c r="Z86" s="258"/>
      <c r="AA86" s="258"/>
      <c r="AB86" s="258"/>
      <c r="AC86" s="258"/>
      <c r="AD86" s="258"/>
      <c r="AE86" s="258"/>
      <c r="AF86" s="258"/>
      <c r="AG86" s="258"/>
      <c r="AH86" s="258"/>
      <c r="AI86" s="258"/>
      <c r="AJ86" s="258"/>
      <c r="AK86" s="258"/>
      <c r="AL86" s="258"/>
      <c r="AM86" s="258"/>
      <c r="AN86" s="258"/>
      <c r="AO86" s="258"/>
      <c r="AP86" s="258"/>
      <c r="AQ86" s="258"/>
      <c r="AR86" s="258"/>
      <c r="AS86" s="258"/>
      <c r="AT86" s="258"/>
      <c r="AU86" s="258"/>
      <c r="AV86" s="258"/>
      <c r="AW86" s="258"/>
      <c r="AX86" s="258"/>
      <c r="AY86" s="258"/>
    </row>
    <row r="87" spans="1:51" x14ac:dyDescent="0.3">
      <c r="A87" s="258"/>
      <c r="B87" s="258"/>
      <c r="C87" s="258"/>
      <c r="D87" s="258"/>
      <c r="E87" s="258"/>
      <c r="F87" s="258"/>
      <c r="G87" s="258"/>
      <c r="H87" s="258"/>
      <c r="I87" s="258"/>
      <c r="J87" s="258"/>
      <c r="K87" s="258"/>
      <c r="L87" s="258"/>
      <c r="M87" s="258"/>
      <c r="N87" s="258"/>
      <c r="O87" s="258"/>
      <c r="P87" s="258"/>
      <c r="Q87" s="258"/>
      <c r="R87" s="258"/>
      <c r="S87" s="258"/>
      <c r="T87" s="258"/>
      <c r="U87" s="258"/>
      <c r="V87" s="258"/>
      <c r="W87" s="258"/>
      <c r="X87" s="258"/>
      <c r="Y87" s="258"/>
      <c r="Z87" s="258"/>
      <c r="AA87" s="258"/>
      <c r="AB87" s="258"/>
      <c r="AC87" s="258"/>
      <c r="AD87" s="258"/>
      <c r="AE87" s="258"/>
      <c r="AF87" s="258"/>
      <c r="AG87" s="258"/>
      <c r="AH87" s="258"/>
      <c r="AI87" s="258"/>
      <c r="AJ87" s="258"/>
      <c r="AK87" s="258"/>
      <c r="AL87" s="258"/>
      <c r="AM87" s="258"/>
      <c r="AN87" s="258"/>
      <c r="AO87" s="258"/>
      <c r="AP87" s="258"/>
      <c r="AQ87" s="258"/>
      <c r="AR87" s="258"/>
      <c r="AS87" s="258"/>
      <c r="AT87" s="258"/>
      <c r="AU87" s="258"/>
      <c r="AV87" s="258"/>
      <c r="AW87" s="258"/>
      <c r="AX87" s="258"/>
      <c r="AY87" s="258"/>
    </row>
    <row r="88" spans="1:51" x14ac:dyDescent="0.3">
      <c r="A88" s="258"/>
      <c r="B88" s="258"/>
      <c r="C88" s="258"/>
      <c r="D88" s="258"/>
      <c r="E88" s="258"/>
      <c r="F88" s="258"/>
      <c r="G88" s="258"/>
      <c r="H88" s="258"/>
      <c r="I88" s="258"/>
      <c r="J88" s="258"/>
      <c r="K88" s="258"/>
      <c r="L88" s="258"/>
      <c r="M88" s="258"/>
      <c r="N88" s="258"/>
      <c r="O88" s="258"/>
      <c r="P88" s="258"/>
      <c r="Q88" s="258"/>
      <c r="R88" s="258"/>
      <c r="S88" s="258"/>
      <c r="T88" s="258"/>
      <c r="U88" s="258"/>
      <c r="V88" s="258"/>
      <c r="W88" s="258"/>
      <c r="X88" s="258"/>
      <c r="Y88" s="258"/>
      <c r="Z88" s="258"/>
      <c r="AA88" s="258"/>
      <c r="AB88" s="258"/>
      <c r="AC88" s="258"/>
      <c r="AD88" s="258"/>
      <c r="AE88" s="258"/>
      <c r="AF88" s="258"/>
      <c r="AG88" s="258"/>
      <c r="AH88" s="258"/>
      <c r="AI88" s="258"/>
      <c r="AJ88" s="258"/>
      <c r="AK88" s="258"/>
      <c r="AL88" s="258"/>
      <c r="AM88" s="258"/>
      <c r="AN88" s="258"/>
      <c r="AO88" s="258"/>
      <c r="AP88" s="258"/>
      <c r="AQ88" s="258"/>
      <c r="AR88" s="258"/>
      <c r="AS88" s="258"/>
      <c r="AT88" s="258"/>
      <c r="AU88" s="258"/>
      <c r="AV88" s="258"/>
      <c r="AW88" s="258"/>
      <c r="AX88" s="258"/>
      <c r="AY88" s="258"/>
    </row>
    <row r="89" spans="1:51" x14ac:dyDescent="0.3">
      <c r="A89" s="258"/>
      <c r="B89" s="258"/>
      <c r="C89" s="258"/>
      <c r="D89" s="258"/>
      <c r="E89" s="258"/>
      <c r="F89" s="258"/>
      <c r="G89" s="258"/>
      <c r="H89" s="258"/>
      <c r="I89" s="258"/>
      <c r="J89" s="258"/>
      <c r="K89" s="258"/>
      <c r="L89" s="258"/>
      <c r="M89" s="258"/>
      <c r="N89" s="258"/>
      <c r="O89" s="258"/>
      <c r="P89" s="258"/>
      <c r="Q89" s="258"/>
      <c r="R89" s="258"/>
      <c r="S89" s="258"/>
      <c r="T89" s="258"/>
      <c r="U89" s="258"/>
      <c r="V89" s="258"/>
      <c r="W89" s="258"/>
      <c r="X89" s="258"/>
      <c r="Y89" s="258"/>
      <c r="Z89" s="258"/>
      <c r="AA89" s="258"/>
      <c r="AB89" s="258"/>
      <c r="AC89" s="258"/>
      <c r="AD89" s="258"/>
      <c r="AE89" s="258"/>
      <c r="AF89" s="258"/>
      <c r="AG89" s="258"/>
      <c r="AH89" s="258"/>
      <c r="AI89" s="258"/>
      <c r="AJ89" s="258"/>
      <c r="AK89" s="258"/>
      <c r="AL89" s="258"/>
      <c r="AM89" s="258"/>
      <c r="AN89" s="258"/>
      <c r="AO89" s="258"/>
      <c r="AP89" s="258"/>
      <c r="AQ89" s="258"/>
      <c r="AR89" s="258"/>
      <c r="AS89" s="258"/>
      <c r="AT89" s="258"/>
      <c r="AU89" s="258"/>
      <c r="AV89" s="258"/>
      <c r="AW89" s="258"/>
      <c r="AX89" s="258"/>
      <c r="AY89" s="258"/>
    </row>
    <row r="90" spans="1:51" x14ac:dyDescent="0.3">
      <c r="A90" s="258"/>
      <c r="B90" s="258"/>
      <c r="C90" s="258"/>
      <c r="D90" s="258"/>
      <c r="E90" s="258"/>
      <c r="F90" s="258"/>
      <c r="G90" s="258"/>
      <c r="H90" s="258"/>
      <c r="I90" s="258"/>
      <c r="J90" s="258"/>
      <c r="K90" s="258"/>
      <c r="L90" s="258"/>
      <c r="M90" s="258"/>
      <c r="N90" s="258"/>
      <c r="O90" s="258"/>
      <c r="P90" s="258"/>
      <c r="Q90" s="258"/>
      <c r="R90" s="258"/>
      <c r="S90" s="258"/>
      <c r="T90" s="258"/>
      <c r="U90" s="258"/>
      <c r="V90" s="258"/>
      <c r="W90" s="258"/>
      <c r="X90" s="258"/>
      <c r="Y90" s="258"/>
      <c r="Z90" s="258"/>
      <c r="AA90" s="258"/>
      <c r="AB90" s="258"/>
      <c r="AC90" s="258"/>
      <c r="AD90" s="258"/>
      <c r="AE90" s="258"/>
      <c r="AF90" s="258"/>
      <c r="AG90" s="258"/>
      <c r="AH90" s="258"/>
      <c r="AI90" s="258"/>
      <c r="AJ90" s="258"/>
      <c r="AK90" s="258"/>
      <c r="AL90" s="258"/>
      <c r="AM90" s="258"/>
      <c r="AN90" s="258"/>
      <c r="AO90" s="258"/>
      <c r="AP90" s="258"/>
      <c r="AQ90" s="258"/>
      <c r="AR90" s="258"/>
      <c r="AS90" s="258"/>
      <c r="AT90" s="258"/>
      <c r="AU90" s="258"/>
      <c r="AV90" s="258"/>
      <c r="AW90" s="258"/>
      <c r="AX90" s="258"/>
      <c r="AY90" s="258"/>
    </row>
    <row r="91" spans="1:51" x14ac:dyDescent="0.3">
      <c r="A91" s="258"/>
      <c r="B91" s="258"/>
      <c r="C91" s="258"/>
      <c r="D91" s="258"/>
      <c r="E91" s="258"/>
      <c r="F91" s="258"/>
      <c r="G91" s="258"/>
      <c r="H91" s="258"/>
      <c r="I91" s="258"/>
      <c r="J91" s="258"/>
      <c r="K91" s="258"/>
      <c r="L91" s="258"/>
      <c r="M91" s="258"/>
      <c r="N91" s="258"/>
      <c r="O91" s="258"/>
      <c r="P91" s="258"/>
      <c r="Q91" s="258"/>
      <c r="R91" s="258"/>
      <c r="S91" s="258"/>
      <c r="T91" s="258"/>
      <c r="U91" s="258"/>
      <c r="V91" s="258"/>
      <c r="W91" s="258"/>
      <c r="X91" s="258"/>
      <c r="Y91" s="258"/>
      <c r="Z91" s="258"/>
      <c r="AA91" s="258"/>
      <c r="AB91" s="258"/>
      <c r="AC91" s="258"/>
      <c r="AD91" s="258"/>
      <c r="AE91" s="258"/>
      <c r="AF91" s="258"/>
      <c r="AG91" s="258"/>
      <c r="AH91" s="258"/>
      <c r="AI91" s="258"/>
      <c r="AJ91" s="258"/>
      <c r="AK91" s="258"/>
      <c r="AL91" s="258"/>
      <c r="AM91" s="258"/>
      <c r="AN91" s="258"/>
      <c r="AO91" s="258"/>
      <c r="AP91" s="258"/>
      <c r="AQ91" s="258"/>
      <c r="AR91" s="258"/>
      <c r="AS91" s="258"/>
      <c r="AT91" s="258"/>
      <c r="AU91" s="258"/>
      <c r="AV91" s="258"/>
      <c r="AW91" s="258"/>
      <c r="AX91" s="258"/>
      <c r="AY91" s="258"/>
    </row>
    <row r="92" spans="1:51" x14ac:dyDescent="0.3">
      <c r="A92" s="258"/>
      <c r="B92" s="258"/>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c r="AE92" s="258"/>
      <c r="AF92" s="258"/>
      <c r="AG92" s="258"/>
      <c r="AH92" s="258"/>
      <c r="AI92" s="258"/>
      <c r="AJ92" s="258"/>
      <c r="AK92" s="258"/>
      <c r="AL92" s="258"/>
      <c r="AM92" s="258"/>
      <c r="AN92" s="258"/>
      <c r="AO92" s="258"/>
      <c r="AP92" s="258"/>
      <c r="AQ92" s="258"/>
      <c r="AR92" s="258"/>
      <c r="AS92" s="258"/>
      <c r="AT92" s="258"/>
      <c r="AU92" s="258"/>
      <c r="AV92" s="258"/>
      <c r="AW92" s="258"/>
      <c r="AX92" s="258"/>
      <c r="AY92" s="258"/>
    </row>
    <row r="93" spans="1:51" x14ac:dyDescent="0.3">
      <c r="A93" s="258"/>
      <c r="B93" s="258"/>
      <c r="C93" s="258"/>
      <c r="D93" s="258"/>
      <c r="E93" s="258"/>
      <c r="F93" s="258"/>
      <c r="G93" s="258"/>
      <c r="H93" s="258"/>
      <c r="I93" s="258"/>
      <c r="J93" s="258"/>
      <c r="K93" s="258"/>
      <c r="L93" s="258"/>
      <c r="M93" s="258"/>
      <c r="N93" s="258"/>
      <c r="O93" s="258"/>
      <c r="P93" s="258"/>
      <c r="Q93" s="258"/>
      <c r="R93" s="258"/>
      <c r="S93" s="258"/>
      <c r="T93" s="258"/>
      <c r="U93" s="258"/>
      <c r="V93" s="258"/>
      <c r="W93" s="258"/>
      <c r="X93" s="258"/>
      <c r="Y93" s="258"/>
      <c r="Z93" s="258"/>
      <c r="AA93" s="258"/>
      <c r="AB93" s="258"/>
      <c r="AC93" s="258"/>
      <c r="AD93" s="258"/>
      <c r="AE93" s="258"/>
      <c r="AF93" s="258"/>
      <c r="AG93" s="258"/>
      <c r="AH93" s="258"/>
      <c r="AI93" s="258"/>
      <c r="AJ93" s="258"/>
      <c r="AK93" s="258"/>
      <c r="AL93" s="258"/>
      <c r="AM93" s="258"/>
      <c r="AN93" s="258"/>
      <c r="AO93" s="258"/>
      <c r="AP93" s="258"/>
      <c r="AQ93" s="258"/>
      <c r="AR93" s="258"/>
      <c r="AS93" s="258"/>
      <c r="AT93" s="258"/>
      <c r="AU93" s="258"/>
      <c r="AV93" s="258"/>
      <c r="AW93" s="258"/>
      <c r="AX93" s="258"/>
      <c r="AY93" s="258"/>
    </row>
    <row r="94" spans="1:51" x14ac:dyDescent="0.3">
      <c r="A94" s="258"/>
      <c r="B94" s="258"/>
      <c r="C94" s="258"/>
      <c r="D94" s="258"/>
      <c r="E94" s="258"/>
      <c r="F94" s="258"/>
      <c r="G94" s="258"/>
      <c r="H94" s="258"/>
      <c r="I94" s="258"/>
      <c r="J94" s="258"/>
      <c r="K94" s="258"/>
      <c r="L94" s="258"/>
      <c r="M94" s="258"/>
      <c r="N94" s="258"/>
      <c r="O94" s="258"/>
      <c r="P94" s="258"/>
      <c r="Q94" s="258"/>
      <c r="R94" s="258"/>
      <c r="S94" s="258"/>
      <c r="T94" s="258"/>
      <c r="U94" s="258"/>
      <c r="V94" s="258"/>
      <c r="W94" s="258"/>
      <c r="X94" s="258"/>
      <c r="Y94" s="258"/>
      <c r="Z94" s="258"/>
      <c r="AA94" s="258"/>
      <c r="AB94" s="258"/>
      <c r="AC94" s="258"/>
      <c r="AD94" s="258"/>
      <c r="AE94" s="258"/>
      <c r="AF94" s="258"/>
      <c r="AG94" s="258"/>
      <c r="AH94" s="258"/>
      <c r="AI94" s="258"/>
      <c r="AJ94" s="258"/>
      <c r="AK94" s="258"/>
      <c r="AL94" s="258"/>
      <c r="AM94" s="258"/>
      <c r="AN94" s="258"/>
      <c r="AO94" s="258"/>
      <c r="AP94" s="258"/>
      <c r="AQ94" s="258"/>
      <c r="AR94" s="258"/>
      <c r="AS94" s="258"/>
      <c r="AT94" s="258"/>
      <c r="AU94" s="258"/>
      <c r="AV94" s="258"/>
      <c r="AW94" s="258"/>
      <c r="AX94" s="258"/>
      <c r="AY94" s="258"/>
    </row>
    <row r="95" spans="1:51" x14ac:dyDescent="0.3">
      <c r="A95" s="258"/>
      <c r="B95" s="258"/>
      <c r="C95" s="258"/>
      <c r="D95" s="258"/>
      <c r="E95" s="258"/>
      <c r="F95" s="258"/>
      <c r="G95" s="258"/>
      <c r="H95" s="258"/>
      <c r="I95" s="258"/>
      <c r="J95" s="258"/>
      <c r="K95" s="258"/>
      <c r="L95" s="258"/>
      <c r="M95" s="258"/>
      <c r="N95" s="258"/>
      <c r="O95" s="258"/>
      <c r="P95" s="258"/>
      <c r="Q95" s="258"/>
      <c r="R95" s="258"/>
      <c r="S95" s="258"/>
      <c r="T95" s="258"/>
      <c r="U95" s="258"/>
      <c r="V95" s="258"/>
      <c r="W95" s="258"/>
      <c r="X95" s="258"/>
      <c r="Y95" s="258"/>
      <c r="Z95" s="258"/>
      <c r="AA95" s="258"/>
      <c r="AB95" s="258"/>
      <c r="AC95" s="258"/>
      <c r="AD95" s="258"/>
      <c r="AE95" s="258"/>
      <c r="AF95" s="258"/>
      <c r="AG95" s="258"/>
      <c r="AH95" s="258"/>
      <c r="AI95" s="258"/>
      <c r="AJ95" s="258"/>
      <c r="AK95" s="258"/>
      <c r="AL95" s="258"/>
      <c r="AM95" s="258"/>
      <c r="AN95" s="258"/>
      <c r="AO95" s="258"/>
      <c r="AP95" s="258"/>
      <c r="AQ95" s="258"/>
      <c r="AR95" s="258"/>
      <c r="AS95" s="258"/>
      <c r="AT95" s="258"/>
      <c r="AU95" s="258"/>
      <c r="AV95" s="258"/>
      <c r="AW95" s="258"/>
      <c r="AX95" s="258"/>
      <c r="AY95" s="258"/>
    </row>
    <row r="96" spans="1:51" x14ac:dyDescent="0.3">
      <c r="A96" s="258"/>
      <c r="B96" s="258"/>
      <c r="C96" s="258"/>
      <c r="D96" s="258"/>
      <c r="E96" s="258"/>
      <c r="F96" s="258"/>
      <c r="G96" s="258"/>
      <c r="H96" s="258"/>
      <c r="I96" s="258"/>
      <c r="J96" s="258"/>
      <c r="K96" s="258"/>
      <c r="L96" s="258"/>
      <c r="M96" s="258"/>
      <c r="N96" s="258"/>
      <c r="O96" s="258"/>
      <c r="P96" s="258"/>
      <c r="Q96" s="258"/>
      <c r="R96" s="258"/>
      <c r="S96" s="258"/>
      <c r="T96" s="258"/>
      <c r="U96" s="258"/>
      <c r="V96" s="258"/>
      <c r="W96" s="258"/>
      <c r="X96" s="258"/>
      <c r="Y96" s="258"/>
      <c r="Z96" s="258"/>
      <c r="AA96" s="258"/>
      <c r="AB96" s="258"/>
      <c r="AC96" s="258"/>
      <c r="AD96" s="258"/>
      <c r="AE96" s="258"/>
      <c r="AF96" s="258"/>
      <c r="AG96" s="258"/>
      <c r="AH96" s="258"/>
      <c r="AI96" s="258"/>
      <c r="AJ96" s="258"/>
      <c r="AK96" s="258"/>
      <c r="AL96" s="258"/>
      <c r="AM96" s="258"/>
      <c r="AN96" s="258"/>
      <c r="AO96" s="258"/>
      <c r="AP96" s="258"/>
      <c r="AQ96" s="258"/>
      <c r="AR96" s="258"/>
      <c r="AS96" s="258"/>
      <c r="AT96" s="258"/>
      <c r="AU96" s="258"/>
      <c r="AV96" s="258"/>
      <c r="AW96" s="258"/>
      <c r="AX96" s="258"/>
      <c r="AY96" s="258"/>
    </row>
    <row r="97" spans="1:51" x14ac:dyDescent="0.3">
      <c r="A97" s="258"/>
      <c r="B97" s="258"/>
      <c r="C97" s="258"/>
      <c r="D97" s="258"/>
      <c r="E97" s="258"/>
      <c r="F97" s="258"/>
      <c r="G97" s="258"/>
      <c r="H97" s="258"/>
      <c r="I97" s="258"/>
      <c r="J97" s="258"/>
      <c r="K97" s="258"/>
      <c r="L97" s="258"/>
      <c r="M97" s="258"/>
      <c r="N97" s="258"/>
      <c r="O97" s="258"/>
      <c r="P97" s="258"/>
      <c r="Q97" s="258"/>
      <c r="R97" s="258"/>
      <c r="S97" s="258"/>
      <c r="T97" s="258"/>
      <c r="U97" s="258"/>
      <c r="V97" s="258"/>
      <c r="W97" s="258"/>
      <c r="X97" s="258"/>
      <c r="Y97" s="258"/>
      <c r="Z97" s="258"/>
      <c r="AA97" s="258"/>
      <c r="AB97" s="258"/>
      <c r="AC97" s="258"/>
      <c r="AD97" s="258"/>
      <c r="AE97" s="258"/>
      <c r="AF97" s="258"/>
      <c r="AG97" s="258"/>
      <c r="AH97" s="258"/>
      <c r="AI97" s="258"/>
      <c r="AJ97" s="258"/>
      <c r="AK97" s="258"/>
      <c r="AL97" s="258"/>
      <c r="AM97" s="258"/>
      <c r="AN97" s="258"/>
      <c r="AO97" s="258"/>
      <c r="AP97" s="258"/>
      <c r="AQ97" s="258"/>
      <c r="AR97" s="258"/>
      <c r="AS97" s="258"/>
      <c r="AT97" s="258"/>
      <c r="AU97" s="258"/>
      <c r="AV97" s="258"/>
      <c r="AW97" s="258"/>
      <c r="AX97" s="258"/>
      <c r="AY97" s="258"/>
    </row>
    <row r="98" spans="1:51" x14ac:dyDescent="0.3">
      <c r="A98" s="258"/>
      <c r="B98" s="258"/>
      <c r="C98" s="258"/>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c r="AE98" s="258"/>
      <c r="AF98" s="258"/>
      <c r="AG98" s="258"/>
      <c r="AH98" s="258"/>
      <c r="AI98" s="258"/>
      <c r="AJ98" s="258"/>
      <c r="AK98" s="258"/>
      <c r="AL98" s="258"/>
      <c r="AM98" s="258"/>
      <c r="AN98" s="258"/>
      <c r="AO98" s="258"/>
      <c r="AP98" s="258"/>
      <c r="AQ98" s="258"/>
      <c r="AR98" s="258"/>
      <c r="AS98" s="258"/>
      <c r="AT98" s="258"/>
      <c r="AU98" s="258"/>
      <c r="AV98" s="258"/>
      <c r="AW98" s="258"/>
      <c r="AX98" s="258"/>
      <c r="AY98" s="258"/>
    </row>
    <row r="99" spans="1:51" x14ac:dyDescent="0.3">
      <c r="A99" s="258"/>
      <c r="B99" s="258"/>
      <c r="C99" s="258"/>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c r="AE99" s="258"/>
      <c r="AF99" s="258"/>
      <c r="AG99" s="258"/>
      <c r="AH99" s="258"/>
      <c r="AI99" s="258"/>
      <c r="AJ99" s="258"/>
      <c r="AK99" s="258"/>
      <c r="AL99" s="258"/>
      <c r="AM99" s="258"/>
      <c r="AN99" s="258"/>
      <c r="AO99" s="258"/>
      <c r="AP99" s="258"/>
      <c r="AQ99" s="258"/>
      <c r="AR99" s="258"/>
      <c r="AS99" s="258"/>
      <c r="AT99" s="258"/>
      <c r="AU99" s="258"/>
      <c r="AV99" s="258"/>
      <c r="AW99" s="258"/>
      <c r="AX99" s="258"/>
      <c r="AY99" s="258"/>
    </row>
    <row r="100" spans="1:51" x14ac:dyDescent="0.3">
      <c r="A100" s="258"/>
      <c r="B100" s="258"/>
      <c r="C100" s="258"/>
      <c r="D100" s="258"/>
      <c r="E100" s="258"/>
      <c r="F100" s="258"/>
      <c r="G100" s="258"/>
      <c r="H100" s="258"/>
      <c r="I100" s="258"/>
      <c r="J100" s="258"/>
      <c r="K100" s="258"/>
      <c r="L100" s="258"/>
      <c r="M100" s="258"/>
      <c r="N100" s="258"/>
      <c r="O100" s="258"/>
      <c r="P100" s="258"/>
      <c r="Q100" s="258"/>
      <c r="R100" s="258"/>
      <c r="S100" s="258"/>
      <c r="T100" s="258"/>
      <c r="U100" s="258"/>
      <c r="V100" s="258"/>
      <c r="W100" s="258"/>
      <c r="X100" s="258"/>
      <c r="Y100" s="258"/>
      <c r="Z100" s="258"/>
      <c r="AA100" s="258"/>
      <c r="AB100" s="258"/>
      <c r="AC100" s="258"/>
      <c r="AD100" s="258"/>
      <c r="AE100" s="258"/>
      <c r="AF100" s="258"/>
      <c r="AG100" s="258"/>
      <c r="AH100" s="258"/>
      <c r="AI100" s="258"/>
      <c r="AJ100" s="258"/>
      <c r="AK100" s="258"/>
      <c r="AL100" s="258"/>
      <c r="AM100" s="258"/>
      <c r="AN100" s="258"/>
      <c r="AO100" s="258"/>
      <c r="AP100" s="258"/>
      <c r="AQ100" s="258"/>
      <c r="AR100" s="258"/>
      <c r="AS100" s="258"/>
      <c r="AT100" s="258"/>
      <c r="AU100" s="258"/>
      <c r="AV100" s="258"/>
      <c r="AW100" s="258"/>
      <c r="AX100" s="258"/>
      <c r="AY100" s="258"/>
    </row>
    <row r="101" spans="1:51" x14ac:dyDescent="0.3">
      <c r="A101" s="258"/>
      <c r="B101" s="258"/>
      <c r="C101" s="258"/>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c r="AA101" s="258"/>
      <c r="AB101" s="258"/>
      <c r="AC101" s="258"/>
      <c r="AD101" s="258"/>
      <c r="AE101" s="258"/>
      <c r="AF101" s="258"/>
      <c r="AG101" s="258"/>
      <c r="AH101" s="258"/>
      <c r="AI101" s="258"/>
      <c r="AJ101" s="258"/>
      <c r="AK101" s="258"/>
      <c r="AL101" s="258"/>
      <c r="AM101" s="258"/>
      <c r="AN101" s="258"/>
      <c r="AO101" s="258"/>
      <c r="AP101" s="258"/>
      <c r="AQ101" s="258"/>
      <c r="AR101" s="258"/>
      <c r="AS101" s="258"/>
      <c r="AT101" s="258"/>
      <c r="AU101" s="258"/>
      <c r="AV101" s="258"/>
      <c r="AW101" s="258"/>
      <c r="AX101" s="258"/>
      <c r="AY101" s="258"/>
    </row>
    <row r="102" spans="1:51" x14ac:dyDescent="0.3">
      <c r="A102" s="258"/>
      <c r="B102" s="258"/>
      <c r="C102" s="258"/>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c r="AA102" s="258"/>
      <c r="AB102" s="258"/>
      <c r="AC102" s="258"/>
      <c r="AD102" s="258"/>
      <c r="AE102" s="258"/>
      <c r="AF102" s="258"/>
      <c r="AG102" s="258"/>
      <c r="AH102" s="258"/>
      <c r="AI102" s="258"/>
      <c r="AJ102" s="258"/>
      <c r="AK102" s="258"/>
      <c r="AL102" s="258"/>
      <c r="AM102" s="258"/>
      <c r="AN102" s="258"/>
      <c r="AO102" s="258"/>
      <c r="AP102" s="258"/>
      <c r="AQ102" s="258"/>
      <c r="AR102" s="258"/>
      <c r="AS102" s="258"/>
      <c r="AT102" s="258"/>
      <c r="AU102" s="258"/>
      <c r="AV102" s="258"/>
      <c r="AW102" s="258"/>
      <c r="AX102" s="258"/>
      <c r="AY102" s="258"/>
    </row>
    <row r="103" spans="1:51" x14ac:dyDescent="0.3">
      <c r="A103" s="258"/>
      <c r="B103" s="258"/>
      <c r="C103" s="258"/>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c r="AE103" s="258"/>
      <c r="AF103" s="258"/>
      <c r="AG103" s="258"/>
      <c r="AH103" s="258"/>
      <c r="AI103" s="258"/>
      <c r="AJ103" s="258"/>
      <c r="AK103" s="258"/>
      <c r="AL103" s="258"/>
      <c r="AM103" s="258"/>
      <c r="AN103" s="258"/>
      <c r="AO103" s="258"/>
      <c r="AP103" s="258"/>
      <c r="AQ103" s="258"/>
      <c r="AR103" s="258"/>
      <c r="AS103" s="258"/>
      <c r="AT103" s="258"/>
      <c r="AU103" s="258"/>
      <c r="AV103" s="258"/>
      <c r="AW103" s="258"/>
      <c r="AX103" s="258"/>
      <c r="AY103" s="258"/>
    </row>
    <row r="104" spans="1:51" x14ac:dyDescent="0.3">
      <c r="A104" s="258"/>
      <c r="B104" s="258"/>
      <c r="C104" s="258"/>
      <c r="D104" s="258"/>
      <c r="E104" s="258"/>
      <c r="F104" s="258"/>
      <c r="G104" s="258"/>
      <c r="H104" s="258"/>
      <c r="I104" s="258"/>
      <c r="J104" s="258"/>
      <c r="K104" s="258"/>
      <c r="L104" s="258"/>
      <c r="M104" s="258"/>
      <c r="N104" s="258"/>
      <c r="O104" s="258"/>
      <c r="P104" s="258"/>
      <c r="Q104" s="258"/>
      <c r="R104" s="258"/>
      <c r="S104" s="258"/>
      <c r="T104" s="258"/>
      <c r="U104" s="258"/>
      <c r="V104" s="258"/>
      <c r="W104" s="258"/>
      <c r="X104" s="258"/>
      <c r="Y104" s="258"/>
      <c r="Z104" s="258"/>
      <c r="AA104" s="258"/>
      <c r="AB104" s="258"/>
      <c r="AC104" s="258"/>
      <c r="AD104" s="258"/>
      <c r="AE104" s="258"/>
      <c r="AF104" s="258"/>
      <c r="AG104" s="258"/>
      <c r="AH104" s="258"/>
      <c r="AI104" s="258"/>
      <c r="AJ104" s="258"/>
      <c r="AK104" s="258"/>
      <c r="AL104" s="258"/>
      <c r="AM104" s="258"/>
      <c r="AN104" s="258"/>
      <c r="AO104" s="258"/>
      <c r="AP104" s="258"/>
      <c r="AQ104" s="258"/>
      <c r="AR104" s="258"/>
      <c r="AS104" s="258"/>
      <c r="AT104" s="258"/>
      <c r="AU104" s="258"/>
      <c r="AV104" s="258"/>
      <c r="AW104" s="258"/>
      <c r="AX104" s="258"/>
      <c r="AY104" s="258"/>
    </row>
    <row r="105" spans="1:51" x14ac:dyDescent="0.3">
      <c r="A105" s="258"/>
      <c r="B105" s="258"/>
      <c r="C105" s="258"/>
      <c r="D105" s="258"/>
      <c r="E105" s="258"/>
      <c r="F105" s="258"/>
      <c r="G105" s="258"/>
      <c r="H105" s="258"/>
      <c r="I105" s="258"/>
      <c r="J105" s="258"/>
      <c r="K105" s="258"/>
      <c r="L105" s="258"/>
      <c r="M105" s="258"/>
      <c r="N105" s="258"/>
      <c r="O105" s="258"/>
      <c r="P105" s="258"/>
      <c r="Q105" s="258"/>
      <c r="R105" s="258"/>
      <c r="S105" s="258"/>
      <c r="T105" s="258"/>
      <c r="U105" s="258"/>
      <c r="V105" s="258"/>
      <c r="W105" s="258"/>
      <c r="X105" s="258"/>
      <c r="Y105" s="258"/>
      <c r="Z105" s="258"/>
      <c r="AA105" s="258"/>
      <c r="AB105" s="258"/>
      <c r="AC105" s="258"/>
      <c r="AD105" s="258"/>
      <c r="AE105" s="258"/>
      <c r="AF105" s="258"/>
      <c r="AG105" s="258"/>
      <c r="AH105" s="258"/>
      <c r="AI105" s="258"/>
      <c r="AJ105" s="258"/>
      <c r="AK105" s="258"/>
      <c r="AL105" s="258"/>
      <c r="AM105" s="258"/>
      <c r="AN105" s="258"/>
      <c r="AO105" s="258"/>
      <c r="AP105" s="258"/>
      <c r="AQ105" s="258"/>
      <c r="AR105" s="258"/>
      <c r="AS105" s="258"/>
      <c r="AT105" s="258"/>
      <c r="AU105" s="258"/>
      <c r="AV105" s="258"/>
      <c r="AW105" s="258"/>
      <c r="AX105" s="258"/>
      <c r="AY105" s="258"/>
    </row>
    <row r="106" spans="1:51" x14ac:dyDescent="0.3">
      <c r="A106" s="258"/>
      <c r="B106" s="258"/>
      <c r="C106" s="258"/>
      <c r="D106" s="258"/>
      <c r="E106" s="258"/>
      <c r="F106" s="258"/>
      <c r="G106" s="258"/>
      <c r="H106" s="258"/>
      <c r="I106" s="258"/>
      <c r="J106" s="258"/>
      <c r="K106" s="258"/>
      <c r="L106" s="258"/>
      <c r="M106" s="258"/>
      <c r="N106" s="258"/>
      <c r="O106" s="258"/>
      <c r="P106" s="258"/>
      <c r="Q106" s="258"/>
      <c r="R106" s="258"/>
      <c r="S106" s="258"/>
      <c r="T106" s="258"/>
      <c r="U106" s="258"/>
      <c r="V106" s="258"/>
      <c r="W106" s="258"/>
      <c r="X106" s="258"/>
      <c r="Y106" s="258"/>
      <c r="Z106" s="258"/>
      <c r="AA106" s="258"/>
      <c r="AB106" s="258"/>
      <c r="AC106" s="258"/>
      <c r="AD106" s="258"/>
      <c r="AE106" s="258"/>
      <c r="AF106" s="258"/>
      <c r="AG106" s="258"/>
      <c r="AH106" s="258"/>
      <c r="AI106" s="258"/>
      <c r="AJ106" s="258"/>
      <c r="AK106" s="258"/>
      <c r="AL106" s="258"/>
      <c r="AM106" s="258"/>
      <c r="AN106" s="258"/>
      <c r="AO106" s="258"/>
      <c r="AP106" s="258"/>
      <c r="AQ106" s="258"/>
      <c r="AR106" s="258"/>
      <c r="AS106" s="258"/>
      <c r="AT106" s="258"/>
      <c r="AU106" s="258"/>
      <c r="AV106" s="258"/>
      <c r="AW106" s="258"/>
      <c r="AX106" s="258"/>
      <c r="AY106" s="258"/>
    </row>
    <row r="107" spans="1:51" x14ac:dyDescent="0.3">
      <c r="A107" s="258"/>
      <c r="B107" s="258"/>
      <c r="C107" s="258"/>
      <c r="D107" s="258"/>
      <c r="E107" s="258"/>
      <c r="F107" s="258"/>
      <c r="G107" s="258"/>
      <c r="H107" s="258"/>
      <c r="I107" s="258"/>
      <c r="J107" s="258"/>
      <c r="K107" s="258"/>
      <c r="L107" s="258"/>
      <c r="M107" s="258"/>
      <c r="N107" s="258"/>
      <c r="O107" s="258"/>
      <c r="P107" s="258"/>
      <c r="Q107" s="258"/>
      <c r="R107" s="258"/>
      <c r="S107" s="258"/>
      <c r="T107" s="258"/>
      <c r="U107" s="258"/>
      <c r="V107" s="258"/>
      <c r="W107" s="258"/>
      <c r="X107" s="258"/>
      <c r="Y107" s="258"/>
      <c r="Z107" s="258"/>
      <c r="AA107" s="258"/>
      <c r="AB107" s="258"/>
      <c r="AC107" s="258"/>
      <c r="AD107" s="258"/>
      <c r="AE107" s="258"/>
      <c r="AF107" s="258"/>
      <c r="AG107" s="258"/>
      <c r="AH107" s="258"/>
      <c r="AI107" s="258"/>
      <c r="AJ107" s="258"/>
      <c r="AK107" s="258"/>
      <c r="AL107" s="258"/>
      <c r="AM107" s="258"/>
      <c r="AN107" s="258"/>
      <c r="AO107" s="258"/>
      <c r="AP107" s="258"/>
      <c r="AQ107" s="258"/>
      <c r="AR107" s="258"/>
      <c r="AS107" s="258"/>
      <c r="AT107" s="258"/>
      <c r="AU107" s="258"/>
      <c r="AV107" s="258"/>
      <c r="AW107" s="258"/>
      <c r="AX107" s="258"/>
      <c r="AY107" s="258"/>
    </row>
    <row r="108" spans="1:51" x14ac:dyDescent="0.3">
      <c r="A108" s="258"/>
      <c r="B108" s="258"/>
      <c r="C108" s="258"/>
      <c r="D108" s="258"/>
      <c r="E108" s="258"/>
      <c r="F108" s="258"/>
      <c r="G108" s="258"/>
      <c r="H108" s="258"/>
      <c r="I108" s="258"/>
      <c r="J108" s="258"/>
      <c r="K108" s="258"/>
      <c r="L108" s="258"/>
      <c r="M108" s="258"/>
      <c r="N108" s="258"/>
      <c r="O108" s="258"/>
      <c r="P108" s="258"/>
      <c r="Q108" s="258"/>
      <c r="R108" s="258"/>
      <c r="S108" s="258"/>
      <c r="T108" s="258"/>
      <c r="U108" s="258"/>
      <c r="V108" s="258"/>
      <c r="W108" s="258"/>
      <c r="X108" s="258"/>
      <c r="Y108" s="258"/>
      <c r="Z108" s="258"/>
      <c r="AA108" s="258"/>
      <c r="AB108" s="258"/>
      <c r="AC108" s="258"/>
      <c r="AD108" s="258"/>
      <c r="AE108" s="258"/>
      <c r="AF108" s="258"/>
      <c r="AG108" s="258"/>
      <c r="AH108" s="258"/>
      <c r="AI108" s="258"/>
      <c r="AJ108" s="258"/>
      <c r="AK108" s="258"/>
      <c r="AL108" s="258"/>
      <c r="AM108" s="258"/>
      <c r="AN108" s="258"/>
      <c r="AO108" s="258"/>
      <c r="AP108" s="258"/>
      <c r="AQ108" s="258"/>
      <c r="AR108" s="258"/>
      <c r="AS108" s="258"/>
      <c r="AT108" s="258"/>
      <c r="AU108" s="258"/>
      <c r="AV108" s="258"/>
      <c r="AW108" s="258"/>
      <c r="AX108" s="258"/>
      <c r="AY108" s="258"/>
    </row>
    <row r="109" spans="1:51" x14ac:dyDescent="0.3">
      <c r="A109" s="258"/>
      <c r="B109" s="258"/>
      <c r="C109" s="258"/>
      <c r="D109" s="258"/>
      <c r="E109" s="258"/>
      <c r="F109" s="258"/>
      <c r="G109" s="258"/>
      <c r="H109" s="258"/>
      <c r="I109" s="258"/>
      <c r="J109" s="258"/>
      <c r="K109" s="258"/>
      <c r="L109" s="258"/>
      <c r="M109" s="258"/>
      <c r="N109" s="258"/>
      <c r="O109" s="258"/>
      <c r="P109" s="258"/>
      <c r="Q109" s="258"/>
      <c r="R109" s="258"/>
      <c r="S109" s="258"/>
      <c r="T109" s="258"/>
      <c r="U109" s="258"/>
      <c r="V109" s="258"/>
      <c r="W109" s="258"/>
      <c r="X109" s="258"/>
      <c r="Y109" s="258"/>
      <c r="Z109" s="258"/>
      <c r="AA109" s="258"/>
      <c r="AB109" s="258"/>
      <c r="AC109" s="258"/>
      <c r="AD109" s="258"/>
      <c r="AE109" s="258"/>
      <c r="AF109" s="258"/>
      <c r="AG109" s="258"/>
      <c r="AH109" s="258"/>
      <c r="AI109" s="258"/>
      <c r="AJ109" s="258"/>
      <c r="AK109" s="258"/>
      <c r="AL109" s="258"/>
      <c r="AM109" s="258"/>
      <c r="AN109" s="258"/>
      <c r="AO109" s="258"/>
      <c r="AP109" s="258"/>
      <c r="AQ109" s="258"/>
      <c r="AR109" s="258"/>
      <c r="AS109" s="258"/>
      <c r="AT109" s="258"/>
      <c r="AU109" s="258"/>
      <c r="AV109" s="258"/>
      <c r="AW109" s="258"/>
      <c r="AX109" s="258"/>
      <c r="AY109" s="258"/>
    </row>
    <row r="110" spans="1:51" x14ac:dyDescent="0.3">
      <c r="A110" s="258"/>
      <c r="B110" s="258"/>
      <c r="C110" s="258"/>
      <c r="D110" s="258"/>
      <c r="E110" s="258"/>
      <c r="F110" s="258"/>
      <c r="G110" s="258"/>
      <c r="H110" s="258"/>
      <c r="I110" s="258"/>
      <c r="J110" s="258"/>
      <c r="K110" s="258"/>
      <c r="L110" s="258"/>
      <c r="M110" s="258"/>
      <c r="N110" s="258"/>
      <c r="O110" s="258"/>
      <c r="P110" s="258"/>
      <c r="Q110" s="258"/>
      <c r="R110" s="258"/>
      <c r="S110" s="258"/>
      <c r="T110" s="258"/>
      <c r="U110" s="258"/>
      <c r="V110" s="258"/>
      <c r="W110" s="258"/>
      <c r="X110" s="258"/>
      <c r="Y110" s="258"/>
      <c r="Z110" s="258"/>
      <c r="AA110" s="258"/>
      <c r="AB110" s="258"/>
      <c r="AC110" s="258"/>
      <c r="AD110" s="258"/>
      <c r="AE110" s="258"/>
      <c r="AF110" s="258"/>
      <c r="AG110" s="258"/>
      <c r="AH110" s="258"/>
      <c r="AI110" s="258"/>
      <c r="AJ110" s="258"/>
      <c r="AK110" s="258"/>
      <c r="AL110" s="258"/>
      <c r="AM110" s="258"/>
      <c r="AN110" s="258"/>
      <c r="AO110" s="258"/>
      <c r="AP110" s="258"/>
      <c r="AQ110" s="258"/>
      <c r="AR110" s="258"/>
      <c r="AS110" s="258"/>
      <c r="AT110" s="258"/>
      <c r="AU110" s="258"/>
      <c r="AV110" s="258"/>
      <c r="AW110" s="258"/>
      <c r="AX110" s="258"/>
      <c r="AY110" s="258"/>
    </row>
    <row r="111" spans="1:51" x14ac:dyDescent="0.3">
      <c r="A111" s="258"/>
      <c r="B111" s="258"/>
      <c r="C111" s="258"/>
      <c r="D111" s="258"/>
      <c r="E111" s="258"/>
      <c r="F111" s="258"/>
      <c r="G111" s="258"/>
      <c r="H111" s="258"/>
      <c r="I111" s="258"/>
      <c r="J111" s="258"/>
      <c r="K111" s="258"/>
      <c r="L111" s="258"/>
      <c r="M111" s="258"/>
      <c r="N111" s="258"/>
      <c r="O111" s="258"/>
      <c r="P111" s="258"/>
      <c r="Q111" s="258"/>
      <c r="R111" s="258"/>
      <c r="S111" s="258"/>
      <c r="T111" s="258"/>
      <c r="U111" s="258"/>
      <c r="V111" s="258"/>
      <c r="W111" s="258"/>
      <c r="X111" s="258"/>
      <c r="Y111" s="258"/>
      <c r="Z111" s="258"/>
      <c r="AA111" s="258"/>
      <c r="AB111" s="258"/>
      <c r="AC111" s="258"/>
      <c r="AD111" s="258"/>
      <c r="AE111" s="258"/>
      <c r="AF111" s="258"/>
      <c r="AG111" s="258"/>
      <c r="AH111" s="258"/>
      <c r="AI111" s="258"/>
      <c r="AJ111" s="258"/>
      <c r="AK111" s="258"/>
      <c r="AL111" s="258"/>
      <c r="AM111" s="258"/>
      <c r="AN111" s="258"/>
      <c r="AO111" s="258"/>
      <c r="AP111" s="258"/>
      <c r="AQ111" s="258"/>
      <c r="AR111" s="258"/>
      <c r="AS111" s="258"/>
      <c r="AT111" s="258"/>
      <c r="AU111" s="258"/>
      <c r="AV111" s="258"/>
      <c r="AW111" s="258"/>
      <c r="AX111" s="258"/>
      <c r="AY111" s="258"/>
    </row>
    <row r="112" spans="1:51" x14ac:dyDescent="0.3">
      <c r="A112" s="258"/>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c r="AE112" s="258"/>
      <c r="AF112" s="258"/>
      <c r="AG112" s="258"/>
      <c r="AH112" s="258"/>
      <c r="AI112" s="258"/>
      <c r="AJ112" s="258"/>
      <c r="AK112" s="258"/>
      <c r="AL112" s="258"/>
      <c r="AM112" s="258"/>
      <c r="AN112" s="258"/>
      <c r="AO112" s="258"/>
      <c r="AP112" s="258"/>
      <c r="AQ112" s="258"/>
      <c r="AR112" s="258"/>
      <c r="AS112" s="258"/>
      <c r="AT112" s="258"/>
      <c r="AU112" s="258"/>
      <c r="AV112" s="258"/>
      <c r="AW112" s="258"/>
      <c r="AX112" s="258"/>
      <c r="AY112" s="258"/>
    </row>
    <row r="113" spans="1:51" x14ac:dyDescent="0.3">
      <c r="A113" s="258"/>
      <c r="B113" s="258"/>
      <c r="C113" s="258"/>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c r="AE113" s="258"/>
      <c r="AF113" s="258"/>
      <c r="AG113" s="258"/>
      <c r="AH113" s="258"/>
      <c r="AI113" s="258"/>
      <c r="AJ113" s="258"/>
      <c r="AK113" s="258"/>
      <c r="AL113" s="258"/>
      <c r="AM113" s="258"/>
      <c r="AN113" s="258"/>
      <c r="AO113" s="258"/>
      <c r="AP113" s="258"/>
      <c r="AQ113" s="258"/>
      <c r="AR113" s="258"/>
      <c r="AS113" s="258"/>
      <c r="AT113" s="258"/>
      <c r="AU113" s="258"/>
      <c r="AV113" s="258"/>
      <c r="AW113" s="258"/>
      <c r="AX113" s="258"/>
      <c r="AY113" s="258"/>
    </row>
    <row r="114" spans="1:51" x14ac:dyDescent="0.3">
      <c r="A114" s="258"/>
      <c r="B114" s="258"/>
      <c r="C114" s="258"/>
      <c r="D114" s="258"/>
      <c r="E114" s="258"/>
      <c r="F114" s="258"/>
      <c r="G114" s="258"/>
      <c r="H114" s="258"/>
      <c r="I114" s="258"/>
      <c r="J114" s="258"/>
      <c r="K114" s="258"/>
      <c r="L114" s="258"/>
      <c r="M114" s="258"/>
      <c r="N114" s="258"/>
      <c r="O114" s="258"/>
      <c r="P114" s="258"/>
      <c r="Q114" s="258"/>
      <c r="R114" s="258"/>
      <c r="S114" s="258"/>
      <c r="T114" s="258"/>
      <c r="U114" s="258"/>
      <c r="V114" s="258"/>
      <c r="W114" s="258"/>
      <c r="X114" s="258"/>
      <c r="Y114" s="258"/>
      <c r="Z114" s="258"/>
      <c r="AA114" s="258"/>
      <c r="AB114" s="258"/>
      <c r="AC114" s="258"/>
      <c r="AD114" s="258"/>
      <c r="AE114" s="258"/>
      <c r="AF114" s="258"/>
      <c r="AG114" s="258"/>
      <c r="AH114" s="258"/>
      <c r="AI114" s="258"/>
      <c r="AJ114" s="258"/>
      <c r="AK114" s="258"/>
      <c r="AL114" s="258"/>
      <c r="AM114" s="258"/>
      <c r="AN114" s="258"/>
      <c r="AO114" s="258"/>
      <c r="AP114" s="258"/>
      <c r="AQ114" s="258"/>
      <c r="AR114" s="258"/>
      <c r="AS114" s="258"/>
      <c r="AT114" s="258"/>
      <c r="AU114" s="258"/>
      <c r="AV114" s="258"/>
      <c r="AW114" s="258"/>
      <c r="AX114" s="258"/>
      <c r="AY114" s="258"/>
    </row>
    <row r="115" spans="1:51" x14ac:dyDescent="0.3">
      <c r="A115" s="258"/>
      <c r="B115" s="258"/>
      <c r="C115" s="258"/>
      <c r="D115" s="258"/>
      <c r="E115" s="258"/>
      <c r="F115" s="258"/>
      <c r="G115" s="258"/>
      <c r="H115" s="258"/>
      <c r="I115" s="258"/>
      <c r="J115" s="258"/>
      <c r="K115" s="258"/>
      <c r="L115" s="258"/>
      <c r="M115" s="258"/>
      <c r="N115" s="258"/>
      <c r="O115" s="258"/>
      <c r="P115" s="258"/>
      <c r="Q115" s="258"/>
      <c r="R115" s="258"/>
      <c r="S115" s="258"/>
      <c r="T115" s="258"/>
      <c r="U115" s="258"/>
      <c r="V115" s="258"/>
      <c r="W115" s="258"/>
      <c r="X115" s="258"/>
      <c r="Y115" s="258"/>
      <c r="Z115" s="258"/>
      <c r="AA115" s="258"/>
      <c r="AB115" s="258"/>
      <c r="AC115" s="258"/>
      <c r="AD115" s="258"/>
      <c r="AE115" s="258"/>
      <c r="AF115" s="258"/>
      <c r="AG115" s="258"/>
      <c r="AH115" s="258"/>
      <c r="AI115" s="258"/>
      <c r="AJ115" s="258"/>
      <c r="AK115" s="258"/>
      <c r="AL115" s="258"/>
      <c r="AM115" s="258"/>
      <c r="AN115" s="258"/>
      <c r="AO115" s="258"/>
      <c r="AP115" s="258"/>
      <c r="AQ115" s="258"/>
      <c r="AR115" s="258"/>
      <c r="AS115" s="258"/>
      <c r="AT115" s="258"/>
      <c r="AU115" s="258"/>
      <c r="AV115" s="258"/>
      <c r="AW115" s="258"/>
      <c r="AX115" s="258"/>
      <c r="AY115" s="258"/>
    </row>
    <row r="116" spans="1:51" x14ac:dyDescent="0.3">
      <c r="A116" s="258"/>
      <c r="B116" s="258"/>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c r="AA116" s="258"/>
      <c r="AB116" s="258"/>
      <c r="AC116" s="258"/>
      <c r="AD116" s="258"/>
      <c r="AE116" s="258"/>
      <c r="AF116" s="258"/>
      <c r="AG116" s="258"/>
      <c r="AH116" s="258"/>
      <c r="AI116" s="258"/>
      <c r="AJ116" s="258"/>
      <c r="AK116" s="258"/>
      <c r="AL116" s="258"/>
      <c r="AM116" s="258"/>
      <c r="AN116" s="258"/>
      <c r="AO116" s="258"/>
      <c r="AP116" s="258"/>
      <c r="AQ116" s="258"/>
      <c r="AR116" s="258"/>
      <c r="AS116" s="258"/>
      <c r="AT116" s="258"/>
      <c r="AU116" s="258"/>
      <c r="AV116" s="258"/>
      <c r="AW116" s="258"/>
      <c r="AX116" s="258"/>
      <c r="AY116" s="258"/>
    </row>
    <row r="117" spans="1:51" x14ac:dyDescent="0.3">
      <c r="A117" s="258"/>
      <c r="B117" s="258"/>
      <c r="C117" s="258"/>
      <c r="D117" s="258"/>
      <c r="E117" s="258"/>
      <c r="F117" s="258"/>
      <c r="G117" s="258"/>
      <c r="H117" s="258"/>
      <c r="I117" s="258"/>
      <c r="J117" s="258"/>
      <c r="K117" s="258"/>
      <c r="L117" s="258"/>
      <c r="M117" s="258"/>
      <c r="N117" s="258"/>
      <c r="O117" s="258"/>
      <c r="P117" s="258"/>
      <c r="Q117" s="258"/>
      <c r="R117" s="258"/>
      <c r="S117" s="258"/>
      <c r="T117" s="258"/>
      <c r="U117" s="258"/>
      <c r="V117" s="258"/>
      <c r="W117" s="258"/>
      <c r="X117" s="258"/>
      <c r="Y117" s="258"/>
      <c r="Z117" s="258"/>
      <c r="AA117" s="258"/>
      <c r="AB117" s="258"/>
      <c r="AC117" s="258"/>
      <c r="AD117" s="258"/>
      <c r="AE117" s="258"/>
      <c r="AF117" s="258"/>
      <c r="AG117" s="258"/>
      <c r="AH117" s="258"/>
      <c r="AI117" s="258"/>
      <c r="AJ117" s="258"/>
      <c r="AK117" s="258"/>
      <c r="AL117" s="258"/>
      <c r="AM117" s="258"/>
      <c r="AN117" s="258"/>
      <c r="AO117" s="258"/>
      <c r="AP117" s="258"/>
      <c r="AQ117" s="258"/>
      <c r="AR117" s="258"/>
      <c r="AS117" s="258"/>
      <c r="AT117" s="258"/>
      <c r="AU117" s="258"/>
      <c r="AV117" s="258"/>
      <c r="AW117" s="258"/>
      <c r="AX117" s="258"/>
      <c r="AY117" s="258"/>
    </row>
    <row r="118" spans="1:51" x14ac:dyDescent="0.3">
      <c r="A118" s="258"/>
      <c r="B118" s="258"/>
      <c r="C118" s="258"/>
      <c r="D118" s="258"/>
      <c r="E118" s="258"/>
      <c r="F118" s="258"/>
      <c r="G118" s="258"/>
      <c r="H118" s="258"/>
      <c r="I118" s="258"/>
      <c r="J118" s="258"/>
      <c r="K118" s="258"/>
      <c r="L118" s="258"/>
      <c r="M118" s="258"/>
      <c r="N118" s="258"/>
      <c r="O118" s="258"/>
      <c r="P118" s="258"/>
      <c r="Q118" s="258"/>
      <c r="R118" s="258"/>
      <c r="S118" s="258"/>
      <c r="T118" s="258"/>
      <c r="U118" s="258"/>
      <c r="V118" s="258"/>
      <c r="W118" s="258"/>
      <c r="X118" s="258"/>
      <c r="Y118" s="258"/>
      <c r="Z118" s="258"/>
      <c r="AA118" s="258"/>
      <c r="AB118" s="258"/>
      <c r="AC118" s="258"/>
      <c r="AD118" s="258"/>
      <c r="AE118" s="258"/>
      <c r="AF118" s="258"/>
      <c r="AG118" s="258"/>
      <c r="AH118" s="258"/>
      <c r="AI118" s="258"/>
      <c r="AJ118" s="258"/>
      <c r="AK118" s="258"/>
      <c r="AL118" s="258"/>
      <c r="AM118" s="258"/>
      <c r="AN118" s="258"/>
      <c r="AO118" s="258"/>
      <c r="AP118" s="258"/>
      <c r="AQ118" s="258"/>
      <c r="AR118" s="258"/>
      <c r="AS118" s="258"/>
      <c r="AT118" s="258"/>
      <c r="AU118" s="258"/>
      <c r="AV118" s="258"/>
      <c r="AW118" s="258"/>
      <c r="AX118" s="258"/>
      <c r="AY118" s="258"/>
    </row>
    <row r="119" spans="1:51" x14ac:dyDescent="0.3">
      <c r="A119" s="258"/>
      <c r="B119" s="258"/>
      <c r="C119" s="258"/>
      <c r="D119" s="258"/>
      <c r="E119" s="258"/>
      <c r="F119" s="258"/>
      <c r="G119" s="258"/>
      <c r="H119" s="258"/>
      <c r="I119" s="258"/>
      <c r="J119" s="258"/>
      <c r="K119" s="258"/>
      <c r="L119" s="258"/>
      <c r="M119" s="258"/>
      <c r="N119" s="258"/>
      <c r="O119" s="258"/>
      <c r="P119" s="258"/>
      <c r="Q119" s="258"/>
      <c r="R119" s="258"/>
      <c r="S119" s="258"/>
      <c r="T119" s="258"/>
      <c r="U119" s="258"/>
      <c r="V119" s="258"/>
      <c r="W119" s="258"/>
      <c r="X119" s="258"/>
      <c r="Y119" s="258"/>
      <c r="Z119" s="258"/>
      <c r="AA119" s="258"/>
      <c r="AB119" s="258"/>
      <c r="AC119" s="258"/>
      <c r="AD119" s="258"/>
      <c r="AE119" s="258"/>
      <c r="AF119" s="258"/>
      <c r="AG119" s="258"/>
      <c r="AH119" s="258"/>
      <c r="AI119" s="258"/>
      <c r="AJ119" s="258"/>
      <c r="AK119" s="258"/>
      <c r="AL119" s="258"/>
      <c r="AM119" s="258"/>
      <c r="AN119" s="258"/>
      <c r="AO119" s="258"/>
      <c r="AP119" s="258"/>
      <c r="AQ119" s="258"/>
      <c r="AR119" s="258"/>
      <c r="AS119" s="258"/>
      <c r="AT119" s="258"/>
      <c r="AU119" s="258"/>
      <c r="AV119" s="258"/>
      <c r="AW119" s="258"/>
      <c r="AX119" s="258"/>
      <c r="AY119" s="258"/>
    </row>
    <row r="120" spans="1:51" x14ac:dyDescent="0.3">
      <c r="A120" s="258"/>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c r="AE120" s="258"/>
      <c r="AF120" s="258"/>
      <c r="AG120" s="258"/>
      <c r="AH120" s="258"/>
      <c r="AI120" s="258"/>
      <c r="AJ120" s="258"/>
      <c r="AK120" s="258"/>
      <c r="AL120" s="258"/>
      <c r="AM120" s="258"/>
      <c r="AN120" s="258"/>
      <c r="AO120" s="258"/>
      <c r="AP120" s="258"/>
      <c r="AQ120" s="258"/>
      <c r="AR120" s="258"/>
      <c r="AS120" s="258"/>
      <c r="AT120" s="258"/>
      <c r="AU120" s="258"/>
      <c r="AV120" s="258"/>
      <c r="AW120" s="258"/>
      <c r="AX120" s="258"/>
      <c r="AY120" s="258"/>
    </row>
    <row r="121" spans="1:51" x14ac:dyDescent="0.3">
      <c r="A121" s="258"/>
      <c r="B121" s="258"/>
      <c r="C121" s="258"/>
      <c r="D121" s="258"/>
      <c r="E121" s="258"/>
      <c r="F121" s="258"/>
      <c r="G121" s="258"/>
      <c r="H121" s="258"/>
      <c r="I121" s="258"/>
      <c r="J121" s="258"/>
      <c r="K121" s="258"/>
      <c r="L121" s="258"/>
      <c r="M121" s="258"/>
      <c r="N121" s="258"/>
      <c r="O121" s="258"/>
      <c r="P121" s="258"/>
      <c r="Q121" s="258"/>
      <c r="R121" s="258"/>
      <c r="S121" s="258"/>
      <c r="T121" s="258"/>
      <c r="U121" s="258"/>
      <c r="V121" s="258"/>
      <c r="W121" s="258"/>
      <c r="X121" s="258"/>
      <c r="Y121" s="258"/>
      <c r="Z121" s="258"/>
      <c r="AA121" s="258"/>
      <c r="AB121" s="258"/>
      <c r="AC121" s="258"/>
      <c r="AD121" s="258"/>
      <c r="AE121" s="258"/>
      <c r="AF121" s="258"/>
      <c r="AG121" s="258"/>
      <c r="AH121" s="258"/>
      <c r="AI121" s="258"/>
      <c r="AJ121" s="258"/>
      <c r="AK121" s="258"/>
      <c r="AL121" s="258"/>
      <c r="AM121" s="258"/>
      <c r="AN121" s="258"/>
      <c r="AO121" s="258"/>
      <c r="AP121" s="258"/>
      <c r="AQ121" s="258"/>
      <c r="AR121" s="258"/>
      <c r="AS121" s="258"/>
      <c r="AT121" s="258"/>
      <c r="AU121" s="258"/>
      <c r="AV121" s="258"/>
      <c r="AW121" s="258"/>
      <c r="AX121" s="258"/>
      <c r="AY121" s="258"/>
    </row>
    <row r="122" spans="1:51" x14ac:dyDescent="0.3">
      <c r="A122" s="258"/>
      <c r="B122" s="258"/>
      <c r="C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c r="AA122" s="258"/>
      <c r="AB122" s="258"/>
      <c r="AC122" s="258"/>
      <c r="AD122" s="258"/>
      <c r="AE122" s="258"/>
      <c r="AF122" s="258"/>
      <c r="AG122" s="258"/>
      <c r="AH122" s="258"/>
      <c r="AI122" s="258"/>
      <c r="AJ122" s="258"/>
      <c r="AK122" s="258"/>
      <c r="AL122" s="258"/>
      <c r="AM122" s="258"/>
      <c r="AN122" s="258"/>
      <c r="AO122" s="258"/>
      <c r="AP122" s="258"/>
      <c r="AQ122" s="258"/>
      <c r="AR122" s="258"/>
      <c r="AS122" s="258"/>
      <c r="AT122" s="258"/>
      <c r="AU122" s="258"/>
      <c r="AV122" s="258"/>
      <c r="AW122" s="258"/>
      <c r="AX122" s="258"/>
      <c r="AY122" s="258"/>
    </row>
    <row r="123" spans="1:51" x14ac:dyDescent="0.3">
      <c r="A123" s="258"/>
      <c r="B123" s="258"/>
      <c r="C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c r="AA123" s="258"/>
      <c r="AB123" s="258"/>
      <c r="AC123" s="258"/>
      <c r="AD123" s="258"/>
      <c r="AE123" s="258"/>
      <c r="AF123" s="258"/>
      <c r="AG123" s="258"/>
      <c r="AH123" s="258"/>
      <c r="AI123" s="258"/>
      <c r="AJ123" s="258"/>
      <c r="AK123" s="258"/>
      <c r="AL123" s="258"/>
      <c r="AM123" s="258"/>
      <c r="AN123" s="258"/>
      <c r="AO123" s="258"/>
      <c r="AP123" s="258"/>
      <c r="AQ123" s="258"/>
      <c r="AR123" s="258"/>
      <c r="AS123" s="258"/>
      <c r="AT123" s="258"/>
      <c r="AU123" s="258"/>
      <c r="AV123" s="258"/>
      <c r="AW123" s="258"/>
      <c r="AX123" s="258"/>
      <c r="AY123" s="258"/>
    </row>
    <row r="124" spans="1:51" x14ac:dyDescent="0.3">
      <c r="A124" s="258"/>
      <c r="B124" s="258"/>
      <c r="C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c r="AA124" s="258"/>
      <c r="AB124" s="258"/>
      <c r="AC124" s="258"/>
      <c r="AD124" s="258"/>
      <c r="AE124" s="258"/>
      <c r="AF124" s="258"/>
      <c r="AG124" s="258"/>
      <c r="AH124" s="258"/>
      <c r="AI124" s="258"/>
      <c r="AJ124" s="258"/>
      <c r="AK124" s="258"/>
      <c r="AL124" s="258"/>
      <c r="AM124" s="258"/>
      <c r="AN124" s="258"/>
      <c r="AO124" s="258"/>
      <c r="AP124" s="258"/>
      <c r="AQ124" s="258"/>
      <c r="AR124" s="258"/>
      <c r="AS124" s="258"/>
      <c r="AT124" s="258"/>
      <c r="AU124" s="258"/>
      <c r="AV124" s="258"/>
      <c r="AW124" s="258"/>
      <c r="AX124" s="258"/>
      <c r="AY124" s="258"/>
    </row>
    <row r="125" spans="1:51" x14ac:dyDescent="0.3">
      <c r="A125" s="258"/>
      <c r="B125" s="258"/>
      <c r="C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c r="AA125" s="258"/>
      <c r="AB125" s="258"/>
      <c r="AC125" s="258"/>
      <c r="AD125" s="258"/>
      <c r="AE125" s="258"/>
      <c r="AF125" s="258"/>
      <c r="AG125" s="258"/>
      <c r="AH125" s="258"/>
      <c r="AI125" s="258"/>
      <c r="AJ125" s="258"/>
      <c r="AK125" s="258"/>
      <c r="AL125" s="258"/>
      <c r="AM125" s="258"/>
      <c r="AN125" s="258"/>
      <c r="AO125" s="258"/>
      <c r="AP125" s="258"/>
      <c r="AQ125" s="258"/>
      <c r="AR125" s="258"/>
      <c r="AS125" s="258"/>
      <c r="AT125" s="258"/>
      <c r="AU125" s="258"/>
      <c r="AV125" s="258"/>
      <c r="AW125" s="258"/>
      <c r="AX125" s="258"/>
      <c r="AY125" s="258"/>
    </row>
    <row r="126" spans="1:51" x14ac:dyDescent="0.3">
      <c r="A126" s="258"/>
      <c r="B126" s="258"/>
      <c r="C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c r="AA126" s="258"/>
      <c r="AB126" s="258"/>
      <c r="AC126" s="258"/>
      <c r="AD126" s="258"/>
      <c r="AE126" s="258"/>
      <c r="AF126" s="258"/>
      <c r="AG126" s="258"/>
      <c r="AH126" s="258"/>
      <c r="AI126" s="258"/>
      <c r="AJ126" s="258"/>
      <c r="AK126" s="258"/>
      <c r="AL126" s="258"/>
      <c r="AM126" s="258"/>
      <c r="AN126" s="258"/>
      <c r="AO126" s="258"/>
      <c r="AP126" s="258"/>
      <c r="AQ126" s="258"/>
      <c r="AR126" s="258"/>
      <c r="AS126" s="258"/>
      <c r="AT126" s="258"/>
      <c r="AU126" s="258"/>
      <c r="AV126" s="258"/>
      <c r="AW126" s="258"/>
      <c r="AX126" s="258"/>
      <c r="AY126" s="258"/>
    </row>
    <row r="127" spans="1:51" x14ac:dyDescent="0.3">
      <c r="A127" s="258"/>
      <c r="B127" s="258"/>
      <c r="C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c r="AA127" s="258"/>
      <c r="AB127" s="258"/>
      <c r="AC127" s="258"/>
      <c r="AD127" s="258"/>
      <c r="AE127" s="258"/>
      <c r="AF127" s="258"/>
      <c r="AG127" s="258"/>
      <c r="AH127" s="258"/>
      <c r="AI127" s="258"/>
      <c r="AJ127" s="258"/>
      <c r="AK127" s="258"/>
      <c r="AL127" s="258"/>
      <c r="AM127" s="258"/>
      <c r="AN127" s="258"/>
      <c r="AO127" s="258"/>
      <c r="AP127" s="258"/>
      <c r="AQ127" s="258"/>
      <c r="AR127" s="258"/>
      <c r="AS127" s="258"/>
      <c r="AT127" s="258"/>
      <c r="AU127" s="258"/>
      <c r="AV127" s="258"/>
      <c r="AW127" s="258"/>
      <c r="AX127" s="258"/>
      <c r="AY127" s="258"/>
    </row>
    <row r="128" spans="1:51" x14ac:dyDescent="0.3">
      <c r="A128" s="258"/>
      <c r="B128" s="258"/>
      <c r="C128" s="258"/>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c r="AA128" s="258"/>
      <c r="AB128" s="258"/>
      <c r="AC128" s="258"/>
      <c r="AD128" s="258"/>
      <c r="AE128" s="258"/>
      <c r="AF128" s="258"/>
      <c r="AG128" s="258"/>
      <c r="AH128" s="258"/>
      <c r="AI128" s="258"/>
      <c r="AJ128" s="258"/>
      <c r="AK128" s="258"/>
      <c r="AL128" s="258"/>
      <c r="AM128" s="258"/>
      <c r="AN128" s="258"/>
      <c r="AO128" s="258"/>
      <c r="AP128" s="258"/>
      <c r="AQ128" s="258"/>
      <c r="AR128" s="258"/>
      <c r="AS128" s="258"/>
      <c r="AT128" s="258"/>
      <c r="AU128" s="258"/>
      <c r="AV128" s="258"/>
      <c r="AW128" s="258"/>
      <c r="AX128" s="258"/>
      <c r="AY128" s="258"/>
    </row>
    <row r="129" spans="1:51" x14ac:dyDescent="0.3">
      <c r="A129" s="258"/>
      <c r="B129" s="258"/>
      <c r="C129" s="258"/>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c r="AA129" s="258"/>
      <c r="AB129" s="258"/>
      <c r="AC129" s="258"/>
      <c r="AD129" s="258"/>
      <c r="AE129" s="258"/>
      <c r="AF129" s="258"/>
      <c r="AG129" s="258"/>
      <c r="AH129" s="258"/>
      <c r="AI129" s="258"/>
      <c r="AJ129" s="258"/>
      <c r="AK129" s="258"/>
      <c r="AL129" s="258"/>
      <c r="AM129" s="258"/>
      <c r="AN129" s="258"/>
      <c r="AO129" s="258"/>
      <c r="AP129" s="258"/>
      <c r="AQ129" s="258"/>
      <c r="AR129" s="258"/>
      <c r="AS129" s="258"/>
      <c r="AT129" s="258"/>
      <c r="AU129" s="258"/>
      <c r="AV129" s="258"/>
      <c r="AW129" s="258"/>
      <c r="AX129" s="258"/>
      <c r="AY129" s="258"/>
    </row>
    <row r="130" spans="1:51" x14ac:dyDescent="0.3">
      <c r="A130" s="258"/>
      <c r="B130" s="258"/>
      <c r="C130" s="258"/>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c r="AA130" s="258"/>
      <c r="AB130" s="258"/>
      <c r="AC130" s="258"/>
      <c r="AD130" s="258"/>
      <c r="AE130" s="258"/>
      <c r="AF130" s="258"/>
      <c r="AG130" s="258"/>
      <c r="AH130" s="258"/>
      <c r="AI130" s="258"/>
      <c r="AJ130" s="258"/>
      <c r="AK130" s="258"/>
      <c r="AL130" s="258"/>
      <c r="AM130" s="258"/>
      <c r="AN130" s="258"/>
      <c r="AO130" s="258"/>
      <c r="AP130" s="258"/>
      <c r="AQ130" s="258"/>
      <c r="AR130" s="258"/>
      <c r="AS130" s="258"/>
      <c r="AT130" s="258"/>
      <c r="AU130" s="258"/>
      <c r="AV130" s="258"/>
      <c r="AW130" s="258"/>
      <c r="AX130" s="258"/>
      <c r="AY130" s="258"/>
    </row>
    <row r="131" spans="1:51" x14ac:dyDescent="0.3">
      <c r="A131" s="258"/>
      <c r="B131" s="258"/>
      <c r="C131" s="258"/>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c r="AA131" s="258"/>
      <c r="AB131" s="258"/>
      <c r="AC131" s="258"/>
      <c r="AD131" s="258"/>
      <c r="AE131" s="258"/>
      <c r="AF131" s="258"/>
      <c r="AG131" s="258"/>
      <c r="AH131" s="258"/>
      <c r="AI131" s="258"/>
      <c r="AJ131" s="258"/>
      <c r="AK131" s="258"/>
      <c r="AL131" s="258"/>
      <c r="AM131" s="258"/>
      <c r="AN131" s="258"/>
      <c r="AO131" s="258"/>
      <c r="AP131" s="258"/>
      <c r="AQ131" s="258"/>
      <c r="AR131" s="258"/>
      <c r="AS131" s="258"/>
      <c r="AT131" s="258"/>
      <c r="AU131" s="258"/>
      <c r="AV131" s="258"/>
      <c r="AW131" s="258"/>
      <c r="AX131" s="258"/>
      <c r="AY131" s="258"/>
    </row>
    <row r="132" spans="1:51" x14ac:dyDescent="0.3">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258"/>
      <c r="AK132" s="258"/>
      <c r="AL132" s="258"/>
      <c r="AM132" s="258"/>
      <c r="AN132" s="258"/>
      <c r="AO132" s="258"/>
      <c r="AP132" s="258"/>
      <c r="AQ132" s="258"/>
      <c r="AR132" s="258"/>
      <c r="AS132" s="258"/>
      <c r="AT132" s="258"/>
      <c r="AU132" s="258"/>
      <c r="AV132" s="258"/>
      <c r="AW132" s="258"/>
      <c r="AX132" s="258"/>
      <c r="AY132" s="258"/>
    </row>
    <row r="133" spans="1:51" x14ac:dyDescent="0.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c r="AE133" s="258"/>
      <c r="AF133" s="258"/>
      <c r="AG133" s="258"/>
      <c r="AH133" s="258"/>
      <c r="AI133" s="258"/>
      <c r="AJ133" s="258"/>
      <c r="AK133" s="258"/>
      <c r="AL133" s="258"/>
      <c r="AM133" s="258"/>
      <c r="AN133" s="258"/>
      <c r="AO133" s="258"/>
      <c r="AP133" s="258"/>
      <c r="AQ133" s="258"/>
      <c r="AR133" s="258"/>
      <c r="AS133" s="258"/>
      <c r="AT133" s="258"/>
      <c r="AU133" s="258"/>
      <c r="AV133" s="258"/>
      <c r="AW133" s="258"/>
      <c r="AX133" s="258"/>
      <c r="AY133" s="258"/>
    </row>
    <row r="134" spans="1:51" x14ac:dyDescent="0.3">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c r="AE134" s="258"/>
      <c r="AF134" s="258"/>
      <c r="AG134" s="258"/>
      <c r="AH134" s="258"/>
      <c r="AI134" s="258"/>
      <c r="AJ134" s="258"/>
      <c r="AK134" s="258"/>
      <c r="AL134" s="258"/>
      <c r="AM134" s="258"/>
      <c r="AN134" s="258"/>
      <c r="AO134" s="258"/>
      <c r="AP134" s="258"/>
      <c r="AQ134" s="258"/>
      <c r="AR134" s="258"/>
      <c r="AS134" s="258"/>
      <c r="AT134" s="258"/>
      <c r="AU134" s="258"/>
      <c r="AV134" s="258"/>
      <c r="AW134" s="258"/>
      <c r="AX134" s="258"/>
      <c r="AY134" s="258"/>
    </row>
    <row r="135" spans="1:51" x14ac:dyDescent="0.3">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c r="AE135" s="258"/>
      <c r="AF135" s="258"/>
      <c r="AG135" s="258"/>
      <c r="AH135" s="258"/>
      <c r="AI135" s="258"/>
      <c r="AJ135" s="258"/>
      <c r="AK135" s="258"/>
      <c r="AL135" s="258"/>
      <c r="AM135" s="258"/>
      <c r="AN135" s="258"/>
      <c r="AO135" s="258"/>
      <c r="AP135" s="258"/>
      <c r="AQ135" s="258"/>
      <c r="AR135" s="258"/>
      <c r="AS135" s="258"/>
      <c r="AT135" s="258"/>
      <c r="AU135" s="258"/>
      <c r="AV135" s="258"/>
      <c r="AW135" s="258"/>
      <c r="AX135" s="258"/>
      <c r="AY135" s="258"/>
    </row>
    <row r="136" spans="1:51" x14ac:dyDescent="0.3">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c r="AE136" s="258"/>
      <c r="AF136" s="258"/>
      <c r="AG136" s="258"/>
      <c r="AH136" s="258"/>
      <c r="AI136" s="258"/>
      <c r="AJ136" s="258"/>
      <c r="AK136" s="258"/>
      <c r="AL136" s="258"/>
      <c r="AM136" s="258"/>
      <c r="AN136" s="258"/>
      <c r="AO136" s="258"/>
      <c r="AP136" s="258"/>
      <c r="AQ136" s="258"/>
      <c r="AR136" s="258"/>
      <c r="AS136" s="258"/>
      <c r="AT136" s="258"/>
      <c r="AU136" s="258"/>
      <c r="AV136" s="258"/>
      <c r="AW136" s="258"/>
      <c r="AX136" s="258"/>
      <c r="AY136" s="258"/>
    </row>
    <row r="137" spans="1:51" x14ac:dyDescent="0.3">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c r="AE137" s="258"/>
      <c r="AF137" s="258"/>
      <c r="AG137" s="258"/>
      <c r="AH137" s="258"/>
      <c r="AI137" s="258"/>
      <c r="AJ137" s="258"/>
      <c r="AK137" s="258"/>
      <c r="AL137" s="258"/>
      <c r="AM137" s="258"/>
      <c r="AN137" s="258"/>
      <c r="AO137" s="258"/>
      <c r="AP137" s="258"/>
      <c r="AQ137" s="258"/>
      <c r="AR137" s="258"/>
      <c r="AS137" s="258"/>
      <c r="AT137" s="258"/>
      <c r="AU137" s="258"/>
      <c r="AV137" s="258"/>
      <c r="AW137" s="258"/>
      <c r="AX137" s="258"/>
      <c r="AY137" s="258"/>
    </row>
    <row r="138" spans="1:51" x14ac:dyDescent="0.3">
      <c r="A138" s="258"/>
      <c r="B138" s="258"/>
      <c r="C138" s="258"/>
      <c r="D138" s="258"/>
      <c r="E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c r="AE138" s="258"/>
      <c r="AF138" s="258"/>
      <c r="AG138" s="258"/>
      <c r="AH138" s="258"/>
      <c r="AI138" s="258"/>
      <c r="AJ138" s="258"/>
      <c r="AK138" s="258"/>
      <c r="AL138" s="258"/>
      <c r="AM138" s="258"/>
      <c r="AN138" s="258"/>
      <c r="AO138" s="258"/>
      <c r="AP138" s="258"/>
      <c r="AQ138" s="258"/>
      <c r="AR138" s="258"/>
      <c r="AS138" s="258"/>
      <c r="AT138" s="258"/>
      <c r="AU138" s="258"/>
      <c r="AV138" s="258"/>
      <c r="AW138" s="258"/>
      <c r="AX138" s="258"/>
      <c r="AY138" s="258"/>
    </row>
    <row r="139" spans="1:51" x14ac:dyDescent="0.3">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c r="AE139" s="258"/>
      <c r="AF139" s="258"/>
      <c r="AG139" s="258"/>
      <c r="AH139" s="258"/>
      <c r="AI139" s="258"/>
      <c r="AJ139" s="258"/>
      <c r="AK139" s="258"/>
      <c r="AL139" s="258"/>
      <c r="AM139" s="258"/>
      <c r="AN139" s="258"/>
      <c r="AO139" s="258"/>
      <c r="AP139" s="258"/>
      <c r="AQ139" s="258"/>
      <c r="AR139" s="258"/>
      <c r="AS139" s="258"/>
      <c r="AT139" s="258"/>
      <c r="AU139" s="258"/>
      <c r="AV139" s="258"/>
      <c r="AW139" s="258"/>
      <c r="AX139" s="258"/>
      <c r="AY139" s="258"/>
    </row>
    <row r="140" spans="1:51" x14ac:dyDescent="0.3">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c r="AE140" s="258"/>
      <c r="AF140" s="258"/>
      <c r="AG140" s="258"/>
      <c r="AH140" s="258"/>
      <c r="AI140" s="258"/>
      <c r="AJ140" s="258"/>
      <c r="AK140" s="258"/>
      <c r="AL140" s="258"/>
      <c r="AM140" s="258"/>
      <c r="AN140" s="258"/>
      <c r="AO140" s="258"/>
      <c r="AP140" s="258"/>
      <c r="AQ140" s="258"/>
      <c r="AR140" s="258"/>
      <c r="AS140" s="258"/>
      <c r="AT140" s="258"/>
      <c r="AU140" s="258"/>
      <c r="AV140" s="258"/>
      <c r="AW140" s="258"/>
      <c r="AX140" s="258"/>
      <c r="AY140" s="258"/>
    </row>
    <row r="141" spans="1:51" x14ac:dyDescent="0.3">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c r="AA141" s="258"/>
      <c r="AB141" s="258"/>
      <c r="AC141" s="258"/>
      <c r="AD141" s="258"/>
      <c r="AE141" s="258"/>
      <c r="AF141" s="258"/>
      <c r="AG141" s="258"/>
      <c r="AH141" s="258"/>
      <c r="AI141" s="258"/>
      <c r="AJ141" s="258"/>
      <c r="AK141" s="258"/>
      <c r="AL141" s="258"/>
      <c r="AM141" s="258"/>
      <c r="AN141" s="258"/>
      <c r="AO141" s="258"/>
      <c r="AP141" s="258"/>
      <c r="AQ141" s="258"/>
      <c r="AR141" s="258"/>
      <c r="AS141" s="258"/>
      <c r="AT141" s="258"/>
      <c r="AU141" s="258"/>
      <c r="AV141" s="258"/>
      <c r="AW141" s="258"/>
      <c r="AX141" s="258"/>
      <c r="AY141" s="258"/>
    </row>
    <row r="142" spans="1:51" x14ac:dyDescent="0.3">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c r="AA142" s="258"/>
      <c r="AB142" s="258"/>
      <c r="AC142" s="258"/>
      <c r="AD142" s="258"/>
      <c r="AE142" s="258"/>
      <c r="AF142" s="258"/>
      <c r="AG142" s="258"/>
      <c r="AH142" s="258"/>
      <c r="AI142" s="258"/>
      <c r="AJ142" s="258"/>
      <c r="AK142" s="258"/>
      <c r="AL142" s="258"/>
      <c r="AM142" s="258"/>
      <c r="AN142" s="258"/>
      <c r="AO142" s="258"/>
      <c r="AP142" s="258"/>
      <c r="AQ142" s="258"/>
      <c r="AR142" s="258"/>
      <c r="AS142" s="258"/>
      <c r="AT142" s="258"/>
      <c r="AU142" s="258"/>
      <c r="AV142" s="258"/>
      <c r="AW142" s="258"/>
      <c r="AX142" s="258"/>
      <c r="AY142" s="258"/>
    </row>
    <row r="143" spans="1:51" x14ac:dyDescent="0.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c r="AA143" s="258"/>
      <c r="AB143" s="258"/>
      <c r="AC143" s="258"/>
      <c r="AD143" s="258"/>
      <c r="AE143" s="258"/>
      <c r="AF143" s="258"/>
      <c r="AG143" s="258"/>
      <c r="AH143" s="258"/>
      <c r="AI143" s="258"/>
      <c r="AJ143" s="258"/>
      <c r="AK143" s="258"/>
      <c r="AL143" s="258"/>
      <c r="AM143" s="258"/>
      <c r="AN143" s="258"/>
      <c r="AO143" s="258"/>
      <c r="AP143" s="258"/>
      <c r="AQ143" s="258"/>
      <c r="AR143" s="258"/>
      <c r="AS143" s="258"/>
      <c r="AT143" s="258"/>
      <c r="AU143" s="258"/>
      <c r="AV143" s="258"/>
      <c r="AW143" s="258"/>
      <c r="AX143" s="258"/>
      <c r="AY143" s="258"/>
    </row>
    <row r="144" spans="1:51" x14ac:dyDescent="0.3">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c r="AA144" s="258"/>
      <c r="AB144" s="258"/>
      <c r="AC144" s="258"/>
      <c r="AD144" s="258"/>
      <c r="AE144" s="258"/>
      <c r="AF144" s="258"/>
      <c r="AG144" s="258"/>
      <c r="AH144" s="258"/>
      <c r="AI144" s="258"/>
      <c r="AJ144" s="258"/>
      <c r="AK144" s="258"/>
      <c r="AL144" s="258"/>
      <c r="AM144" s="258"/>
      <c r="AN144" s="258"/>
      <c r="AO144" s="258"/>
      <c r="AP144" s="258"/>
      <c r="AQ144" s="258"/>
      <c r="AR144" s="258"/>
      <c r="AS144" s="258"/>
      <c r="AT144" s="258"/>
      <c r="AU144" s="258"/>
      <c r="AV144" s="258"/>
      <c r="AW144" s="258"/>
      <c r="AX144" s="258"/>
      <c r="AY144" s="258"/>
    </row>
    <row r="145" spans="1:51" x14ac:dyDescent="0.3">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c r="AA145" s="258"/>
      <c r="AB145" s="258"/>
      <c r="AC145" s="258"/>
      <c r="AD145" s="258"/>
      <c r="AE145" s="258"/>
      <c r="AF145" s="258"/>
      <c r="AG145" s="258"/>
      <c r="AH145" s="258"/>
      <c r="AI145" s="258"/>
      <c r="AJ145" s="258"/>
      <c r="AK145" s="258"/>
      <c r="AL145" s="258"/>
      <c r="AM145" s="258"/>
      <c r="AN145" s="258"/>
      <c r="AO145" s="258"/>
      <c r="AP145" s="258"/>
      <c r="AQ145" s="258"/>
      <c r="AR145" s="258"/>
      <c r="AS145" s="258"/>
      <c r="AT145" s="258"/>
      <c r="AU145" s="258"/>
      <c r="AV145" s="258"/>
      <c r="AW145" s="258"/>
      <c r="AX145" s="258"/>
      <c r="AY145" s="258"/>
    </row>
    <row r="146" spans="1:51" x14ac:dyDescent="0.3">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c r="AA146" s="258"/>
      <c r="AB146" s="258"/>
      <c r="AC146" s="258"/>
      <c r="AD146" s="258"/>
      <c r="AE146" s="258"/>
      <c r="AF146" s="258"/>
      <c r="AG146" s="258"/>
      <c r="AH146" s="258"/>
      <c r="AI146" s="258"/>
      <c r="AJ146" s="258"/>
      <c r="AK146" s="258"/>
      <c r="AL146" s="258"/>
      <c r="AM146" s="258"/>
      <c r="AN146" s="258"/>
      <c r="AO146" s="258"/>
      <c r="AP146" s="258"/>
      <c r="AQ146" s="258"/>
      <c r="AR146" s="258"/>
      <c r="AS146" s="258"/>
      <c r="AT146" s="258"/>
      <c r="AU146" s="258"/>
      <c r="AV146" s="258"/>
      <c r="AW146" s="258"/>
      <c r="AX146" s="258"/>
      <c r="AY146" s="258"/>
    </row>
    <row r="147" spans="1:51" x14ac:dyDescent="0.3">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c r="AA147" s="258"/>
      <c r="AB147" s="258"/>
      <c r="AC147" s="258"/>
      <c r="AD147" s="258"/>
      <c r="AE147" s="258"/>
      <c r="AF147" s="258"/>
      <c r="AG147" s="258"/>
      <c r="AH147" s="258"/>
      <c r="AI147" s="258"/>
      <c r="AJ147" s="258"/>
      <c r="AK147" s="258"/>
      <c r="AL147" s="258"/>
      <c r="AM147" s="258"/>
      <c r="AN147" s="258"/>
      <c r="AO147" s="258"/>
      <c r="AP147" s="258"/>
      <c r="AQ147" s="258"/>
      <c r="AR147" s="258"/>
      <c r="AS147" s="258"/>
      <c r="AT147" s="258"/>
      <c r="AU147" s="258"/>
      <c r="AV147" s="258"/>
      <c r="AW147" s="258"/>
      <c r="AX147" s="258"/>
      <c r="AY147" s="258"/>
    </row>
    <row r="148" spans="1:51" x14ac:dyDescent="0.3">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c r="AA148" s="258"/>
      <c r="AB148" s="258"/>
      <c r="AC148" s="258"/>
      <c r="AD148" s="258"/>
      <c r="AE148" s="258"/>
      <c r="AF148" s="258"/>
      <c r="AG148" s="258"/>
      <c r="AH148" s="258"/>
      <c r="AI148" s="258"/>
      <c r="AJ148" s="258"/>
      <c r="AK148" s="258"/>
      <c r="AL148" s="258"/>
      <c r="AM148" s="258"/>
      <c r="AN148" s="258"/>
      <c r="AO148" s="258"/>
      <c r="AP148" s="258"/>
      <c r="AQ148" s="258"/>
      <c r="AR148" s="258"/>
      <c r="AS148" s="258"/>
      <c r="AT148" s="258"/>
      <c r="AU148" s="258"/>
      <c r="AV148" s="258"/>
      <c r="AW148" s="258"/>
      <c r="AX148" s="258"/>
      <c r="AY148" s="258"/>
    </row>
    <row r="149" spans="1:51" x14ac:dyDescent="0.3">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c r="AA149" s="258"/>
      <c r="AB149" s="258"/>
      <c r="AC149" s="258"/>
      <c r="AD149" s="258"/>
      <c r="AE149" s="258"/>
      <c r="AF149" s="258"/>
      <c r="AG149" s="258"/>
      <c r="AH149" s="258"/>
      <c r="AI149" s="258"/>
      <c r="AJ149" s="258"/>
      <c r="AK149" s="258"/>
      <c r="AL149" s="258"/>
      <c r="AM149" s="258"/>
      <c r="AN149" s="258"/>
      <c r="AO149" s="258"/>
      <c r="AP149" s="258"/>
      <c r="AQ149" s="258"/>
      <c r="AR149" s="258"/>
      <c r="AS149" s="258"/>
      <c r="AT149" s="258"/>
      <c r="AU149" s="258"/>
      <c r="AV149" s="258"/>
      <c r="AW149" s="258"/>
      <c r="AX149" s="258"/>
      <c r="AY149" s="258"/>
    </row>
    <row r="150" spans="1:51" x14ac:dyDescent="0.3">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c r="AA150" s="258"/>
      <c r="AB150" s="258"/>
      <c r="AC150" s="258"/>
      <c r="AD150" s="258"/>
      <c r="AE150" s="258"/>
      <c r="AF150" s="258"/>
      <c r="AG150" s="258"/>
      <c r="AH150" s="258"/>
      <c r="AI150" s="258"/>
      <c r="AJ150" s="258"/>
      <c r="AK150" s="258"/>
      <c r="AL150" s="258"/>
      <c r="AM150" s="258"/>
      <c r="AN150" s="258"/>
      <c r="AO150" s="258"/>
      <c r="AP150" s="258"/>
      <c r="AQ150" s="258"/>
      <c r="AR150" s="258"/>
      <c r="AS150" s="258"/>
      <c r="AT150" s="258"/>
      <c r="AU150" s="258"/>
      <c r="AV150" s="258"/>
      <c r="AW150" s="258"/>
      <c r="AX150" s="258"/>
      <c r="AY150" s="258"/>
    </row>
    <row r="151" spans="1:51" x14ac:dyDescent="0.3">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c r="AA151" s="258"/>
      <c r="AB151" s="258"/>
      <c r="AC151" s="258"/>
      <c r="AD151" s="258"/>
      <c r="AE151" s="258"/>
      <c r="AF151" s="258"/>
      <c r="AG151" s="258"/>
      <c r="AH151" s="258"/>
      <c r="AI151" s="258"/>
      <c r="AJ151" s="258"/>
      <c r="AK151" s="258"/>
      <c r="AL151" s="258"/>
      <c r="AM151" s="258"/>
      <c r="AN151" s="258"/>
      <c r="AO151" s="258"/>
      <c r="AP151" s="258"/>
      <c r="AQ151" s="258"/>
      <c r="AR151" s="258"/>
      <c r="AS151" s="258"/>
      <c r="AT151" s="258"/>
      <c r="AU151" s="258"/>
      <c r="AV151" s="258"/>
      <c r="AW151" s="258"/>
      <c r="AX151" s="258"/>
      <c r="AY151" s="258"/>
    </row>
    <row r="152" spans="1:51" x14ac:dyDescent="0.3">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c r="AA152" s="258"/>
      <c r="AB152" s="258"/>
      <c r="AC152" s="258"/>
      <c r="AD152" s="258"/>
      <c r="AE152" s="258"/>
      <c r="AF152" s="258"/>
      <c r="AG152" s="258"/>
      <c r="AH152" s="258"/>
      <c r="AI152" s="258"/>
      <c r="AJ152" s="258"/>
      <c r="AK152" s="258"/>
      <c r="AL152" s="258"/>
      <c r="AM152" s="258"/>
      <c r="AN152" s="258"/>
      <c r="AO152" s="258"/>
      <c r="AP152" s="258"/>
      <c r="AQ152" s="258"/>
      <c r="AR152" s="258"/>
      <c r="AS152" s="258"/>
      <c r="AT152" s="258"/>
      <c r="AU152" s="258"/>
      <c r="AV152" s="258"/>
      <c r="AW152" s="258"/>
      <c r="AX152" s="258"/>
      <c r="AY152" s="258"/>
    </row>
    <row r="153" spans="1:51" x14ac:dyDescent="0.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c r="AA153" s="258"/>
      <c r="AB153" s="258"/>
      <c r="AC153" s="258"/>
      <c r="AD153" s="258"/>
      <c r="AE153" s="258"/>
      <c r="AF153" s="258"/>
      <c r="AG153" s="258"/>
      <c r="AH153" s="258"/>
      <c r="AI153" s="258"/>
      <c r="AJ153" s="258"/>
      <c r="AK153" s="258"/>
      <c r="AL153" s="258"/>
      <c r="AM153" s="258"/>
      <c r="AN153" s="258"/>
      <c r="AO153" s="258"/>
      <c r="AP153" s="258"/>
      <c r="AQ153" s="258"/>
      <c r="AR153" s="258"/>
      <c r="AS153" s="258"/>
      <c r="AT153" s="258"/>
      <c r="AU153" s="258"/>
      <c r="AV153" s="258"/>
      <c r="AW153" s="258"/>
      <c r="AX153" s="258"/>
      <c r="AY153" s="258"/>
    </row>
    <row r="154" spans="1:51" x14ac:dyDescent="0.3">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c r="AA154" s="258"/>
      <c r="AB154" s="258"/>
      <c r="AC154" s="258"/>
      <c r="AD154" s="258"/>
      <c r="AE154" s="258"/>
      <c r="AF154" s="258"/>
      <c r="AG154" s="258"/>
      <c r="AH154" s="258"/>
      <c r="AI154" s="258"/>
      <c r="AJ154" s="258"/>
      <c r="AK154" s="258"/>
      <c r="AL154" s="258"/>
      <c r="AM154" s="258"/>
      <c r="AN154" s="258"/>
      <c r="AO154" s="258"/>
      <c r="AP154" s="258"/>
      <c r="AQ154" s="258"/>
      <c r="AR154" s="258"/>
      <c r="AS154" s="258"/>
      <c r="AT154" s="258"/>
      <c r="AU154" s="258"/>
      <c r="AV154" s="258"/>
      <c r="AW154" s="258"/>
      <c r="AX154" s="258"/>
      <c r="AY154" s="258"/>
    </row>
    <row r="155" spans="1:51" x14ac:dyDescent="0.3">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c r="AA155" s="258"/>
      <c r="AB155" s="258"/>
      <c r="AC155" s="258"/>
      <c r="AD155" s="258"/>
      <c r="AE155" s="258"/>
      <c r="AF155" s="258"/>
      <c r="AG155" s="258"/>
      <c r="AH155" s="258"/>
      <c r="AI155" s="258"/>
      <c r="AJ155" s="258"/>
      <c r="AK155" s="258"/>
      <c r="AL155" s="258"/>
      <c r="AM155" s="258"/>
      <c r="AN155" s="258"/>
      <c r="AO155" s="258"/>
      <c r="AP155" s="258"/>
      <c r="AQ155" s="258"/>
      <c r="AR155" s="258"/>
      <c r="AS155" s="258"/>
      <c r="AT155" s="258"/>
      <c r="AU155" s="258"/>
      <c r="AV155" s="258"/>
      <c r="AW155" s="258"/>
      <c r="AX155" s="258"/>
      <c r="AY155" s="258"/>
    </row>
    <row r="156" spans="1:51" x14ac:dyDescent="0.3">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c r="AA156" s="258"/>
      <c r="AB156" s="258"/>
      <c r="AC156" s="258"/>
      <c r="AD156" s="258"/>
      <c r="AE156" s="258"/>
      <c r="AF156" s="258"/>
      <c r="AG156" s="258"/>
      <c r="AH156" s="258"/>
      <c r="AI156" s="258"/>
      <c r="AJ156" s="258"/>
      <c r="AK156" s="258"/>
      <c r="AL156" s="258"/>
      <c r="AM156" s="258"/>
      <c r="AN156" s="258"/>
      <c r="AO156" s="258"/>
      <c r="AP156" s="258"/>
      <c r="AQ156" s="258"/>
      <c r="AR156" s="258"/>
      <c r="AS156" s="258"/>
      <c r="AT156" s="258"/>
      <c r="AU156" s="258"/>
      <c r="AV156" s="258"/>
      <c r="AW156" s="258"/>
      <c r="AX156" s="258"/>
      <c r="AY156" s="258"/>
    </row>
    <row r="157" spans="1:51" x14ac:dyDescent="0.3">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c r="AA157" s="258"/>
      <c r="AB157" s="258"/>
      <c r="AC157" s="258"/>
      <c r="AD157" s="258"/>
      <c r="AE157" s="258"/>
      <c r="AF157" s="258"/>
      <c r="AG157" s="258"/>
      <c r="AH157" s="258"/>
      <c r="AI157" s="258"/>
      <c r="AJ157" s="258"/>
      <c r="AK157" s="258"/>
      <c r="AL157" s="258"/>
      <c r="AM157" s="258"/>
      <c r="AN157" s="258"/>
      <c r="AO157" s="258"/>
      <c r="AP157" s="258"/>
      <c r="AQ157" s="258"/>
      <c r="AR157" s="258"/>
      <c r="AS157" s="258"/>
      <c r="AT157" s="258"/>
      <c r="AU157" s="258"/>
      <c r="AV157" s="258"/>
      <c r="AW157" s="258"/>
      <c r="AX157" s="258"/>
      <c r="AY157" s="258"/>
    </row>
    <row r="158" spans="1:51" x14ac:dyDescent="0.3">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c r="AE158" s="258"/>
      <c r="AF158" s="258"/>
      <c r="AG158" s="258"/>
      <c r="AH158" s="258"/>
      <c r="AI158" s="258"/>
      <c r="AJ158" s="258"/>
      <c r="AK158" s="258"/>
      <c r="AL158" s="258"/>
      <c r="AM158" s="258"/>
      <c r="AN158" s="258"/>
      <c r="AO158" s="258"/>
      <c r="AP158" s="258"/>
      <c r="AQ158" s="258"/>
      <c r="AR158" s="258"/>
      <c r="AS158" s="258"/>
      <c r="AT158" s="258"/>
      <c r="AU158" s="258"/>
      <c r="AV158" s="258"/>
      <c r="AW158" s="258"/>
      <c r="AX158" s="258"/>
      <c r="AY158" s="258"/>
    </row>
    <row r="159" spans="1:51" x14ac:dyDescent="0.3">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c r="AA159" s="258"/>
      <c r="AB159" s="258"/>
      <c r="AC159" s="258"/>
      <c r="AD159" s="258"/>
      <c r="AE159" s="258"/>
      <c r="AF159" s="258"/>
      <c r="AG159" s="258"/>
      <c r="AH159" s="258"/>
      <c r="AI159" s="258"/>
      <c r="AJ159" s="258"/>
      <c r="AK159" s="258"/>
      <c r="AL159" s="258"/>
      <c r="AM159" s="258"/>
      <c r="AN159" s="258"/>
      <c r="AO159" s="258"/>
      <c r="AP159" s="258"/>
      <c r="AQ159" s="258"/>
      <c r="AR159" s="258"/>
      <c r="AS159" s="258"/>
      <c r="AT159" s="258"/>
      <c r="AU159" s="258"/>
      <c r="AV159" s="258"/>
      <c r="AW159" s="258"/>
      <c r="AX159" s="258"/>
      <c r="AY159" s="258"/>
    </row>
    <row r="160" spans="1:51" x14ac:dyDescent="0.3">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c r="AA160" s="258"/>
      <c r="AB160" s="258"/>
      <c r="AC160" s="258"/>
      <c r="AD160" s="258"/>
      <c r="AE160" s="258"/>
      <c r="AF160" s="258"/>
      <c r="AG160" s="258"/>
      <c r="AH160" s="258"/>
      <c r="AI160" s="258"/>
      <c r="AJ160" s="258"/>
      <c r="AK160" s="258"/>
      <c r="AL160" s="258"/>
      <c r="AM160" s="258"/>
      <c r="AN160" s="258"/>
      <c r="AO160" s="258"/>
      <c r="AP160" s="258"/>
      <c r="AQ160" s="258"/>
      <c r="AR160" s="258"/>
      <c r="AS160" s="258"/>
      <c r="AT160" s="258"/>
      <c r="AU160" s="258"/>
      <c r="AV160" s="258"/>
      <c r="AW160" s="258"/>
      <c r="AX160" s="258"/>
      <c r="AY160" s="258"/>
    </row>
    <row r="161" spans="1:51" x14ac:dyDescent="0.3">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c r="AA161" s="258"/>
      <c r="AB161" s="258"/>
      <c r="AC161" s="258"/>
      <c r="AD161" s="258"/>
      <c r="AE161" s="258"/>
      <c r="AF161" s="258"/>
      <c r="AG161" s="258"/>
      <c r="AH161" s="258"/>
      <c r="AI161" s="258"/>
      <c r="AJ161" s="258"/>
      <c r="AK161" s="258"/>
      <c r="AL161" s="258"/>
      <c r="AM161" s="258"/>
      <c r="AN161" s="258"/>
      <c r="AO161" s="258"/>
      <c r="AP161" s="258"/>
      <c r="AQ161" s="258"/>
      <c r="AR161" s="258"/>
      <c r="AS161" s="258"/>
      <c r="AT161" s="258"/>
      <c r="AU161" s="258"/>
      <c r="AV161" s="258"/>
      <c r="AW161" s="258"/>
      <c r="AX161" s="258"/>
      <c r="AY161" s="258"/>
    </row>
    <row r="162" spans="1:51" x14ac:dyDescent="0.3">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c r="AA162" s="258"/>
      <c r="AB162" s="258"/>
      <c r="AC162" s="258"/>
      <c r="AD162" s="258"/>
      <c r="AE162" s="258"/>
      <c r="AF162" s="258"/>
      <c r="AG162" s="258"/>
      <c r="AH162" s="258"/>
      <c r="AI162" s="258"/>
      <c r="AJ162" s="258"/>
      <c r="AK162" s="258"/>
      <c r="AL162" s="258"/>
      <c r="AM162" s="258"/>
      <c r="AN162" s="258"/>
      <c r="AO162" s="258"/>
      <c r="AP162" s="258"/>
      <c r="AQ162" s="258"/>
      <c r="AR162" s="258"/>
      <c r="AS162" s="258"/>
      <c r="AT162" s="258"/>
      <c r="AU162" s="258"/>
      <c r="AV162" s="258"/>
      <c r="AW162" s="258"/>
      <c r="AX162" s="258"/>
      <c r="AY162" s="258"/>
    </row>
    <row r="163" spans="1:51" x14ac:dyDescent="0.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c r="AA163" s="258"/>
      <c r="AB163" s="258"/>
      <c r="AC163" s="258"/>
      <c r="AD163" s="258"/>
      <c r="AE163" s="258"/>
      <c r="AF163" s="258"/>
      <c r="AG163" s="258"/>
      <c r="AH163" s="258"/>
      <c r="AI163" s="258"/>
      <c r="AJ163" s="258"/>
      <c r="AK163" s="258"/>
      <c r="AL163" s="258"/>
      <c r="AM163" s="258"/>
      <c r="AN163" s="258"/>
      <c r="AO163" s="258"/>
      <c r="AP163" s="258"/>
      <c r="AQ163" s="258"/>
      <c r="AR163" s="258"/>
      <c r="AS163" s="258"/>
      <c r="AT163" s="258"/>
      <c r="AU163" s="258"/>
      <c r="AV163" s="258"/>
      <c r="AW163" s="258"/>
      <c r="AX163" s="258"/>
      <c r="AY163" s="258"/>
    </row>
    <row r="164" spans="1:51" x14ac:dyDescent="0.3">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c r="AA164" s="258"/>
      <c r="AB164" s="258"/>
      <c r="AC164" s="258"/>
      <c r="AD164" s="258"/>
      <c r="AE164" s="258"/>
      <c r="AF164" s="258"/>
      <c r="AG164" s="258"/>
      <c r="AH164" s="258"/>
      <c r="AI164" s="258"/>
      <c r="AJ164" s="258"/>
      <c r="AK164" s="258"/>
      <c r="AL164" s="258"/>
      <c r="AM164" s="258"/>
      <c r="AN164" s="258"/>
      <c r="AO164" s="258"/>
      <c r="AP164" s="258"/>
      <c r="AQ164" s="258"/>
      <c r="AR164" s="258"/>
      <c r="AS164" s="258"/>
      <c r="AT164" s="258"/>
      <c r="AU164" s="258"/>
      <c r="AV164" s="258"/>
      <c r="AW164" s="258"/>
      <c r="AX164" s="258"/>
      <c r="AY164" s="258"/>
    </row>
    <row r="165" spans="1:51" x14ac:dyDescent="0.3">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c r="AA165" s="258"/>
      <c r="AB165" s="258"/>
      <c r="AC165" s="258"/>
      <c r="AD165" s="258"/>
      <c r="AE165" s="258"/>
      <c r="AF165" s="258"/>
      <c r="AG165" s="258"/>
      <c r="AH165" s="258"/>
      <c r="AI165" s="258"/>
      <c r="AJ165" s="258"/>
      <c r="AK165" s="258"/>
      <c r="AL165" s="258"/>
      <c r="AM165" s="258"/>
      <c r="AN165" s="258"/>
      <c r="AO165" s="258"/>
      <c r="AP165" s="258"/>
      <c r="AQ165" s="258"/>
      <c r="AR165" s="258"/>
      <c r="AS165" s="258"/>
      <c r="AT165" s="258"/>
      <c r="AU165" s="258"/>
      <c r="AV165" s="258"/>
      <c r="AW165" s="258"/>
      <c r="AX165" s="258"/>
      <c r="AY165" s="258"/>
    </row>
    <row r="166" spans="1:51" x14ac:dyDescent="0.3">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c r="AA166" s="258"/>
      <c r="AB166" s="258"/>
      <c r="AC166" s="258"/>
      <c r="AD166" s="258"/>
      <c r="AE166" s="258"/>
      <c r="AF166" s="258"/>
      <c r="AG166" s="258"/>
      <c r="AH166" s="258"/>
      <c r="AI166" s="258"/>
      <c r="AJ166" s="258"/>
      <c r="AK166" s="258"/>
      <c r="AL166" s="258"/>
      <c r="AM166" s="258"/>
      <c r="AN166" s="258"/>
      <c r="AO166" s="258"/>
      <c r="AP166" s="258"/>
      <c r="AQ166" s="258"/>
      <c r="AR166" s="258"/>
      <c r="AS166" s="258"/>
      <c r="AT166" s="258"/>
      <c r="AU166" s="258"/>
      <c r="AV166" s="258"/>
      <c r="AW166" s="258"/>
      <c r="AX166" s="258"/>
      <c r="AY166" s="258"/>
    </row>
    <row r="167" spans="1:51" x14ac:dyDescent="0.3">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c r="AA167" s="258"/>
      <c r="AB167" s="258"/>
      <c r="AC167" s="258"/>
      <c r="AD167" s="258"/>
      <c r="AE167" s="258"/>
      <c r="AF167" s="258"/>
      <c r="AG167" s="258"/>
      <c r="AH167" s="258"/>
      <c r="AI167" s="258"/>
      <c r="AJ167" s="258"/>
      <c r="AK167" s="258"/>
      <c r="AL167" s="258"/>
      <c r="AM167" s="258"/>
      <c r="AN167" s="258"/>
      <c r="AO167" s="258"/>
      <c r="AP167" s="258"/>
      <c r="AQ167" s="258"/>
      <c r="AR167" s="258"/>
      <c r="AS167" s="258"/>
      <c r="AT167" s="258"/>
      <c r="AU167" s="258"/>
      <c r="AV167" s="258"/>
      <c r="AW167" s="258"/>
      <c r="AX167" s="258"/>
      <c r="AY167" s="258"/>
    </row>
    <row r="168" spans="1:51" x14ac:dyDescent="0.3">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c r="AA168" s="258"/>
      <c r="AB168" s="258"/>
      <c r="AC168" s="258"/>
      <c r="AD168" s="258"/>
      <c r="AE168" s="258"/>
      <c r="AF168" s="258"/>
      <c r="AG168" s="258"/>
      <c r="AH168" s="258"/>
      <c r="AI168" s="258"/>
      <c r="AJ168" s="258"/>
      <c r="AK168" s="258"/>
      <c r="AL168" s="258"/>
      <c r="AM168" s="258"/>
      <c r="AN168" s="258"/>
      <c r="AO168" s="258"/>
      <c r="AP168" s="258"/>
      <c r="AQ168" s="258"/>
      <c r="AR168" s="258"/>
      <c r="AS168" s="258"/>
      <c r="AT168" s="258"/>
      <c r="AU168" s="258"/>
      <c r="AV168" s="258"/>
      <c r="AW168" s="258"/>
      <c r="AX168" s="258"/>
      <c r="AY168" s="258"/>
    </row>
    <row r="169" spans="1:51" x14ac:dyDescent="0.3">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c r="AA169" s="258"/>
      <c r="AB169" s="258"/>
      <c r="AC169" s="258"/>
      <c r="AD169" s="258"/>
      <c r="AE169" s="258"/>
      <c r="AF169" s="258"/>
      <c r="AG169" s="258"/>
      <c r="AH169" s="258"/>
      <c r="AI169" s="258"/>
      <c r="AJ169" s="258"/>
      <c r="AK169" s="258"/>
      <c r="AL169" s="258"/>
      <c r="AM169" s="258"/>
      <c r="AN169" s="258"/>
      <c r="AO169" s="258"/>
      <c r="AP169" s="258"/>
      <c r="AQ169" s="258"/>
      <c r="AR169" s="258"/>
      <c r="AS169" s="258"/>
      <c r="AT169" s="258"/>
      <c r="AU169" s="258"/>
      <c r="AV169" s="258"/>
      <c r="AW169" s="258"/>
      <c r="AX169" s="258"/>
      <c r="AY169" s="258"/>
    </row>
    <row r="170" spans="1:51" x14ac:dyDescent="0.3">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c r="AA170" s="258"/>
      <c r="AB170" s="258"/>
      <c r="AC170" s="258"/>
      <c r="AD170" s="258"/>
      <c r="AE170" s="258"/>
      <c r="AF170" s="258"/>
      <c r="AG170" s="258"/>
      <c r="AH170" s="258"/>
      <c r="AI170" s="258"/>
      <c r="AJ170" s="258"/>
      <c r="AK170" s="258"/>
      <c r="AL170" s="258"/>
      <c r="AM170" s="258"/>
      <c r="AN170" s="258"/>
      <c r="AO170" s="258"/>
      <c r="AP170" s="258"/>
      <c r="AQ170" s="258"/>
      <c r="AR170" s="258"/>
      <c r="AS170" s="258"/>
      <c r="AT170" s="258"/>
      <c r="AU170" s="258"/>
      <c r="AV170" s="258"/>
      <c r="AW170" s="258"/>
      <c r="AX170" s="258"/>
      <c r="AY170" s="258"/>
    </row>
    <row r="171" spans="1:51" x14ac:dyDescent="0.3">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c r="AA171" s="258"/>
      <c r="AB171" s="258"/>
      <c r="AC171" s="258"/>
      <c r="AD171" s="258"/>
      <c r="AE171" s="258"/>
      <c r="AF171" s="258"/>
      <c r="AG171" s="258"/>
      <c r="AH171" s="258"/>
      <c r="AI171" s="258"/>
      <c r="AJ171" s="258"/>
      <c r="AK171" s="258"/>
      <c r="AL171" s="258"/>
      <c r="AM171" s="258"/>
      <c r="AN171" s="258"/>
      <c r="AO171" s="258"/>
      <c r="AP171" s="258"/>
      <c r="AQ171" s="258"/>
      <c r="AR171" s="258"/>
      <c r="AS171" s="258"/>
      <c r="AT171" s="258"/>
      <c r="AU171" s="258"/>
      <c r="AV171" s="258"/>
      <c r="AW171" s="258"/>
      <c r="AX171" s="258"/>
      <c r="AY171" s="258"/>
    </row>
    <row r="172" spans="1:51" x14ac:dyDescent="0.3">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c r="AA172" s="258"/>
      <c r="AB172" s="258"/>
      <c r="AC172" s="258"/>
      <c r="AD172" s="258"/>
      <c r="AE172" s="258"/>
      <c r="AF172" s="258"/>
      <c r="AG172" s="258"/>
      <c r="AH172" s="258"/>
      <c r="AI172" s="258"/>
      <c r="AJ172" s="258"/>
      <c r="AK172" s="258"/>
      <c r="AL172" s="258"/>
      <c r="AM172" s="258"/>
      <c r="AN172" s="258"/>
      <c r="AO172" s="258"/>
      <c r="AP172" s="258"/>
      <c r="AQ172" s="258"/>
      <c r="AR172" s="258"/>
      <c r="AS172" s="258"/>
      <c r="AT172" s="258"/>
      <c r="AU172" s="258"/>
      <c r="AV172" s="258"/>
      <c r="AW172" s="258"/>
      <c r="AX172" s="258"/>
      <c r="AY172" s="258"/>
    </row>
    <row r="173" spans="1:51" x14ac:dyDescent="0.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c r="AA173" s="258"/>
      <c r="AB173" s="258"/>
      <c r="AC173" s="258"/>
      <c r="AD173" s="258"/>
      <c r="AE173" s="258"/>
      <c r="AF173" s="258"/>
      <c r="AG173" s="258"/>
      <c r="AH173" s="258"/>
      <c r="AI173" s="258"/>
      <c r="AJ173" s="258"/>
      <c r="AK173" s="258"/>
      <c r="AL173" s="258"/>
      <c r="AM173" s="258"/>
      <c r="AN173" s="258"/>
      <c r="AO173" s="258"/>
      <c r="AP173" s="258"/>
      <c r="AQ173" s="258"/>
      <c r="AR173" s="258"/>
      <c r="AS173" s="258"/>
      <c r="AT173" s="258"/>
      <c r="AU173" s="258"/>
      <c r="AV173" s="258"/>
      <c r="AW173" s="258"/>
      <c r="AX173" s="258"/>
      <c r="AY173" s="258"/>
    </row>
    <row r="174" spans="1:51" x14ac:dyDescent="0.3">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c r="AA174" s="258"/>
      <c r="AB174" s="258"/>
      <c r="AC174" s="258"/>
      <c r="AD174" s="258"/>
      <c r="AE174" s="258"/>
      <c r="AF174" s="258"/>
      <c r="AG174" s="258"/>
      <c r="AH174" s="258"/>
      <c r="AI174" s="258"/>
      <c r="AJ174" s="258"/>
      <c r="AK174" s="258"/>
      <c r="AL174" s="258"/>
      <c r="AM174" s="258"/>
      <c r="AN174" s="258"/>
      <c r="AO174" s="258"/>
      <c r="AP174" s="258"/>
      <c r="AQ174" s="258"/>
      <c r="AR174" s="258"/>
      <c r="AS174" s="258"/>
      <c r="AT174" s="258"/>
      <c r="AU174" s="258"/>
      <c r="AV174" s="258"/>
      <c r="AW174" s="258"/>
      <c r="AX174" s="258"/>
      <c r="AY174" s="258"/>
    </row>
    <row r="175" spans="1:51" x14ac:dyDescent="0.3">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c r="AA175" s="258"/>
      <c r="AB175" s="258"/>
      <c r="AC175" s="258"/>
      <c r="AD175" s="258"/>
      <c r="AE175" s="258"/>
      <c r="AF175" s="258"/>
      <c r="AG175" s="258"/>
      <c r="AH175" s="258"/>
      <c r="AI175" s="258"/>
      <c r="AJ175" s="258"/>
      <c r="AK175" s="258"/>
      <c r="AL175" s="258"/>
      <c r="AM175" s="258"/>
      <c r="AN175" s="258"/>
      <c r="AO175" s="258"/>
      <c r="AP175" s="258"/>
      <c r="AQ175" s="258"/>
      <c r="AR175" s="258"/>
      <c r="AS175" s="258"/>
      <c r="AT175" s="258"/>
      <c r="AU175" s="258"/>
      <c r="AV175" s="258"/>
      <c r="AW175" s="258"/>
      <c r="AX175" s="258"/>
      <c r="AY175" s="258"/>
    </row>
    <row r="176" spans="1:51" x14ac:dyDescent="0.3">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c r="AA176" s="258"/>
      <c r="AB176" s="258"/>
      <c r="AC176" s="258"/>
      <c r="AD176" s="258"/>
      <c r="AE176" s="258"/>
      <c r="AF176" s="258"/>
      <c r="AG176" s="258"/>
      <c r="AH176" s="258"/>
      <c r="AI176" s="258"/>
      <c r="AJ176" s="258"/>
      <c r="AK176" s="258"/>
      <c r="AL176" s="258"/>
      <c r="AM176" s="258"/>
      <c r="AN176" s="258"/>
      <c r="AO176" s="258"/>
      <c r="AP176" s="258"/>
      <c r="AQ176" s="258"/>
      <c r="AR176" s="258"/>
      <c r="AS176" s="258"/>
      <c r="AT176" s="258"/>
      <c r="AU176" s="258"/>
      <c r="AV176" s="258"/>
      <c r="AW176" s="258"/>
      <c r="AX176" s="258"/>
      <c r="AY176" s="258"/>
    </row>
    <row r="177" spans="1:51" x14ac:dyDescent="0.3">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c r="AA177" s="258"/>
      <c r="AB177" s="258"/>
      <c r="AC177" s="258"/>
      <c r="AD177" s="258"/>
      <c r="AE177" s="258"/>
      <c r="AF177" s="258"/>
      <c r="AG177" s="258"/>
      <c r="AH177" s="258"/>
      <c r="AI177" s="258"/>
      <c r="AJ177" s="258"/>
      <c r="AK177" s="258"/>
      <c r="AL177" s="258"/>
      <c r="AM177" s="258"/>
      <c r="AN177" s="258"/>
      <c r="AO177" s="258"/>
      <c r="AP177" s="258"/>
      <c r="AQ177" s="258"/>
      <c r="AR177" s="258"/>
      <c r="AS177" s="258"/>
      <c r="AT177" s="258"/>
      <c r="AU177" s="258"/>
      <c r="AV177" s="258"/>
      <c r="AW177" s="258"/>
      <c r="AX177" s="258"/>
      <c r="AY177" s="258"/>
    </row>
    <row r="178" spans="1:51" x14ac:dyDescent="0.3">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c r="AA178" s="258"/>
      <c r="AB178" s="258"/>
      <c r="AC178" s="258"/>
      <c r="AD178" s="258"/>
      <c r="AE178" s="258"/>
      <c r="AF178" s="258"/>
      <c r="AG178" s="258"/>
      <c r="AH178" s="258"/>
      <c r="AI178" s="258"/>
      <c r="AJ178" s="258"/>
      <c r="AK178" s="258"/>
      <c r="AL178" s="258"/>
      <c r="AM178" s="258"/>
      <c r="AN178" s="258"/>
      <c r="AO178" s="258"/>
      <c r="AP178" s="258"/>
      <c r="AQ178" s="258"/>
      <c r="AR178" s="258"/>
      <c r="AS178" s="258"/>
      <c r="AT178" s="258"/>
      <c r="AU178" s="258"/>
      <c r="AV178" s="258"/>
      <c r="AW178" s="258"/>
      <c r="AX178" s="258"/>
      <c r="AY178" s="258"/>
    </row>
    <row r="179" spans="1:51" x14ac:dyDescent="0.3">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c r="AA179" s="258"/>
      <c r="AB179" s="258"/>
      <c r="AC179" s="258"/>
      <c r="AD179" s="258"/>
      <c r="AE179" s="258"/>
      <c r="AF179" s="258"/>
      <c r="AG179" s="258"/>
      <c r="AH179" s="258"/>
      <c r="AI179" s="258"/>
      <c r="AJ179" s="258"/>
      <c r="AK179" s="258"/>
      <c r="AL179" s="258"/>
      <c r="AM179" s="258"/>
      <c r="AN179" s="258"/>
      <c r="AO179" s="258"/>
      <c r="AP179" s="258"/>
      <c r="AQ179" s="258"/>
      <c r="AR179" s="258"/>
      <c r="AS179" s="258"/>
      <c r="AT179" s="258"/>
      <c r="AU179" s="258"/>
      <c r="AV179" s="258"/>
      <c r="AW179" s="258"/>
      <c r="AX179" s="258"/>
      <c r="AY179" s="258"/>
    </row>
    <row r="180" spans="1:51" x14ac:dyDescent="0.3">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c r="AA180" s="258"/>
      <c r="AB180" s="258"/>
      <c r="AC180" s="258"/>
      <c r="AD180" s="258"/>
      <c r="AE180" s="258"/>
      <c r="AF180" s="258"/>
      <c r="AG180" s="258"/>
      <c r="AH180" s="258"/>
      <c r="AI180" s="258"/>
      <c r="AJ180" s="258"/>
      <c r="AK180" s="258"/>
      <c r="AL180" s="258"/>
      <c r="AM180" s="258"/>
      <c r="AN180" s="258"/>
      <c r="AO180" s="258"/>
      <c r="AP180" s="258"/>
      <c r="AQ180" s="258"/>
      <c r="AR180" s="258"/>
      <c r="AS180" s="258"/>
      <c r="AT180" s="258"/>
      <c r="AU180" s="258"/>
      <c r="AV180" s="258"/>
      <c r="AW180" s="258"/>
      <c r="AX180" s="258"/>
      <c r="AY180" s="258"/>
    </row>
    <row r="181" spans="1:51" x14ac:dyDescent="0.3">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c r="AA181" s="258"/>
      <c r="AB181" s="258"/>
      <c r="AC181" s="258"/>
      <c r="AD181" s="258"/>
      <c r="AE181" s="258"/>
      <c r="AF181" s="258"/>
      <c r="AG181" s="258"/>
      <c r="AH181" s="258"/>
      <c r="AI181" s="258"/>
      <c r="AJ181" s="258"/>
      <c r="AK181" s="258"/>
      <c r="AL181" s="258"/>
      <c r="AM181" s="258"/>
      <c r="AN181" s="258"/>
      <c r="AO181" s="258"/>
      <c r="AP181" s="258"/>
      <c r="AQ181" s="258"/>
      <c r="AR181" s="258"/>
      <c r="AS181" s="258"/>
      <c r="AT181" s="258"/>
      <c r="AU181" s="258"/>
      <c r="AV181" s="258"/>
      <c r="AW181" s="258"/>
      <c r="AX181" s="258"/>
      <c r="AY181" s="258"/>
    </row>
    <row r="182" spans="1:51" x14ac:dyDescent="0.3">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c r="AA182" s="258"/>
      <c r="AB182" s="258"/>
      <c r="AC182" s="258"/>
      <c r="AD182" s="258"/>
      <c r="AE182" s="258"/>
      <c r="AF182" s="258"/>
      <c r="AG182" s="258"/>
      <c r="AH182" s="258"/>
      <c r="AI182" s="258"/>
      <c r="AJ182" s="258"/>
      <c r="AK182" s="258"/>
      <c r="AL182" s="258"/>
      <c r="AM182" s="258"/>
      <c r="AN182" s="258"/>
      <c r="AO182" s="258"/>
      <c r="AP182" s="258"/>
      <c r="AQ182" s="258"/>
      <c r="AR182" s="258"/>
      <c r="AS182" s="258"/>
      <c r="AT182" s="258"/>
      <c r="AU182" s="258"/>
      <c r="AV182" s="258"/>
      <c r="AW182" s="258"/>
      <c r="AX182" s="258"/>
      <c r="AY182" s="258"/>
    </row>
    <row r="183" spans="1:51" x14ac:dyDescent="0.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c r="AA183" s="258"/>
      <c r="AB183" s="258"/>
      <c r="AC183" s="258"/>
      <c r="AD183" s="258"/>
      <c r="AE183" s="258"/>
      <c r="AF183" s="258"/>
      <c r="AG183" s="258"/>
      <c r="AH183" s="258"/>
      <c r="AI183" s="258"/>
      <c r="AJ183" s="258"/>
      <c r="AK183" s="258"/>
      <c r="AL183" s="258"/>
      <c r="AM183" s="258"/>
      <c r="AN183" s="258"/>
      <c r="AO183" s="258"/>
      <c r="AP183" s="258"/>
      <c r="AQ183" s="258"/>
      <c r="AR183" s="258"/>
      <c r="AS183" s="258"/>
      <c r="AT183" s="258"/>
      <c r="AU183" s="258"/>
      <c r="AV183" s="258"/>
      <c r="AW183" s="258"/>
      <c r="AX183" s="258"/>
      <c r="AY183" s="258"/>
    </row>
    <row r="184" spans="1:51" x14ac:dyDescent="0.3">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c r="AA184" s="258"/>
      <c r="AB184" s="258"/>
      <c r="AC184" s="258"/>
      <c r="AD184" s="258"/>
      <c r="AE184" s="258"/>
      <c r="AF184" s="258"/>
      <c r="AG184" s="258"/>
      <c r="AH184" s="258"/>
      <c r="AI184" s="258"/>
      <c r="AJ184" s="258"/>
      <c r="AK184" s="258"/>
      <c r="AL184" s="258"/>
      <c r="AM184" s="258"/>
      <c r="AN184" s="258"/>
      <c r="AO184" s="258"/>
      <c r="AP184" s="258"/>
      <c r="AQ184" s="258"/>
      <c r="AR184" s="258"/>
      <c r="AS184" s="258"/>
      <c r="AT184" s="258"/>
      <c r="AU184" s="258"/>
      <c r="AV184" s="258"/>
      <c r="AW184" s="258"/>
      <c r="AX184" s="258"/>
      <c r="AY184" s="258"/>
    </row>
    <row r="185" spans="1:51" x14ac:dyDescent="0.3">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c r="AA185" s="258"/>
      <c r="AB185" s="258"/>
      <c r="AC185" s="258"/>
      <c r="AD185" s="258"/>
      <c r="AE185" s="258"/>
      <c r="AF185" s="258"/>
      <c r="AG185" s="258"/>
      <c r="AH185" s="258"/>
      <c r="AI185" s="258"/>
      <c r="AJ185" s="258"/>
      <c r="AK185" s="258"/>
      <c r="AL185" s="258"/>
      <c r="AM185" s="258"/>
      <c r="AN185" s="258"/>
      <c r="AO185" s="258"/>
      <c r="AP185" s="258"/>
      <c r="AQ185" s="258"/>
      <c r="AR185" s="258"/>
      <c r="AS185" s="258"/>
      <c r="AT185" s="258"/>
      <c r="AU185" s="258"/>
      <c r="AV185" s="258"/>
      <c r="AW185" s="258"/>
      <c r="AX185" s="258"/>
      <c r="AY185" s="258"/>
    </row>
    <row r="186" spans="1:51" x14ac:dyDescent="0.3">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c r="AA186" s="258"/>
      <c r="AB186" s="258"/>
      <c r="AC186" s="258"/>
      <c r="AD186" s="258"/>
      <c r="AE186" s="258"/>
      <c r="AF186" s="258"/>
      <c r="AG186" s="258"/>
      <c r="AH186" s="258"/>
      <c r="AI186" s="258"/>
      <c r="AJ186" s="258"/>
      <c r="AK186" s="258"/>
      <c r="AL186" s="258"/>
      <c r="AM186" s="258"/>
      <c r="AN186" s="258"/>
      <c r="AO186" s="258"/>
      <c r="AP186" s="258"/>
      <c r="AQ186" s="258"/>
      <c r="AR186" s="258"/>
      <c r="AS186" s="258"/>
      <c r="AT186" s="258"/>
      <c r="AU186" s="258"/>
      <c r="AV186" s="258"/>
      <c r="AW186" s="258"/>
      <c r="AX186" s="258"/>
      <c r="AY186" s="258"/>
    </row>
    <row r="187" spans="1:51" x14ac:dyDescent="0.3">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c r="AA187" s="258"/>
      <c r="AB187" s="258"/>
      <c r="AC187" s="258"/>
      <c r="AD187" s="258"/>
      <c r="AE187" s="258"/>
      <c r="AF187" s="258"/>
      <c r="AG187" s="258"/>
      <c r="AH187" s="258"/>
      <c r="AI187" s="258"/>
      <c r="AJ187" s="258"/>
      <c r="AK187" s="258"/>
      <c r="AL187" s="258"/>
      <c r="AM187" s="258"/>
      <c r="AN187" s="258"/>
      <c r="AO187" s="258"/>
      <c r="AP187" s="258"/>
      <c r="AQ187" s="258"/>
      <c r="AR187" s="258"/>
      <c r="AS187" s="258"/>
      <c r="AT187" s="258"/>
      <c r="AU187" s="258"/>
      <c r="AV187" s="258"/>
      <c r="AW187" s="258"/>
      <c r="AX187" s="258"/>
      <c r="AY187" s="258"/>
    </row>
    <row r="188" spans="1:51" x14ac:dyDescent="0.3">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c r="AA188" s="258"/>
      <c r="AB188" s="258"/>
      <c r="AC188" s="258"/>
      <c r="AD188" s="258"/>
      <c r="AE188" s="258"/>
      <c r="AF188" s="258"/>
      <c r="AG188" s="258"/>
      <c r="AH188" s="258"/>
      <c r="AI188" s="258"/>
      <c r="AJ188" s="258"/>
      <c r="AK188" s="258"/>
      <c r="AL188" s="258"/>
      <c r="AM188" s="258"/>
      <c r="AN188" s="258"/>
      <c r="AO188" s="258"/>
      <c r="AP188" s="258"/>
      <c r="AQ188" s="258"/>
      <c r="AR188" s="258"/>
      <c r="AS188" s="258"/>
      <c r="AT188" s="258"/>
      <c r="AU188" s="258"/>
      <c r="AV188" s="258"/>
      <c r="AW188" s="258"/>
      <c r="AX188" s="258"/>
      <c r="AY188" s="258"/>
    </row>
    <row r="189" spans="1:51" x14ac:dyDescent="0.3">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c r="AA189" s="258"/>
      <c r="AB189" s="258"/>
      <c r="AC189" s="258"/>
      <c r="AD189" s="258"/>
      <c r="AE189" s="258"/>
      <c r="AF189" s="258"/>
      <c r="AG189" s="258"/>
      <c r="AH189" s="258"/>
      <c r="AI189" s="258"/>
      <c r="AJ189" s="258"/>
      <c r="AK189" s="258"/>
      <c r="AL189" s="258"/>
      <c r="AM189" s="258"/>
      <c r="AN189" s="258"/>
      <c r="AO189" s="258"/>
      <c r="AP189" s="258"/>
      <c r="AQ189" s="258"/>
      <c r="AR189" s="258"/>
      <c r="AS189" s="258"/>
      <c r="AT189" s="258"/>
      <c r="AU189" s="258"/>
      <c r="AV189" s="258"/>
      <c r="AW189" s="258"/>
      <c r="AX189" s="258"/>
      <c r="AY189" s="258"/>
    </row>
    <row r="190" spans="1:51" x14ac:dyDescent="0.3">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c r="AA190" s="258"/>
      <c r="AB190" s="258"/>
      <c r="AC190" s="258"/>
      <c r="AD190" s="258"/>
      <c r="AE190" s="258"/>
      <c r="AF190" s="258"/>
      <c r="AG190" s="258"/>
      <c r="AH190" s="258"/>
      <c r="AI190" s="258"/>
      <c r="AJ190" s="258"/>
      <c r="AK190" s="258"/>
      <c r="AL190" s="258"/>
      <c r="AM190" s="258"/>
      <c r="AN190" s="258"/>
      <c r="AO190" s="258"/>
      <c r="AP190" s="258"/>
      <c r="AQ190" s="258"/>
      <c r="AR190" s="258"/>
      <c r="AS190" s="258"/>
      <c r="AT190" s="258"/>
      <c r="AU190" s="258"/>
      <c r="AV190" s="258"/>
      <c r="AW190" s="258"/>
      <c r="AX190" s="258"/>
      <c r="AY190" s="258"/>
    </row>
    <row r="191" spans="1:51" x14ac:dyDescent="0.3">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c r="AA191" s="258"/>
      <c r="AB191" s="258"/>
      <c r="AC191" s="258"/>
      <c r="AD191" s="258"/>
      <c r="AE191" s="258"/>
      <c r="AF191" s="258"/>
      <c r="AG191" s="258"/>
      <c r="AH191" s="258"/>
      <c r="AI191" s="258"/>
      <c r="AJ191" s="258"/>
      <c r="AK191" s="258"/>
      <c r="AL191" s="258"/>
      <c r="AM191" s="258"/>
      <c r="AN191" s="258"/>
      <c r="AO191" s="258"/>
      <c r="AP191" s="258"/>
      <c r="AQ191" s="258"/>
      <c r="AR191" s="258"/>
      <c r="AS191" s="258"/>
      <c r="AT191" s="258"/>
      <c r="AU191" s="258"/>
      <c r="AV191" s="258"/>
      <c r="AW191" s="258"/>
      <c r="AX191" s="258"/>
      <c r="AY191" s="258"/>
    </row>
    <row r="192" spans="1:51" x14ac:dyDescent="0.3">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c r="AA192" s="258"/>
      <c r="AB192" s="258"/>
      <c r="AC192" s="258"/>
      <c r="AD192" s="258"/>
      <c r="AE192" s="258"/>
      <c r="AF192" s="258"/>
      <c r="AG192" s="258"/>
      <c r="AH192" s="258"/>
      <c r="AI192" s="258"/>
      <c r="AJ192" s="258"/>
      <c r="AK192" s="258"/>
      <c r="AL192" s="258"/>
      <c r="AM192" s="258"/>
      <c r="AN192" s="258"/>
      <c r="AO192" s="258"/>
      <c r="AP192" s="258"/>
      <c r="AQ192" s="258"/>
      <c r="AR192" s="258"/>
      <c r="AS192" s="258"/>
      <c r="AT192" s="258"/>
      <c r="AU192" s="258"/>
      <c r="AV192" s="258"/>
      <c r="AW192" s="258"/>
      <c r="AX192" s="258"/>
      <c r="AY192" s="258"/>
    </row>
    <row r="193" spans="1:51" x14ac:dyDescent="0.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c r="AA193" s="258"/>
      <c r="AB193" s="258"/>
      <c r="AC193" s="258"/>
      <c r="AD193" s="258"/>
      <c r="AE193" s="258"/>
      <c r="AF193" s="258"/>
      <c r="AG193" s="258"/>
      <c r="AH193" s="258"/>
      <c r="AI193" s="258"/>
      <c r="AJ193" s="258"/>
      <c r="AK193" s="258"/>
      <c r="AL193" s="258"/>
      <c r="AM193" s="258"/>
      <c r="AN193" s="258"/>
      <c r="AO193" s="258"/>
      <c r="AP193" s="258"/>
      <c r="AQ193" s="258"/>
      <c r="AR193" s="258"/>
      <c r="AS193" s="258"/>
      <c r="AT193" s="258"/>
      <c r="AU193" s="258"/>
      <c r="AV193" s="258"/>
      <c r="AW193" s="258"/>
      <c r="AX193" s="258"/>
      <c r="AY193" s="258"/>
    </row>
    <row r="194" spans="1:51" x14ac:dyDescent="0.3">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c r="AA194" s="258"/>
      <c r="AB194" s="258"/>
      <c r="AC194" s="258"/>
      <c r="AD194" s="258"/>
      <c r="AE194" s="258"/>
      <c r="AF194" s="258"/>
      <c r="AG194" s="258"/>
      <c r="AH194" s="258"/>
      <c r="AI194" s="258"/>
      <c r="AJ194" s="258"/>
      <c r="AK194" s="258"/>
      <c r="AL194" s="258"/>
      <c r="AM194" s="258"/>
      <c r="AN194" s="258"/>
      <c r="AO194" s="258"/>
      <c r="AP194" s="258"/>
      <c r="AQ194" s="258"/>
      <c r="AR194" s="258"/>
      <c r="AS194" s="258"/>
      <c r="AT194" s="258"/>
      <c r="AU194" s="258"/>
      <c r="AV194" s="258"/>
      <c r="AW194" s="258"/>
      <c r="AX194" s="258"/>
      <c r="AY194" s="258"/>
    </row>
    <row r="195" spans="1:51" x14ac:dyDescent="0.3">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c r="AA195" s="258"/>
      <c r="AB195" s="258"/>
      <c r="AC195" s="258"/>
      <c r="AD195" s="258"/>
      <c r="AE195" s="258"/>
      <c r="AF195" s="258"/>
      <c r="AG195" s="258"/>
      <c r="AH195" s="258"/>
      <c r="AI195" s="258"/>
      <c r="AJ195" s="258"/>
      <c r="AK195" s="258"/>
      <c r="AL195" s="258"/>
      <c r="AM195" s="258"/>
      <c r="AN195" s="258"/>
      <c r="AO195" s="258"/>
      <c r="AP195" s="258"/>
      <c r="AQ195" s="258"/>
      <c r="AR195" s="258"/>
      <c r="AS195" s="258"/>
      <c r="AT195" s="258"/>
      <c r="AU195" s="258"/>
      <c r="AV195" s="258"/>
      <c r="AW195" s="258"/>
      <c r="AX195" s="258"/>
      <c r="AY195" s="258"/>
    </row>
    <row r="196" spans="1:51" x14ac:dyDescent="0.3">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c r="AA196" s="258"/>
      <c r="AB196" s="258"/>
      <c r="AC196" s="258"/>
      <c r="AD196" s="258"/>
      <c r="AE196" s="258"/>
      <c r="AF196" s="258"/>
      <c r="AG196" s="258"/>
      <c r="AH196" s="258"/>
      <c r="AI196" s="258"/>
      <c r="AJ196" s="258"/>
      <c r="AK196" s="258"/>
      <c r="AL196" s="258"/>
      <c r="AM196" s="258"/>
      <c r="AN196" s="258"/>
      <c r="AO196" s="258"/>
      <c r="AP196" s="258"/>
      <c r="AQ196" s="258"/>
      <c r="AR196" s="258"/>
      <c r="AS196" s="258"/>
      <c r="AT196" s="258"/>
      <c r="AU196" s="258"/>
      <c r="AV196" s="258"/>
      <c r="AW196" s="258"/>
      <c r="AX196" s="258"/>
      <c r="AY196" s="258"/>
    </row>
    <row r="197" spans="1:51" x14ac:dyDescent="0.3">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c r="AA197" s="258"/>
      <c r="AB197" s="258"/>
      <c r="AC197" s="258"/>
      <c r="AD197" s="258"/>
      <c r="AE197" s="258"/>
      <c r="AF197" s="258"/>
      <c r="AG197" s="258"/>
      <c r="AH197" s="258"/>
      <c r="AI197" s="258"/>
      <c r="AJ197" s="258"/>
      <c r="AK197" s="258"/>
      <c r="AL197" s="258"/>
      <c r="AM197" s="258"/>
      <c r="AN197" s="258"/>
      <c r="AO197" s="258"/>
      <c r="AP197" s="258"/>
      <c r="AQ197" s="258"/>
      <c r="AR197" s="258"/>
      <c r="AS197" s="258"/>
      <c r="AT197" s="258"/>
      <c r="AU197" s="258"/>
      <c r="AV197" s="258"/>
      <c r="AW197" s="258"/>
      <c r="AX197" s="258"/>
      <c r="AY197" s="258"/>
    </row>
    <row r="198" spans="1:51" x14ac:dyDescent="0.3">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c r="AA198" s="258"/>
      <c r="AB198" s="258"/>
      <c r="AC198" s="258"/>
      <c r="AD198" s="258"/>
      <c r="AE198" s="258"/>
      <c r="AF198" s="258"/>
      <c r="AG198" s="258"/>
      <c r="AH198" s="258"/>
      <c r="AI198" s="258"/>
      <c r="AJ198" s="258"/>
      <c r="AK198" s="258"/>
      <c r="AL198" s="258"/>
      <c r="AM198" s="258"/>
      <c r="AN198" s="258"/>
      <c r="AO198" s="258"/>
      <c r="AP198" s="258"/>
      <c r="AQ198" s="258"/>
      <c r="AR198" s="258"/>
      <c r="AS198" s="258"/>
      <c r="AT198" s="258"/>
      <c r="AU198" s="258"/>
      <c r="AV198" s="258"/>
      <c r="AW198" s="258"/>
      <c r="AX198" s="258"/>
      <c r="AY198" s="258"/>
    </row>
    <row r="199" spans="1:51" x14ac:dyDescent="0.3">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c r="AA199" s="258"/>
      <c r="AB199" s="258"/>
      <c r="AC199" s="258"/>
      <c r="AD199" s="258"/>
      <c r="AE199" s="258"/>
      <c r="AF199" s="258"/>
      <c r="AG199" s="258"/>
      <c r="AH199" s="258"/>
      <c r="AI199" s="258"/>
      <c r="AJ199" s="258"/>
      <c r="AK199" s="258"/>
      <c r="AL199" s="258"/>
      <c r="AM199" s="258"/>
      <c r="AN199" s="258"/>
      <c r="AO199" s="258"/>
      <c r="AP199" s="258"/>
      <c r="AQ199" s="258"/>
      <c r="AR199" s="258"/>
      <c r="AS199" s="258"/>
      <c r="AT199" s="258"/>
      <c r="AU199" s="258"/>
      <c r="AV199" s="258"/>
      <c r="AW199" s="258"/>
      <c r="AX199" s="258"/>
      <c r="AY199" s="258"/>
    </row>
    <row r="200" spans="1:51" x14ac:dyDescent="0.3">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c r="AA200" s="258"/>
      <c r="AB200" s="258"/>
      <c r="AC200" s="258"/>
      <c r="AD200" s="258"/>
      <c r="AE200" s="258"/>
      <c r="AF200" s="258"/>
      <c r="AG200" s="258"/>
      <c r="AH200" s="258"/>
      <c r="AI200" s="258"/>
      <c r="AJ200" s="258"/>
      <c r="AK200" s="258"/>
      <c r="AL200" s="258"/>
      <c r="AM200" s="258"/>
      <c r="AN200" s="258"/>
      <c r="AO200" s="258"/>
      <c r="AP200" s="258"/>
      <c r="AQ200" s="258"/>
      <c r="AR200" s="258"/>
      <c r="AS200" s="258"/>
      <c r="AT200" s="258"/>
      <c r="AU200" s="258"/>
      <c r="AV200" s="258"/>
      <c r="AW200" s="258"/>
      <c r="AX200" s="258"/>
      <c r="AY200" s="258"/>
    </row>
    <row r="201" spans="1:51" x14ac:dyDescent="0.3">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c r="AA201" s="258"/>
      <c r="AB201" s="258"/>
      <c r="AC201" s="258"/>
      <c r="AD201" s="258"/>
      <c r="AE201" s="258"/>
      <c r="AF201" s="258"/>
      <c r="AG201" s="258"/>
      <c r="AH201" s="258"/>
      <c r="AI201" s="258"/>
      <c r="AJ201" s="258"/>
      <c r="AK201" s="258"/>
      <c r="AL201" s="258"/>
      <c r="AM201" s="258"/>
      <c r="AN201" s="258"/>
      <c r="AO201" s="258"/>
      <c r="AP201" s="258"/>
      <c r="AQ201" s="258"/>
      <c r="AR201" s="258"/>
      <c r="AS201" s="258"/>
      <c r="AT201" s="258"/>
      <c r="AU201" s="258"/>
      <c r="AV201" s="258"/>
      <c r="AW201" s="258"/>
      <c r="AX201" s="258"/>
      <c r="AY201" s="258"/>
    </row>
    <row r="202" spans="1:51" x14ac:dyDescent="0.3">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c r="AA202" s="258"/>
      <c r="AB202" s="258"/>
      <c r="AC202" s="258"/>
      <c r="AD202" s="258"/>
      <c r="AE202" s="258"/>
      <c r="AF202" s="258"/>
      <c r="AG202" s="258"/>
      <c r="AH202" s="258"/>
      <c r="AI202" s="258"/>
      <c r="AJ202" s="258"/>
      <c r="AK202" s="258"/>
      <c r="AL202" s="258"/>
      <c r="AM202" s="258"/>
      <c r="AN202" s="258"/>
      <c r="AO202" s="258"/>
      <c r="AP202" s="258"/>
      <c r="AQ202" s="258"/>
      <c r="AR202" s="258"/>
      <c r="AS202" s="258"/>
      <c r="AT202" s="258"/>
      <c r="AU202" s="258"/>
      <c r="AV202" s="258"/>
      <c r="AW202" s="258"/>
      <c r="AX202" s="258"/>
      <c r="AY202" s="258"/>
    </row>
    <row r="203" spans="1:51" x14ac:dyDescent="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c r="AA203" s="258"/>
      <c r="AB203" s="258"/>
      <c r="AC203" s="258"/>
      <c r="AD203" s="258"/>
      <c r="AE203" s="258"/>
      <c r="AF203" s="258"/>
      <c r="AG203" s="258"/>
      <c r="AH203" s="258"/>
      <c r="AI203" s="258"/>
      <c r="AJ203" s="258"/>
      <c r="AK203" s="258"/>
      <c r="AL203" s="258"/>
      <c r="AM203" s="258"/>
      <c r="AN203" s="258"/>
      <c r="AO203" s="258"/>
      <c r="AP203" s="258"/>
      <c r="AQ203" s="258"/>
      <c r="AR203" s="258"/>
      <c r="AS203" s="258"/>
      <c r="AT203" s="258"/>
      <c r="AU203" s="258"/>
      <c r="AV203" s="258"/>
      <c r="AW203" s="258"/>
      <c r="AX203" s="258"/>
      <c r="AY203" s="258"/>
    </row>
    <row r="204" spans="1:51" x14ac:dyDescent="0.3">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c r="AA204" s="258"/>
      <c r="AB204" s="258"/>
      <c r="AC204" s="258"/>
      <c r="AD204" s="258"/>
      <c r="AE204" s="258"/>
      <c r="AF204" s="258"/>
      <c r="AG204" s="258"/>
      <c r="AH204" s="258"/>
      <c r="AI204" s="258"/>
      <c r="AJ204" s="258"/>
      <c r="AK204" s="258"/>
      <c r="AL204" s="258"/>
      <c r="AM204" s="258"/>
      <c r="AN204" s="258"/>
      <c r="AO204" s="258"/>
      <c r="AP204" s="258"/>
      <c r="AQ204" s="258"/>
      <c r="AR204" s="258"/>
      <c r="AS204" s="258"/>
      <c r="AT204" s="258"/>
      <c r="AU204" s="258"/>
      <c r="AV204" s="258"/>
      <c r="AW204" s="258"/>
      <c r="AX204" s="258"/>
      <c r="AY204" s="258"/>
    </row>
    <row r="205" spans="1:51" x14ac:dyDescent="0.3">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c r="AE205" s="258"/>
      <c r="AF205" s="258"/>
      <c r="AG205" s="258"/>
      <c r="AH205" s="258"/>
      <c r="AI205" s="258"/>
      <c r="AJ205" s="258"/>
      <c r="AK205" s="258"/>
      <c r="AL205" s="258"/>
      <c r="AM205" s="258"/>
      <c r="AN205" s="258"/>
      <c r="AO205" s="258"/>
      <c r="AP205" s="258"/>
      <c r="AQ205" s="258"/>
      <c r="AR205" s="258"/>
      <c r="AS205" s="258"/>
      <c r="AT205" s="258"/>
      <c r="AU205" s="258"/>
      <c r="AV205" s="258"/>
      <c r="AW205" s="258"/>
      <c r="AX205" s="258"/>
      <c r="AY205" s="258"/>
    </row>
    <row r="206" spans="1:51" x14ac:dyDescent="0.3">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c r="AE206" s="258"/>
      <c r="AF206" s="258"/>
      <c r="AG206" s="258"/>
      <c r="AH206" s="258"/>
      <c r="AI206" s="258"/>
      <c r="AJ206" s="258"/>
      <c r="AK206" s="258"/>
      <c r="AL206" s="258"/>
      <c r="AM206" s="258"/>
      <c r="AN206" s="258"/>
      <c r="AO206" s="258"/>
      <c r="AP206" s="258"/>
      <c r="AQ206" s="258"/>
      <c r="AR206" s="258"/>
      <c r="AS206" s="258"/>
      <c r="AT206" s="258"/>
      <c r="AU206" s="258"/>
      <c r="AV206" s="258"/>
      <c r="AW206" s="258"/>
      <c r="AX206" s="258"/>
      <c r="AY206" s="258"/>
    </row>
    <row r="207" spans="1:51" x14ac:dyDescent="0.3">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c r="AE207" s="258"/>
      <c r="AF207" s="258"/>
      <c r="AG207" s="258"/>
      <c r="AH207" s="258"/>
      <c r="AI207" s="258"/>
      <c r="AJ207" s="258"/>
      <c r="AK207" s="258"/>
      <c r="AL207" s="258"/>
      <c r="AM207" s="258"/>
      <c r="AN207" s="258"/>
      <c r="AO207" s="258"/>
      <c r="AP207" s="258"/>
      <c r="AQ207" s="258"/>
      <c r="AR207" s="258"/>
      <c r="AS207" s="258"/>
      <c r="AT207" s="258"/>
      <c r="AU207" s="258"/>
      <c r="AV207" s="258"/>
      <c r="AW207" s="258"/>
      <c r="AX207" s="258"/>
      <c r="AY207" s="258"/>
    </row>
    <row r="208" spans="1:51" x14ac:dyDescent="0.3">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c r="AE208" s="258"/>
      <c r="AF208" s="258"/>
      <c r="AG208" s="258"/>
      <c r="AH208" s="258"/>
      <c r="AI208" s="258"/>
      <c r="AJ208" s="258"/>
      <c r="AK208" s="258"/>
      <c r="AL208" s="258"/>
      <c r="AM208" s="258"/>
      <c r="AN208" s="258"/>
      <c r="AO208" s="258"/>
      <c r="AP208" s="258"/>
      <c r="AQ208" s="258"/>
      <c r="AR208" s="258"/>
      <c r="AS208" s="258"/>
      <c r="AT208" s="258"/>
      <c r="AU208" s="258"/>
      <c r="AV208" s="258"/>
      <c r="AW208" s="258"/>
      <c r="AX208" s="258"/>
      <c r="AY208" s="258"/>
    </row>
    <row r="209" spans="1:51" x14ac:dyDescent="0.3">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c r="AE209" s="258"/>
      <c r="AF209" s="258"/>
      <c r="AG209" s="258"/>
      <c r="AH209" s="258"/>
      <c r="AI209" s="258"/>
      <c r="AJ209" s="258"/>
      <c r="AK209" s="258"/>
      <c r="AL209" s="258"/>
      <c r="AM209" s="258"/>
      <c r="AN209" s="258"/>
      <c r="AO209" s="258"/>
      <c r="AP209" s="258"/>
      <c r="AQ209" s="258"/>
      <c r="AR209" s="258"/>
      <c r="AS209" s="258"/>
      <c r="AT209" s="258"/>
      <c r="AU209" s="258"/>
      <c r="AV209" s="258"/>
      <c r="AW209" s="258"/>
      <c r="AX209" s="258"/>
      <c r="AY209" s="258"/>
    </row>
    <row r="210" spans="1:51" x14ac:dyDescent="0.3">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c r="AE210" s="258"/>
      <c r="AF210" s="258"/>
      <c r="AG210" s="258"/>
      <c r="AH210" s="258"/>
      <c r="AI210" s="258"/>
      <c r="AJ210" s="258"/>
      <c r="AK210" s="258"/>
      <c r="AL210" s="258"/>
      <c r="AM210" s="258"/>
      <c r="AN210" s="258"/>
      <c r="AO210" s="258"/>
      <c r="AP210" s="258"/>
      <c r="AQ210" s="258"/>
      <c r="AR210" s="258"/>
      <c r="AS210" s="258"/>
      <c r="AT210" s="258"/>
      <c r="AU210" s="258"/>
      <c r="AV210" s="258"/>
      <c r="AW210" s="258"/>
      <c r="AX210" s="258"/>
      <c r="AY210" s="258"/>
    </row>
    <row r="211" spans="1:51" x14ac:dyDescent="0.3">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c r="AE211" s="258"/>
      <c r="AF211" s="258"/>
      <c r="AG211" s="258"/>
      <c r="AH211" s="258"/>
      <c r="AI211" s="258"/>
      <c r="AJ211" s="258"/>
      <c r="AK211" s="258"/>
      <c r="AL211" s="258"/>
      <c r="AM211" s="258"/>
      <c r="AN211" s="258"/>
      <c r="AO211" s="258"/>
      <c r="AP211" s="258"/>
      <c r="AQ211" s="258"/>
      <c r="AR211" s="258"/>
      <c r="AS211" s="258"/>
      <c r="AT211" s="258"/>
      <c r="AU211" s="258"/>
      <c r="AV211" s="258"/>
      <c r="AW211" s="258"/>
      <c r="AX211" s="258"/>
      <c r="AY211" s="258"/>
    </row>
    <row r="212" spans="1:51" x14ac:dyDescent="0.3">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c r="AE212" s="258"/>
      <c r="AF212" s="258"/>
      <c r="AG212" s="258"/>
      <c r="AH212" s="258"/>
      <c r="AI212" s="258"/>
      <c r="AJ212" s="258"/>
      <c r="AK212" s="258"/>
      <c r="AL212" s="258"/>
      <c r="AM212" s="258"/>
      <c r="AN212" s="258"/>
      <c r="AO212" s="258"/>
      <c r="AP212" s="258"/>
      <c r="AQ212" s="258"/>
      <c r="AR212" s="258"/>
      <c r="AS212" s="258"/>
      <c r="AT212" s="258"/>
      <c r="AU212" s="258"/>
      <c r="AV212" s="258"/>
      <c r="AW212" s="258"/>
      <c r="AX212" s="258"/>
      <c r="AY212" s="258"/>
    </row>
    <row r="213" spans="1:51" x14ac:dyDescent="0.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c r="AE213" s="258"/>
      <c r="AF213" s="258"/>
      <c r="AG213" s="258"/>
      <c r="AH213" s="258"/>
      <c r="AI213" s="258"/>
      <c r="AJ213" s="258"/>
      <c r="AK213" s="258"/>
      <c r="AL213" s="258"/>
      <c r="AM213" s="258"/>
      <c r="AN213" s="258"/>
      <c r="AO213" s="258"/>
      <c r="AP213" s="258"/>
      <c r="AQ213" s="258"/>
      <c r="AR213" s="258"/>
      <c r="AS213" s="258"/>
      <c r="AT213" s="258"/>
      <c r="AU213" s="258"/>
      <c r="AV213" s="258"/>
      <c r="AW213" s="258"/>
      <c r="AX213" s="258"/>
      <c r="AY213" s="258"/>
    </row>
    <row r="214" spans="1:51" x14ac:dyDescent="0.3">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c r="AA214" s="258"/>
      <c r="AB214" s="258"/>
      <c r="AC214" s="258"/>
      <c r="AD214" s="258"/>
      <c r="AE214" s="258"/>
      <c r="AF214" s="258"/>
      <c r="AG214" s="258"/>
      <c r="AH214" s="258"/>
      <c r="AI214" s="258"/>
      <c r="AJ214" s="258"/>
      <c r="AK214" s="258"/>
      <c r="AL214" s="258"/>
      <c r="AM214" s="258"/>
      <c r="AN214" s="258"/>
      <c r="AO214" s="258"/>
      <c r="AP214" s="258"/>
      <c r="AQ214" s="258"/>
      <c r="AR214" s="258"/>
      <c r="AS214" s="258"/>
      <c r="AT214" s="258"/>
      <c r="AU214" s="258"/>
      <c r="AV214" s="258"/>
      <c r="AW214" s="258"/>
      <c r="AX214" s="258"/>
      <c r="AY214" s="258"/>
    </row>
    <row r="215" spans="1:51" x14ac:dyDescent="0.3">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c r="AA215" s="258"/>
      <c r="AB215" s="258"/>
      <c r="AC215" s="258"/>
      <c r="AD215" s="258"/>
      <c r="AE215" s="258"/>
      <c r="AF215" s="258"/>
      <c r="AG215" s="258"/>
      <c r="AH215" s="258"/>
      <c r="AI215" s="258"/>
      <c r="AJ215" s="258"/>
      <c r="AK215" s="258"/>
      <c r="AL215" s="258"/>
      <c r="AM215" s="258"/>
      <c r="AN215" s="258"/>
      <c r="AO215" s="258"/>
      <c r="AP215" s="258"/>
      <c r="AQ215" s="258"/>
      <c r="AR215" s="258"/>
      <c r="AS215" s="258"/>
      <c r="AT215" s="258"/>
      <c r="AU215" s="258"/>
      <c r="AV215" s="258"/>
      <c r="AW215" s="258"/>
      <c r="AX215" s="258"/>
      <c r="AY215" s="258"/>
    </row>
    <row r="216" spans="1:51" x14ac:dyDescent="0.3">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c r="AA216" s="258"/>
      <c r="AB216" s="258"/>
      <c r="AC216" s="258"/>
      <c r="AD216" s="258"/>
      <c r="AE216" s="258"/>
      <c r="AF216" s="258"/>
      <c r="AG216" s="258"/>
      <c r="AH216" s="258"/>
      <c r="AI216" s="258"/>
      <c r="AJ216" s="258"/>
      <c r="AK216" s="258"/>
      <c r="AL216" s="258"/>
      <c r="AM216" s="258"/>
      <c r="AN216" s="258"/>
      <c r="AO216" s="258"/>
      <c r="AP216" s="258"/>
      <c r="AQ216" s="258"/>
      <c r="AR216" s="258"/>
      <c r="AS216" s="258"/>
      <c r="AT216" s="258"/>
      <c r="AU216" s="258"/>
      <c r="AV216" s="258"/>
      <c r="AW216" s="258"/>
      <c r="AX216" s="258"/>
      <c r="AY216" s="258"/>
    </row>
    <row r="217" spans="1:51" x14ac:dyDescent="0.3">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c r="AA217" s="258"/>
      <c r="AB217" s="258"/>
      <c r="AC217" s="258"/>
      <c r="AD217" s="258"/>
      <c r="AE217" s="258"/>
      <c r="AF217" s="258"/>
      <c r="AG217" s="258"/>
      <c r="AH217" s="258"/>
      <c r="AI217" s="258"/>
      <c r="AJ217" s="258"/>
      <c r="AK217" s="258"/>
      <c r="AL217" s="258"/>
      <c r="AM217" s="258"/>
      <c r="AN217" s="258"/>
      <c r="AO217" s="258"/>
      <c r="AP217" s="258"/>
      <c r="AQ217" s="258"/>
      <c r="AR217" s="258"/>
      <c r="AS217" s="258"/>
      <c r="AT217" s="258"/>
      <c r="AU217" s="258"/>
      <c r="AV217" s="258"/>
      <c r="AW217" s="258"/>
      <c r="AX217" s="258"/>
      <c r="AY217" s="258"/>
    </row>
    <row r="218" spans="1:51" x14ac:dyDescent="0.3">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c r="AA218" s="258"/>
      <c r="AB218" s="258"/>
      <c r="AC218" s="258"/>
      <c r="AD218" s="258"/>
      <c r="AE218" s="258"/>
      <c r="AF218" s="258"/>
      <c r="AG218" s="258"/>
      <c r="AH218" s="258"/>
      <c r="AI218" s="258"/>
      <c r="AJ218" s="258"/>
      <c r="AK218" s="258"/>
      <c r="AL218" s="258"/>
      <c r="AM218" s="258"/>
      <c r="AN218" s="258"/>
      <c r="AO218" s="258"/>
      <c r="AP218" s="258"/>
      <c r="AQ218" s="258"/>
      <c r="AR218" s="258"/>
      <c r="AS218" s="258"/>
      <c r="AT218" s="258"/>
      <c r="AU218" s="258"/>
      <c r="AV218" s="258"/>
      <c r="AW218" s="258"/>
      <c r="AX218" s="258"/>
      <c r="AY218" s="258"/>
    </row>
    <row r="219" spans="1:51" x14ac:dyDescent="0.3">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c r="AA219" s="258"/>
      <c r="AB219" s="258"/>
      <c r="AC219" s="258"/>
      <c r="AD219" s="258"/>
      <c r="AE219" s="258"/>
      <c r="AF219" s="258"/>
      <c r="AG219" s="258"/>
      <c r="AH219" s="258"/>
      <c r="AI219" s="258"/>
      <c r="AJ219" s="258"/>
      <c r="AK219" s="258"/>
      <c r="AL219" s="258"/>
      <c r="AM219" s="258"/>
      <c r="AN219" s="258"/>
      <c r="AO219" s="258"/>
      <c r="AP219" s="258"/>
      <c r="AQ219" s="258"/>
      <c r="AR219" s="258"/>
      <c r="AS219" s="258"/>
      <c r="AT219" s="258"/>
      <c r="AU219" s="258"/>
      <c r="AV219" s="258"/>
      <c r="AW219" s="258"/>
      <c r="AX219" s="258"/>
      <c r="AY219" s="258"/>
    </row>
    <row r="220" spans="1:51" x14ac:dyDescent="0.3">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c r="AE220" s="258"/>
      <c r="AF220" s="258"/>
      <c r="AG220" s="258"/>
      <c r="AH220" s="258"/>
      <c r="AI220" s="258"/>
      <c r="AJ220" s="258"/>
      <c r="AK220" s="258"/>
      <c r="AL220" s="258"/>
      <c r="AM220" s="258"/>
      <c r="AN220" s="258"/>
      <c r="AO220" s="258"/>
      <c r="AP220" s="258"/>
      <c r="AQ220" s="258"/>
      <c r="AR220" s="258"/>
      <c r="AS220" s="258"/>
      <c r="AT220" s="258"/>
      <c r="AU220" s="258"/>
      <c r="AV220" s="258"/>
      <c r="AW220" s="258"/>
      <c r="AX220" s="258"/>
      <c r="AY220" s="258"/>
    </row>
    <row r="221" spans="1:51" x14ac:dyDescent="0.3">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c r="AA221" s="258"/>
      <c r="AB221" s="258"/>
      <c r="AC221" s="258"/>
      <c r="AD221" s="258"/>
      <c r="AE221" s="258"/>
      <c r="AF221" s="258"/>
      <c r="AG221" s="258"/>
      <c r="AH221" s="258"/>
      <c r="AI221" s="258"/>
      <c r="AJ221" s="258"/>
      <c r="AK221" s="258"/>
      <c r="AL221" s="258"/>
      <c r="AM221" s="258"/>
      <c r="AN221" s="258"/>
      <c r="AO221" s="258"/>
      <c r="AP221" s="258"/>
      <c r="AQ221" s="258"/>
      <c r="AR221" s="258"/>
      <c r="AS221" s="258"/>
      <c r="AT221" s="258"/>
      <c r="AU221" s="258"/>
      <c r="AV221" s="258"/>
      <c r="AW221" s="258"/>
      <c r="AX221" s="258"/>
      <c r="AY221" s="258"/>
    </row>
    <row r="222" spans="1:51" x14ac:dyDescent="0.3">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c r="AA222" s="258"/>
      <c r="AB222" s="258"/>
      <c r="AC222" s="258"/>
      <c r="AD222" s="258"/>
      <c r="AE222" s="258"/>
      <c r="AF222" s="258"/>
      <c r="AG222" s="258"/>
      <c r="AH222" s="258"/>
      <c r="AI222" s="258"/>
      <c r="AJ222" s="258"/>
      <c r="AK222" s="258"/>
      <c r="AL222" s="258"/>
      <c r="AM222" s="258"/>
      <c r="AN222" s="258"/>
      <c r="AO222" s="258"/>
      <c r="AP222" s="258"/>
      <c r="AQ222" s="258"/>
      <c r="AR222" s="258"/>
      <c r="AS222" s="258"/>
      <c r="AT222" s="258"/>
      <c r="AU222" s="258"/>
      <c r="AV222" s="258"/>
      <c r="AW222" s="258"/>
      <c r="AX222" s="258"/>
      <c r="AY222" s="258"/>
    </row>
    <row r="223" spans="1:51" x14ac:dyDescent="0.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c r="AA223" s="258"/>
      <c r="AB223" s="258"/>
      <c r="AC223" s="258"/>
      <c r="AD223" s="258"/>
      <c r="AE223" s="258"/>
      <c r="AF223" s="258"/>
      <c r="AG223" s="258"/>
      <c r="AH223" s="258"/>
      <c r="AI223" s="258"/>
      <c r="AJ223" s="258"/>
      <c r="AK223" s="258"/>
      <c r="AL223" s="258"/>
      <c r="AM223" s="258"/>
      <c r="AN223" s="258"/>
      <c r="AO223" s="258"/>
      <c r="AP223" s="258"/>
      <c r="AQ223" s="258"/>
      <c r="AR223" s="258"/>
      <c r="AS223" s="258"/>
      <c r="AT223" s="258"/>
      <c r="AU223" s="258"/>
      <c r="AV223" s="258"/>
      <c r="AW223" s="258"/>
      <c r="AX223" s="258"/>
      <c r="AY223" s="258"/>
    </row>
    <row r="224" spans="1:51" x14ac:dyDescent="0.3">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c r="AA224" s="258"/>
      <c r="AB224" s="258"/>
      <c r="AC224" s="258"/>
      <c r="AD224" s="258"/>
      <c r="AE224" s="258"/>
      <c r="AF224" s="258"/>
      <c r="AG224" s="258"/>
      <c r="AH224" s="258"/>
      <c r="AI224" s="258"/>
      <c r="AJ224" s="258"/>
      <c r="AK224" s="258"/>
      <c r="AL224" s="258"/>
      <c r="AM224" s="258"/>
      <c r="AN224" s="258"/>
      <c r="AO224" s="258"/>
      <c r="AP224" s="258"/>
      <c r="AQ224" s="258"/>
      <c r="AR224" s="258"/>
      <c r="AS224" s="258"/>
      <c r="AT224" s="258"/>
      <c r="AU224" s="258"/>
      <c r="AV224" s="258"/>
      <c r="AW224" s="258"/>
      <c r="AX224" s="258"/>
      <c r="AY224" s="258"/>
    </row>
    <row r="225" spans="1:51" x14ac:dyDescent="0.3">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c r="AA225" s="258"/>
      <c r="AB225" s="258"/>
      <c r="AC225" s="258"/>
      <c r="AD225" s="258"/>
      <c r="AE225" s="258"/>
      <c r="AF225" s="258"/>
      <c r="AG225" s="258"/>
      <c r="AH225" s="258"/>
      <c r="AI225" s="258"/>
      <c r="AJ225" s="258"/>
      <c r="AK225" s="258"/>
      <c r="AL225" s="258"/>
      <c r="AM225" s="258"/>
      <c r="AN225" s="258"/>
      <c r="AO225" s="258"/>
      <c r="AP225" s="258"/>
      <c r="AQ225" s="258"/>
      <c r="AR225" s="258"/>
      <c r="AS225" s="258"/>
      <c r="AT225" s="258"/>
      <c r="AU225" s="258"/>
      <c r="AV225" s="258"/>
      <c r="AW225" s="258"/>
      <c r="AX225" s="258"/>
      <c r="AY225" s="258"/>
    </row>
    <row r="226" spans="1:51" x14ac:dyDescent="0.3">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c r="AA226" s="258"/>
      <c r="AB226" s="258"/>
      <c r="AC226" s="258"/>
      <c r="AD226" s="258"/>
      <c r="AE226" s="258"/>
      <c r="AF226" s="258"/>
      <c r="AG226" s="258"/>
      <c r="AH226" s="258"/>
      <c r="AI226" s="258"/>
      <c r="AJ226" s="258"/>
      <c r="AK226" s="258"/>
      <c r="AL226" s="258"/>
      <c r="AM226" s="258"/>
      <c r="AN226" s="258"/>
      <c r="AO226" s="258"/>
      <c r="AP226" s="258"/>
      <c r="AQ226" s="258"/>
      <c r="AR226" s="258"/>
      <c r="AS226" s="258"/>
      <c r="AT226" s="258"/>
      <c r="AU226" s="258"/>
      <c r="AV226" s="258"/>
      <c r="AW226" s="258"/>
      <c r="AX226" s="258"/>
      <c r="AY226" s="258"/>
    </row>
    <row r="227" spans="1:51" x14ac:dyDescent="0.3">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c r="AA227" s="258"/>
      <c r="AB227" s="258"/>
      <c r="AC227" s="258"/>
      <c r="AD227" s="258"/>
      <c r="AE227" s="258"/>
      <c r="AF227" s="258"/>
      <c r="AG227" s="258"/>
      <c r="AH227" s="258"/>
      <c r="AI227" s="258"/>
      <c r="AJ227" s="258"/>
      <c r="AK227" s="258"/>
      <c r="AL227" s="258"/>
      <c r="AM227" s="258"/>
      <c r="AN227" s="258"/>
      <c r="AO227" s="258"/>
      <c r="AP227" s="258"/>
      <c r="AQ227" s="258"/>
      <c r="AR227" s="258"/>
      <c r="AS227" s="258"/>
      <c r="AT227" s="258"/>
      <c r="AU227" s="258"/>
      <c r="AV227" s="258"/>
      <c r="AW227" s="258"/>
      <c r="AX227" s="258"/>
      <c r="AY227" s="258"/>
    </row>
    <row r="228" spans="1:51" x14ac:dyDescent="0.3">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c r="AA228" s="258"/>
      <c r="AB228" s="258"/>
      <c r="AC228" s="258"/>
      <c r="AD228" s="258"/>
      <c r="AE228" s="258"/>
      <c r="AF228" s="258"/>
      <c r="AG228" s="258"/>
      <c r="AH228" s="258"/>
      <c r="AI228" s="258"/>
      <c r="AJ228" s="258"/>
      <c r="AK228" s="258"/>
      <c r="AL228" s="258"/>
      <c r="AM228" s="258"/>
      <c r="AN228" s="258"/>
      <c r="AO228" s="258"/>
      <c r="AP228" s="258"/>
      <c r="AQ228" s="258"/>
      <c r="AR228" s="258"/>
      <c r="AS228" s="258"/>
      <c r="AT228" s="258"/>
      <c r="AU228" s="258"/>
      <c r="AV228" s="258"/>
      <c r="AW228" s="258"/>
      <c r="AX228" s="258"/>
      <c r="AY228" s="258"/>
    </row>
    <row r="229" spans="1:51" x14ac:dyDescent="0.3">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c r="AA229" s="258"/>
      <c r="AB229" s="258"/>
      <c r="AC229" s="258"/>
      <c r="AD229" s="258"/>
      <c r="AE229" s="258"/>
      <c r="AF229" s="258"/>
      <c r="AG229" s="258"/>
      <c r="AH229" s="258"/>
      <c r="AI229" s="258"/>
      <c r="AJ229" s="258"/>
      <c r="AK229" s="258"/>
      <c r="AL229" s="258"/>
      <c r="AM229" s="258"/>
      <c r="AN229" s="258"/>
      <c r="AO229" s="258"/>
      <c r="AP229" s="258"/>
      <c r="AQ229" s="258"/>
      <c r="AR229" s="258"/>
      <c r="AS229" s="258"/>
      <c r="AT229" s="258"/>
      <c r="AU229" s="258"/>
      <c r="AV229" s="258"/>
      <c r="AW229" s="258"/>
      <c r="AX229" s="258"/>
      <c r="AY229" s="258"/>
    </row>
    <row r="230" spans="1:51" x14ac:dyDescent="0.3">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c r="AA230" s="258"/>
      <c r="AB230" s="258"/>
      <c r="AC230" s="258"/>
      <c r="AD230" s="258"/>
      <c r="AE230" s="258"/>
      <c r="AF230" s="258"/>
      <c r="AG230" s="258"/>
      <c r="AH230" s="258"/>
      <c r="AI230" s="258"/>
      <c r="AJ230" s="258"/>
      <c r="AK230" s="258"/>
      <c r="AL230" s="258"/>
      <c r="AM230" s="258"/>
      <c r="AN230" s="258"/>
      <c r="AO230" s="258"/>
      <c r="AP230" s="258"/>
      <c r="AQ230" s="258"/>
      <c r="AR230" s="258"/>
      <c r="AS230" s="258"/>
      <c r="AT230" s="258"/>
      <c r="AU230" s="258"/>
      <c r="AV230" s="258"/>
      <c r="AW230" s="258"/>
      <c r="AX230" s="258"/>
      <c r="AY230" s="258"/>
    </row>
    <row r="231" spans="1:51" x14ac:dyDescent="0.3">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c r="AA231" s="258"/>
      <c r="AB231" s="258"/>
      <c r="AC231" s="258"/>
      <c r="AD231" s="258"/>
      <c r="AE231" s="258"/>
      <c r="AF231" s="258"/>
      <c r="AG231" s="258"/>
      <c r="AH231" s="258"/>
      <c r="AI231" s="258"/>
      <c r="AJ231" s="258"/>
      <c r="AK231" s="258"/>
      <c r="AL231" s="258"/>
      <c r="AM231" s="258"/>
      <c r="AN231" s="258"/>
      <c r="AO231" s="258"/>
      <c r="AP231" s="258"/>
      <c r="AQ231" s="258"/>
      <c r="AR231" s="258"/>
      <c r="AS231" s="258"/>
      <c r="AT231" s="258"/>
      <c r="AU231" s="258"/>
      <c r="AV231" s="258"/>
      <c r="AW231" s="258"/>
      <c r="AX231" s="258"/>
      <c r="AY231" s="258"/>
    </row>
    <row r="232" spans="1:51" x14ac:dyDescent="0.3">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c r="AA232" s="258"/>
      <c r="AB232" s="258"/>
      <c r="AC232" s="258"/>
      <c r="AD232" s="258"/>
      <c r="AE232" s="258"/>
      <c r="AF232" s="258"/>
      <c r="AG232" s="258"/>
      <c r="AH232" s="258"/>
      <c r="AI232" s="258"/>
      <c r="AJ232" s="258"/>
      <c r="AK232" s="258"/>
      <c r="AL232" s="258"/>
      <c r="AM232" s="258"/>
      <c r="AN232" s="258"/>
      <c r="AO232" s="258"/>
      <c r="AP232" s="258"/>
      <c r="AQ232" s="258"/>
      <c r="AR232" s="258"/>
      <c r="AS232" s="258"/>
      <c r="AT232" s="258"/>
      <c r="AU232" s="258"/>
      <c r="AV232" s="258"/>
      <c r="AW232" s="258"/>
      <c r="AX232" s="258"/>
      <c r="AY232" s="258"/>
    </row>
    <row r="233" spans="1:51" x14ac:dyDescent="0.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c r="AA233" s="258"/>
      <c r="AB233" s="258"/>
      <c r="AC233" s="258"/>
      <c r="AD233" s="258"/>
      <c r="AE233" s="258"/>
      <c r="AF233" s="258"/>
      <c r="AG233" s="258"/>
      <c r="AH233" s="258"/>
      <c r="AI233" s="258"/>
      <c r="AJ233" s="258"/>
      <c r="AK233" s="258"/>
      <c r="AL233" s="258"/>
      <c r="AM233" s="258"/>
      <c r="AN233" s="258"/>
      <c r="AO233" s="258"/>
      <c r="AP233" s="258"/>
      <c r="AQ233" s="258"/>
      <c r="AR233" s="258"/>
      <c r="AS233" s="258"/>
      <c r="AT233" s="258"/>
      <c r="AU233" s="258"/>
      <c r="AV233" s="258"/>
      <c r="AW233" s="258"/>
      <c r="AX233" s="258"/>
      <c r="AY233" s="258"/>
    </row>
    <row r="234" spans="1:51" x14ac:dyDescent="0.3">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c r="AA234" s="258"/>
      <c r="AB234" s="258"/>
      <c r="AC234" s="258"/>
      <c r="AD234" s="258"/>
      <c r="AE234" s="258"/>
      <c r="AF234" s="258"/>
      <c r="AG234" s="258"/>
      <c r="AH234" s="258"/>
      <c r="AI234" s="258"/>
      <c r="AJ234" s="258"/>
      <c r="AK234" s="258"/>
      <c r="AL234" s="258"/>
      <c r="AM234" s="258"/>
      <c r="AN234" s="258"/>
      <c r="AO234" s="258"/>
      <c r="AP234" s="258"/>
      <c r="AQ234" s="258"/>
      <c r="AR234" s="258"/>
      <c r="AS234" s="258"/>
      <c r="AT234" s="258"/>
      <c r="AU234" s="258"/>
      <c r="AV234" s="258"/>
      <c r="AW234" s="258"/>
      <c r="AX234" s="258"/>
      <c r="AY234" s="258"/>
    </row>
    <row r="235" spans="1:51" x14ac:dyDescent="0.3">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c r="AA235" s="258"/>
      <c r="AB235" s="258"/>
      <c r="AC235" s="258"/>
      <c r="AD235" s="258"/>
      <c r="AE235" s="258"/>
      <c r="AF235" s="258"/>
      <c r="AG235" s="258"/>
      <c r="AH235" s="258"/>
      <c r="AI235" s="258"/>
      <c r="AJ235" s="258"/>
      <c r="AK235" s="258"/>
      <c r="AL235" s="258"/>
      <c r="AM235" s="258"/>
      <c r="AN235" s="258"/>
      <c r="AO235" s="258"/>
      <c r="AP235" s="258"/>
      <c r="AQ235" s="258"/>
      <c r="AR235" s="258"/>
      <c r="AS235" s="258"/>
      <c r="AT235" s="258"/>
      <c r="AU235" s="258"/>
      <c r="AV235" s="258"/>
      <c r="AW235" s="258"/>
      <c r="AX235" s="258"/>
      <c r="AY235" s="258"/>
    </row>
    <row r="236" spans="1:51" x14ac:dyDescent="0.3">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c r="AA236" s="258"/>
      <c r="AB236" s="258"/>
      <c r="AC236" s="258"/>
      <c r="AD236" s="258"/>
      <c r="AE236" s="258"/>
      <c r="AF236" s="258"/>
      <c r="AG236" s="258"/>
      <c r="AH236" s="258"/>
      <c r="AI236" s="258"/>
      <c r="AJ236" s="258"/>
      <c r="AK236" s="258"/>
      <c r="AL236" s="258"/>
      <c r="AM236" s="258"/>
      <c r="AN236" s="258"/>
      <c r="AO236" s="258"/>
      <c r="AP236" s="258"/>
      <c r="AQ236" s="258"/>
      <c r="AR236" s="258"/>
      <c r="AS236" s="258"/>
      <c r="AT236" s="258"/>
      <c r="AU236" s="258"/>
      <c r="AV236" s="258"/>
      <c r="AW236" s="258"/>
      <c r="AX236" s="258"/>
      <c r="AY236" s="258"/>
    </row>
    <row r="237" spans="1:51" x14ac:dyDescent="0.3">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c r="AA237" s="258"/>
      <c r="AB237" s="258"/>
      <c r="AC237" s="258"/>
      <c r="AD237" s="258"/>
      <c r="AE237" s="258"/>
      <c r="AF237" s="258"/>
      <c r="AG237" s="258"/>
      <c r="AH237" s="258"/>
      <c r="AI237" s="258"/>
      <c r="AJ237" s="258"/>
      <c r="AK237" s="258"/>
      <c r="AL237" s="258"/>
      <c r="AM237" s="258"/>
      <c r="AN237" s="258"/>
      <c r="AO237" s="258"/>
      <c r="AP237" s="258"/>
      <c r="AQ237" s="258"/>
      <c r="AR237" s="258"/>
      <c r="AS237" s="258"/>
      <c r="AT237" s="258"/>
      <c r="AU237" s="258"/>
      <c r="AV237" s="258"/>
      <c r="AW237" s="258"/>
      <c r="AX237" s="258"/>
      <c r="AY237" s="258"/>
    </row>
    <row r="238" spans="1:51" x14ac:dyDescent="0.3">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c r="AA238" s="258"/>
      <c r="AB238" s="258"/>
      <c r="AC238" s="258"/>
      <c r="AD238" s="258"/>
      <c r="AE238" s="258"/>
      <c r="AF238" s="258"/>
      <c r="AG238" s="258"/>
      <c r="AH238" s="258"/>
      <c r="AI238" s="258"/>
      <c r="AJ238" s="258"/>
      <c r="AK238" s="258"/>
      <c r="AL238" s="258"/>
      <c r="AM238" s="258"/>
      <c r="AN238" s="258"/>
      <c r="AO238" s="258"/>
      <c r="AP238" s="258"/>
      <c r="AQ238" s="258"/>
      <c r="AR238" s="258"/>
      <c r="AS238" s="258"/>
      <c r="AT238" s="258"/>
      <c r="AU238" s="258"/>
      <c r="AV238" s="258"/>
      <c r="AW238" s="258"/>
      <c r="AX238" s="258"/>
      <c r="AY238" s="258"/>
    </row>
    <row r="239" spans="1:51" x14ac:dyDescent="0.3">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c r="AA239" s="258"/>
      <c r="AB239" s="258"/>
      <c r="AC239" s="258"/>
      <c r="AD239" s="258"/>
      <c r="AE239" s="258"/>
      <c r="AF239" s="258"/>
      <c r="AG239" s="258"/>
      <c r="AH239" s="258"/>
      <c r="AI239" s="258"/>
      <c r="AJ239" s="258"/>
      <c r="AK239" s="258"/>
      <c r="AL239" s="258"/>
      <c r="AM239" s="258"/>
      <c r="AN239" s="258"/>
      <c r="AO239" s="258"/>
      <c r="AP239" s="258"/>
      <c r="AQ239" s="258"/>
      <c r="AR239" s="258"/>
      <c r="AS239" s="258"/>
      <c r="AT239" s="258"/>
      <c r="AU239" s="258"/>
      <c r="AV239" s="258"/>
      <c r="AW239" s="258"/>
      <c r="AX239" s="258"/>
      <c r="AY239" s="258"/>
    </row>
    <row r="240" spans="1:51" x14ac:dyDescent="0.3">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c r="AA240" s="258"/>
      <c r="AB240" s="258"/>
      <c r="AC240" s="258"/>
      <c r="AD240" s="258"/>
      <c r="AE240" s="258"/>
      <c r="AF240" s="258"/>
      <c r="AG240" s="258"/>
      <c r="AH240" s="258"/>
      <c r="AI240" s="258"/>
      <c r="AJ240" s="258"/>
      <c r="AK240" s="258"/>
      <c r="AL240" s="258"/>
      <c r="AM240" s="258"/>
      <c r="AN240" s="258"/>
      <c r="AO240" s="258"/>
      <c r="AP240" s="258"/>
      <c r="AQ240" s="258"/>
      <c r="AR240" s="258"/>
      <c r="AS240" s="258"/>
      <c r="AT240" s="258"/>
      <c r="AU240" s="258"/>
      <c r="AV240" s="258"/>
      <c r="AW240" s="258"/>
      <c r="AX240" s="258"/>
      <c r="AY240" s="258"/>
    </row>
    <row r="241" spans="1:51" x14ac:dyDescent="0.3">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c r="AA241" s="258"/>
      <c r="AB241" s="258"/>
      <c r="AC241" s="258"/>
      <c r="AD241" s="258"/>
      <c r="AE241" s="258"/>
      <c r="AF241" s="258"/>
      <c r="AG241" s="258"/>
      <c r="AH241" s="258"/>
      <c r="AI241" s="258"/>
      <c r="AJ241" s="258"/>
      <c r="AK241" s="258"/>
      <c r="AL241" s="258"/>
      <c r="AM241" s="258"/>
      <c r="AN241" s="258"/>
      <c r="AO241" s="258"/>
      <c r="AP241" s="258"/>
      <c r="AQ241" s="258"/>
      <c r="AR241" s="258"/>
      <c r="AS241" s="258"/>
      <c r="AT241" s="258"/>
      <c r="AU241" s="258"/>
      <c r="AV241" s="258"/>
      <c r="AW241" s="258"/>
      <c r="AX241" s="258"/>
      <c r="AY241" s="258"/>
    </row>
    <row r="242" spans="1:51" x14ac:dyDescent="0.3">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c r="AA242" s="258"/>
      <c r="AB242" s="258"/>
      <c r="AC242" s="258"/>
      <c r="AD242" s="258"/>
      <c r="AE242" s="258"/>
      <c r="AF242" s="258"/>
      <c r="AG242" s="258"/>
      <c r="AH242" s="258"/>
      <c r="AI242" s="258"/>
      <c r="AJ242" s="258"/>
      <c r="AK242" s="258"/>
      <c r="AL242" s="258"/>
      <c r="AM242" s="258"/>
      <c r="AN242" s="258"/>
      <c r="AO242" s="258"/>
      <c r="AP242" s="258"/>
      <c r="AQ242" s="258"/>
      <c r="AR242" s="258"/>
      <c r="AS242" s="258"/>
      <c r="AT242" s="258"/>
      <c r="AU242" s="258"/>
      <c r="AV242" s="258"/>
      <c r="AW242" s="258"/>
      <c r="AX242" s="258"/>
      <c r="AY242" s="258"/>
    </row>
    <row r="243" spans="1:51" x14ac:dyDescent="0.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c r="AA243" s="258"/>
      <c r="AB243" s="258"/>
      <c r="AC243" s="258"/>
      <c r="AD243" s="258"/>
      <c r="AE243" s="258"/>
      <c r="AF243" s="258"/>
      <c r="AG243" s="258"/>
      <c r="AH243" s="258"/>
      <c r="AI243" s="258"/>
      <c r="AJ243" s="258"/>
      <c r="AK243" s="258"/>
      <c r="AL243" s="258"/>
      <c r="AM243" s="258"/>
      <c r="AN243" s="258"/>
      <c r="AO243" s="258"/>
      <c r="AP243" s="258"/>
      <c r="AQ243" s="258"/>
      <c r="AR243" s="258"/>
      <c r="AS243" s="258"/>
      <c r="AT243" s="258"/>
      <c r="AU243" s="258"/>
      <c r="AV243" s="258"/>
      <c r="AW243" s="258"/>
      <c r="AX243" s="258"/>
      <c r="AY243" s="258"/>
    </row>
    <row r="244" spans="1:51" x14ac:dyDescent="0.3">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c r="AA244" s="258"/>
      <c r="AB244" s="258"/>
      <c r="AC244" s="258"/>
      <c r="AD244" s="258"/>
      <c r="AE244" s="258"/>
      <c r="AF244" s="258"/>
      <c r="AG244" s="258"/>
      <c r="AH244" s="258"/>
      <c r="AI244" s="258"/>
      <c r="AJ244" s="258"/>
      <c r="AK244" s="258"/>
      <c r="AL244" s="258"/>
      <c r="AM244" s="258"/>
      <c r="AN244" s="258"/>
      <c r="AO244" s="258"/>
      <c r="AP244" s="258"/>
      <c r="AQ244" s="258"/>
      <c r="AR244" s="258"/>
      <c r="AS244" s="258"/>
      <c r="AT244" s="258"/>
      <c r="AU244" s="258"/>
      <c r="AV244" s="258"/>
      <c r="AW244" s="258"/>
      <c r="AX244" s="258"/>
      <c r="AY244" s="258"/>
    </row>
    <row r="245" spans="1:51" x14ac:dyDescent="0.3">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c r="AA245" s="258"/>
      <c r="AB245" s="258"/>
      <c r="AC245" s="258"/>
      <c r="AD245" s="258"/>
      <c r="AE245" s="258"/>
      <c r="AF245" s="258"/>
      <c r="AG245" s="258"/>
      <c r="AH245" s="258"/>
      <c r="AI245" s="258"/>
      <c r="AJ245" s="258"/>
      <c r="AK245" s="258"/>
      <c r="AL245" s="258"/>
      <c r="AM245" s="258"/>
      <c r="AN245" s="258"/>
      <c r="AO245" s="258"/>
      <c r="AP245" s="258"/>
      <c r="AQ245" s="258"/>
      <c r="AR245" s="258"/>
      <c r="AS245" s="258"/>
      <c r="AT245" s="258"/>
      <c r="AU245" s="258"/>
      <c r="AV245" s="258"/>
      <c r="AW245" s="258"/>
      <c r="AX245" s="258"/>
      <c r="AY245" s="258"/>
    </row>
    <row r="246" spans="1:51" x14ac:dyDescent="0.3">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c r="AA246" s="258"/>
      <c r="AB246" s="258"/>
      <c r="AC246" s="258"/>
      <c r="AD246" s="258"/>
      <c r="AE246" s="258"/>
      <c r="AF246" s="258"/>
      <c r="AG246" s="258"/>
      <c r="AH246" s="258"/>
      <c r="AI246" s="258"/>
      <c r="AJ246" s="258"/>
      <c r="AK246" s="258"/>
      <c r="AL246" s="258"/>
      <c r="AM246" s="258"/>
      <c r="AN246" s="258"/>
      <c r="AO246" s="258"/>
      <c r="AP246" s="258"/>
      <c r="AQ246" s="258"/>
      <c r="AR246" s="258"/>
      <c r="AS246" s="258"/>
      <c r="AT246" s="258"/>
      <c r="AU246" s="258"/>
      <c r="AV246" s="258"/>
      <c r="AW246" s="258"/>
      <c r="AX246" s="258"/>
      <c r="AY246" s="258"/>
    </row>
    <row r="247" spans="1:51" x14ac:dyDescent="0.3">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c r="AA247" s="258"/>
      <c r="AB247" s="258"/>
      <c r="AC247" s="258"/>
      <c r="AD247" s="258"/>
      <c r="AE247" s="258"/>
      <c r="AF247" s="258"/>
      <c r="AG247" s="258"/>
      <c r="AH247" s="258"/>
      <c r="AI247" s="258"/>
      <c r="AJ247" s="258"/>
      <c r="AK247" s="258"/>
      <c r="AL247" s="258"/>
      <c r="AM247" s="258"/>
      <c r="AN247" s="258"/>
      <c r="AO247" s="258"/>
      <c r="AP247" s="258"/>
      <c r="AQ247" s="258"/>
      <c r="AR247" s="258"/>
      <c r="AS247" s="258"/>
      <c r="AT247" s="258"/>
      <c r="AU247" s="258"/>
      <c r="AV247" s="258"/>
      <c r="AW247" s="258"/>
      <c r="AX247" s="258"/>
      <c r="AY247" s="258"/>
    </row>
    <row r="248" spans="1:51" x14ac:dyDescent="0.3">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c r="AA248" s="258"/>
      <c r="AB248" s="258"/>
      <c r="AC248" s="258"/>
      <c r="AD248" s="258"/>
      <c r="AE248" s="258"/>
      <c r="AF248" s="258"/>
      <c r="AG248" s="258"/>
      <c r="AH248" s="258"/>
      <c r="AI248" s="258"/>
      <c r="AJ248" s="258"/>
      <c r="AK248" s="258"/>
      <c r="AL248" s="258"/>
      <c r="AM248" s="258"/>
      <c r="AN248" s="258"/>
      <c r="AO248" s="258"/>
      <c r="AP248" s="258"/>
      <c r="AQ248" s="258"/>
      <c r="AR248" s="258"/>
      <c r="AS248" s="258"/>
      <c r="AT248" s="258"/>
      <c r="AU248" s="258"/>
      <c r="AV248" s="258"/>
      <c r="AW248" s="258"/>
      <c r="AX248" s="258"/>
      <c r="AY248" s="258"/>
    </row>
    <row r="249" spans="1:51" x14ac:dyDescent="0.3">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c r="AA249" s="258"/>
      <c r="AB249" s="258"/>
      <c r="AC249" s="258"/>
      <c r="AD249" s="258"/>
      <c r="AE249" s="258"/>
      <c r="AF249" s="258"/>
      <c r="AG249" s="258"/>
      <c r="AH249" s="258"/>
      <c r="AI249" s="258"/>
      <c r="AJ249" s="258"/>
      <c r="AK249" s="258"/>
      <c r="AL249" s="258"/>
      <c r="AM249" s="258"/>
      <c r="AN249" s="258"/>
      <c r="AO249" s="258"/>
      <c r="AP249" s="258"/>
      <c r="AQ249" s="258"/>
      <c r="AR249" s="258"/>
      <c r="AS249" s="258"/>
      <c r="AT249" s="258"/>
      <c r="AU249" s="258"/>
      <c r="AV249" s="258"/>
      <c r="AW249" s="258"/>
      <c r="AX249" s="258"/>
      <c r="AY249" s="258"/>
    </row>
    <row r="250" spans="1:51" x14ac:dyDescent="0.3">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c r="AA250" s="258"/>
      <c r="AB250" s="258"/>
      <c r="AC250" s="258"/>
      <c r="AD250" s="258"/>
      <c r="AE250" s="258"/>
      <c r="AF250" s="258"/>
      <c r="AG250" s="258"/>
      <c r="AH250" s="258"/>
      <c r="AI250" s="258"/>
      <c r="AJ250" s="258"/>
      <c r="AK250" s="258"/>
      <c r="AL250" s="258"/>
      <c r="AM250" s="258"/>
      <c r="AN250" s="258"/>
      <c r="AO250" s="258"/>
      <c r="AP250" s="258"/>
      <c r="AQ250" s="258"/>
      <c r="AR250" s="258"/>
      <c r="AS250" s="258"/>
      <c r="AT250" s="258"/>
      <c r="AU250" s="258"/>
      <c r="AV250" s="258"/>
      <c r="AW250" s="258"/>
      <c r="AX250" s="258"/>
      <c r="AY250" s="258"/>
    </row>
    <row r="251" spans="1:51" x14ac:dyDescent="0.3">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c r="AA251" s="258"/>
      <c r="AB251" s="258"/>
      <c r="AC251" s="258"/>
      <c r="AD251" s="258"/>
      <c r="AE251" s="258"/>
      <c r="AF251" s="258"/>
      <c r="AG251" s="258"/>
      <c r="AH251" s="258"/>
      <c r="AI251" s="258"/>
      <c r="AJ251" s="258"/>
      <c r="AK251" s="258"/>
      <c r="AL251" s="258"/>
      <c r="AM251" s="258"/>
      <c r="AN251" s="258"/>
      <c r="AO251" s="258"/>
      <c r="AP251" s="258"/>
      <c r="AQ251" s="258"/>
      <c r="AR251" s="258"/>
      <c r="AS251" s="258"/>
      <c r="AT251" s="258"/>
      <c r="AU251" s="258"/>
      <c r="AV251" s="258"/>
      <c r="AW251" s="258"/>
      <c r="AX251" s="258"/>
      <c r="AY251" s="258"/>
    </row>
    <row r="252" spans="1:51" x14ac:dyDescent="0.3">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c r="AA252" s="258"/>
      <c r="AB252" s="258"/>
      <c r="AC252" s="258"/>
      <c r="AD252" s="258"/>
      <c r="AE252" s="258"/>
      <c r="AF252" s="258"/>
      <c r="AG252" s="258"/>
      <c r="AH252" s="258"/>
      <c r="AI252" s="258"/>
      <c r="AJ252" s="258"/>
      <c r="AK252" s="258"/>
      <c r="AL252" s="258"/>
      <c r="AM252" s="258"/>
      <c r="AN252" s="258"/>
      <c r="AO252" s="258"/>
      <c r="AP252" s="258"/>
      <c r="AQ252" s="258"/>
      <c r="AR252" s="258"/>
      <c r="AS252" s="258"/>
      <c r="AT252" s="258"/>
      <c r="AU252" s="258"/>
      <c r="AV252" s="258"/>
      <c r="AW252" s="258"/>
      <c r="AX252" s="258"/>
      <c r="AY252" s="258"/>
    </row>
    <row r="253" spans="1:51" x14ac:dyDescent="0.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c r="AA253" s="258"/>
      <c r="AB253" s="258"/>
      <c r="AC253" s="258"/>
      <c r="AD253" s="258"/>
      <c r="AE253" s="258"/>
      <c r="AF253" s="258"/>
      <c r="AG253" s="258"/>
      <c r="AH253" s="258"/>
      <c r="AI253" s="258"/>
      <c r="AJ253" s="258"/>
      <c r="AK253" s="258"/>
      <c r="AL253" s="258"/>
      <c r="AM253" s="258"/>
      <c r="AN253" s="258"/>
      <c r="AO253" s="258"/>
      <c r="AP253" s="258"/>
      <c r="AQ253" s="258"/>
      <c r="AR253" s="258"/>
      <c r="AS253" s="258"/>
      <c r="AT253" s="258"/>
      <c r="AU253" s="258"/>
      <c r="AV253" s="258"/>
      <c r="AW253" s="258"/>
      <c r="AX253" s="258"/>
      <c r="AY253" s="258"/>
    </row>
    <row r="254" spans="1:51" x14ac:dyDescent="0.3">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c r="AA254" s="258"/>
      <c r="AB254" s="258"/>
      <c r="AC254" s="258"/>
      <c r="AD254" s="258"/>
      <c r="AE254" s="258"/>
      <c r="AF254" s="258"/>
      <c r="AG254" s="258"/>
      <c r="AH254" s="258"/>
      <c r="AI254" s="258"/>
      <c r="AJ254" s="258"/>
      <c r="AK254" s="258"/>
      <c r="AL254" s="258"/>
      <c r="AM254" s="258"/>
      <c r="AN254" s="258"/>
      <c r="AO254" s="258"/>
      <c r="AP254" s="258"/>
      <c r="AQ254" s="258"/>
      <c r="AR254" s="258"/>
      <c r="AS254" s="258"/>
      <c r="AT254" s="258"/>
      <c r="AU254" s="258"/>
      <c r="AV254" s="258"/>
      <c r="AW254" s="258"/>
      <c r="AX254" s="258"/>
      <c r="AY254" s="258"/>
    </row>
    <row r="255" spans="1:51" x14ac:dyDescent="0.3">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c r="AA255" s="258"/>
      <c r="AB255" s="258"/>
      <c r="AC255" s="258"/>
      <c r="AD255" s="258"/>
      <c r="AE255" s="258"/>
      <c r="AF255" s="258"/>
      <c r="AG255" s="258"/>
      <c r="AH255" s="258"/>
      <c r="AI255" s="258"/>
      <c r="AJ255" s="258"/>
      <c r="AK255" s="258"/>
      <c r="AL255" s="258"/>
      <c r="AM255" s="258"/>
      <c r="AN255" s="258"/>
      <c r="AO255" s="258"/>
      <c r="AP255" s="258"/>
      <c r="AQ255" s="258"/>
      <c r="AR255" s="258"/>
      <c r="AS255" s="258"/>
      <c r="AT255" s="258"/>
      <c r="AU255" s="258"/>
      <c r="AV255" s="258"/>
      <c r="AW255" s="258"/>
      <c r="AX255" s="258"/>
      <c r="AY255" s="258"/>
    </row>
    <row r="256" spans="1:51" x14ac:dyDescent="0.3">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c r="AA256" s="258"/>
      <c r="AB256" s="258"/>
      <c r="AC256" s="258"/>
      <c r="AD256" s="258"/>
      <c r="AE256" s="258"/>
      <c r="AF256" s="258"/>
      <c r="AG256" s="258"/>
      <c r="AH256" s="258"/>
      <c r="AI256" s="258"/>
      <c r="AJ256" s="258"/>
      <c r="AK256" s="258"/>
      <c r="AL256" s="258"/>
      <c r="AM256" s="258"/>
      <c r="AN256" s="258"/>
      <c r="AO256" s="258"/>
      <c r="AP256" s="258"/>
      <c r="AQ256" s="258"/>
      <c r="AR256" s="258"/>
      <c r="AS256" s="258"/>
      <c r="AT256" s="258"/>
      <c r="AU256" s="258"/>
      <c r="AV256" s="258"/>
      <c r="AW256" s="258"/>
      <c r="AX256" s="258"/>
      <c r="AY256" s="258"/>
    </row>
    <row r="257" spans="1:51" x14ac:dyDescent="0.3">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c r="AA257" s="258"/>
      <c r="AB257" s="258"/>
      <c r="AC257" s="258"/>
      <c r="AD257" s="258"/>
      <c r="AE257" s="258"/>
      <c r="AF257" s="258"/>
      <c r="AG257" s="258"/>
      <c r="AH257" s="258"/>
      <c r="AI257" s="258"/>
      <c r="AJ257" s="258"/>
      <c r="AK257" s="258"/>
      <c r="AL257" s="258"/>
      <c r="AM257" s="258"/>
      <c r="AN257" s="258"/>
      <c r="AO257" s="258"/>
      <c r="AP257" s="258"/>
      <c r="AQ257" s="258"/>
      <c r="AR257" s="258"/>
      <c r="AS257" s="258"/>
      <c r="AT257" s="258"/>
      <c r="AU257" s="258"/>
      <c r="AV257" s="258"/>
      <c r="AW257" s="258"/>
      <c r="AX257" s="258"/>
      <c r="AY257" s="258"/>
    </row>
    <row r="258" spans="1:51" x14ac:dyDescent="0.3">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c r="AA258" s="258"/>
      <c r="AB258" s="258"/>
      <c r="AC258" s="258"/>
      <c r="AD258" s="258"/>
      <c r="AE258" s="258"/>
      <c r="AF258" s="258"/>
      <c r="AG258" s="258"/>
      <c r="AH258" s="258"/>
      <c r="AI258" s="258"/>
      <c r="AJ258" s="258"/>
      <c r="AK258" s="258"/>
      <c r="AL258" s="258"/>
      <c r="AM258" s="258"/>
      <c r="AN258" s="258"/>
      <c r="AO258" s="258"/>
      <c r="AP258" s="258"/>
      <c r="AQ258" s="258"/>
      <c r="AR258" s="258"/>
      <c r="AS258" s="258"/>
      <c r="AT258" s="258"/>
      <c r="AU258" s="258"/>
      <c r="AV258" s="258"/>
      <c r="AW258" s="258"/>
      <c r="AX258" s="258"/>
      <c r="AY258" s="258"/>
    </row>
    <row r="259" spans="1:51" x14ac:dyDescent="0.3">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c r="AA259" s="258"/>
      <c r="AB259" s="258"/>
      <c r="AC259" s="258"/>
      <c r="AD259" s="258"/>
      <c r="AE259" s="258"/>
      <c r="AF259" s="258"/>
      <c r="AG259" s="258"/>
      <c r="AH259" s="258"/>
      <c r="AI259" s="258"/>
      <c r="AJ259" s="258"/>
      <c r="AK259" s="258"/>
      <c r="AL259" s="258"/>
      <c r="AM259" s="258"/>
      <c r="AN259" s="258"/>
      <c r="AO259" s="258"/>
      <c r="AP259" s="258"/>
      <c r="AQ259" s="258"/>
      <c r="AR259" s="258"/>
      <c r="AS259" s="258"/>
      <c r="AT259" s="258"/>
      <c r="AU259" s="258"/>
      <c r="AV259" s="258"/>
      <c r="AW259" s="258"/>
      <c r="AX259" s="258"/>
      <c r="AY259" s="258"/>
    </row>
    <row r="260" spans="1:51" x14ac:dyDescent="0.3">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c r="AA260" s="258"/>
      <c r="AB260" s="258"/>
      <c r="AC260" s="258"/>
      <c r="AD260" s="258"/>
      <c r="AE260" s="258"/>
      <c r="AF260" s="258"/>
      <c r="AG260" s="258"/>
      <c r="AH260" s="258"/>
      <c r="AI260" s="258"/>
      <c r="AJ260" s="258"/>
      <c r="AK260" s="258"/>
      <c r="AL260" s="258"/>
      <c r="AM260" s="258"/>
      <c r="AN260" s="258"/>
      <c r="AO260" s="258"/>
      <c r="AP260" s="258"/>
      <c r="AQ260" s="258"/>
      <c r="AR260" s="258"/>
      <c r="AS260" s="258"/>
      <c r="AT260" s="258"/>
      <c r="AU260" s="258"/>
      <c r="AV260" s="258"/>
      <c r="AW260" s="258"/>
      <c r="AX260" s="258"/>
      <c r="AY260" s="258"/>
    </row>
    <row r="261" spans="1:51" x14ac:dyDescent="0.3">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c r="AA261" s="258"/>
      <c r="AB261" s="258"/>
      <c r="AC261" s="258"/>
      <c r="AD261" s="258"/>
      <c r="AE261" s="258"/>
      <c r="AF261" s="258"/>
      <c r="AG261" s="258"/>
      <c r="AH261" s="258"/>
      <c r="AI261" s="258"/>
      <c r="AJ261" s="258"/>
      <c r="AK261" s="258"/>
      <c r="AL261" s="258"/>
      <c r="AM261" s="258"/>
      <c r="AN261" s="258"/>
      <c r="AO261" s="258"/>
      <c r="AP261" s="258"/>
      <c r="AQ261" s="258"/>
      <c r="AR261" s="258"/>
      <c r="AS261" s="258"/>
      <c r="AT261" s="258"/>
      <c r="AU261" s="258"/>
      <c r="AV261" s="258"/>
      <c r="AW261" s="258"/>
      <c r="AX261" s="258"/>
      <c r="AY261" s="258"/>
    </row>
    <row r="262" spans="1:51" x14ac:dyDescent="0.3">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c r="AA262" s="258"/>
      <c r="AB262" s="258"/>
      <c r="AC262" s="258"/>
      <c r="AD262" s="258"/>
      <c r="AE262" s="258"/>
      <c r="AF262" s="258"/>
      <c r="AG262" s="258"/>
      <c r="AH262" s="258"/>
      <c r="AI262" s="258"/>
      <c r="AJ262" s="258"/>
      <c r="AK262" s="258"/>
      <c r="AL262" s="258"/>
      <c r="AM262" s="258"/>
      <c r="AN262" s="258"/>
      <c r="AO262" s="258"/>
      <c r="AP262" s="258"/>
      <c r="AQ262" s="258"/>
      <c r="AR262" s="258"/>
      <c r="AS262" s="258"/>
      <c r="AT262" s="258"/>
      <c r="AU262" s="258"/>
      <c r="AV262" s="258"/>
      <c r="AW262" s="258"/>
      <c r="AX262" s="258"/>
      <c r="AY262" s="258"/>
    </row>
    <row r="263" spans="1:51" x14ac:dyDescent="0.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c r="AA263" s="258"/>
      <c r="AB263" s="258"/>
      <c r="AC263" s="258"/>
      <c r="AD263" s="258"/>
      <c r="AE263" s="258"/>
      <c r="AF263" s="258"/>
      <c r="AG263" s="258"/>
      <c r="AH263" s="258"/>
      <c r="AI263" s="258"/>
      <c r="AJ263" s="258"/>
      <c r="AK263" s="258"/>
      <c r="AL263" s="258"/>
      <c r="AM263" s="258"/>
      <c r="AN263" s="258"/>
      <c r="AO263" s="258"/>
      <c r="AP263" s="258"/>
      <c r="AQ263" s="258"/>
      <c r="AR263" s="258"/>
      <c r="AS263" s="258"/>
      <c r="AT263" s="258"/>
      <c r="AU263" s="258"/>
      <c r="AV263" s="258"/>
      <c r="AW263" s="258"/>
      <c r="AX263" s="258"/>
      <c r="AY263" s="258"/>
    </row>
    <row r="264" spans="1:51" x14ac:dyDescent="0.3">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c r="AA264" s="258"/>
      <c r="AB264" s="258"/>
      <c r="AC264" s="258"/>
      <c r="AD264" s="258"/>
      <c r="AE264" s="258"/>
      <c r="AF264" s="258"/>
      <c r="AG264" s="258"/>
      <c r="AH264" s="258"/>
      <c r="AI264" s="258"/>
      <c r="AJ264" s="258"/>
      <c r="AK264" s="258"/>
      <c r="AL264" s="258"/>
      <c r="AM264" s="258"/>
      <c r="AN264" s="258"/>
      <c r="AO264" s="258"/>
      <c r="AP264" s="258"/>
      <c r="AQ264" s="258"/>
      <c r="AR264" s="258"/>
      <c r="AS264" s="258"/>
      <c r="AT264" s="258"/>
      <c r="AU264" s="258"/>
      <c r="AV264" s="258"/>
      <c r="AW264" s="258"/>
      <c r="AX264" s="258"/>
      <c r="AY264" s="258"/>
    </row>
    <row r="265" spans="1:51" x14ac:dyDescent="0.3">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c r="AA265" s="258"/>
      <c r="AB265" s="258"/>
      <c r="AC265" s="258"/>
      <c r="AD265" s="258"/>
      <c r="AE265" s="258"/>
      <c r="AF265" s="258"/>
      <c r="AG265" s="258"/>
      <c r="AH265" s="258"/>
      <c r="AI265" s="258"/>
      <c r="AJ265" s="258"/>
      <c r="AK265" s="258"/>
      <c r="AL265" s="258"/>
      <c r="AM265" s="258"/>
      <c r="AN265" s="258"/>
      <c r="AO265" s="258"/>
      <c r="AP265" s="258"/>
      <c r="AQ265" s="258"/>
      <c r="AR265" s="258"/>
      <c r="AS265" s="258"/>
      <c r="AT265" s="258"/>
      <c r="AU265" s="258"/>
      <c r="AV265" s="258"/>
      <c r="AW265" s="258"/>
      <c r="AX265" s="258"/>
      <c r="AY265" s="258"/>
    </row>
    <row r="266" spans="1:51" x14ac:dyDescent="0.3">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c r="AA266" s="258"/>
      <c r="AB266" s="258"/>
      <c r="AC266" s="258"/>
      <c r="AD266" s="258"/>
      <c r="AE266" s="258"/>
      <c r="AF266" s="258"/>
      <c r="AG266" s="258"/>
      <c r="AH266" s="258"/>
      <c r="AI266" s="258"/>
      <c r="AJ266" s="258"/>
      <c r="AK266" s="258"/>
      <c r="AL266" s="258"/>
      <c r="AM266" s="258"/>
      <c r="AN266" s="258"/>
      <c r="AO266" s="258"/>
      <c r="AP266" s="258"/>
      <c r="AQ266" s="258"/>
      <c r="AR266" s="258"/>
      <c r="AS266" s="258"/>
      <c r="AT266" s="258"/>
      <c r="AU266" s="258"/>
      <c r="AV266" s="258"/>
      <c r="AW266" s="258"/>
      <c r="AX266" s="258"/>
      <c r="AY266" s="258"/>
    </row>
    <row r="267" spans="1:51" x14ac:dyDescent="0.3">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c r="AA267" s="258"/>
      <c r="AB267" s="258"/>
      <c r="AC267" s="258"/>
      <c r="AD267" s="258"/>
      <c r="AE267" s="258"/>
      <c r="AF267" s="258"/>
      <c r="AG267" s="258"/>
      <c r="AH267" s="258"/>
      <c r="AI267" s="258"/>
      <c r="AJ267" s="258"/>
      <c r="AK267" s="258"/>
      <c r="AL267" s="258"/>
      <c r="AM267" s="258"/>
      <c r="AN267" s="258"/>
      <c r="AO267" s="258"/>
      <c r="AP267" s="258"/>
      <c r="AQ267" s="258"/>
      <c r="AR267" s="258"/>
      <c r="AS267" s="258"/>
      <c r="AT267" s="258"/>
      <c r="AU267" s="258"/>
      <c r="AV267" s="258"/>
      <c r="AW267" s="258"/>
      <c r="AX267" s="258"/>
      <c r="AY267" s="258"/>
    </row>
    <row r="268" spans="1:51" x14ac:dyDescent="0.3">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c r="AA268" s="258"/>
      <c r="AB268" s="258"/>
      <c r="AC268" s="258"/>
      <c r="AD268" s="258"/>
      <c r="AE268" s="258"/>
      <c r="AF268" s="258"/>
      <c r="AG268" s="258"/>
      <c r="AH268" s="258"/>
      <c r="AI268" s="258"/>
      <c r="AJ268" s="258"/>
      <c r="AK268" s="258"/>
      <c r="AL268" s="258"/>
      <c r="AM268" s="258"/>
      <c r="AN268" s="258"/>
      <c r="AO268" s="258"/>
      <c r="AP268" s="258"/>
      <c r="AQ268" s="258"/>
      <c r="AR268" s="258"/>
      <c r="AS268" s="258"/>
      <c r="AT268" s="258"/>
      <c r="AU268" s="258"/>
      <c r="AV268" s="258"/>
      <c r="AW268" s="258"/>
      <c r="AX268" s="258"/>
      <c r="AY268" s="258"/>
    </row>
    <row r="269" spans="1:51" x14ac:dyDescent="0.3">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c r="AA269" s="258"/>
      <c r="AB269" s="258"/>
      <c r="AC269" s="258"/>
      <c r="AD269" s="258"/>
      <c r="AE269" s="258"/>
      <c r="AF269" s="258"/>
      <c r="AG269" s="258"/>
      <c r="AH269" s="258"/>
      <c r="AI269" s="258"/>
      <c r="AJ269" s="258"/>
      <c r="AK269" s="258"/>
      <c r="AL269" s="258"/>
      <c r="AM269" s="258"/>
      <c r="AN269" s="258"/>
      <c r="AO269" s="258"/>
      <c r="AP269" s="258"/>
      <c r="AQ269" s="258"/>
      <c r="AR269" s="258"/>
      <c r="AS269" s="258"/>
      <c r="AT269" s="258"/>
      <c r="AU269" s="258"/>
      <c r="AV269" s="258"/>
      <c r="AW269" s="258"/>
      <c r="AX269" s="258"/>
      <c r="AY269" s="258"/>
    </row>
    <row r="270" spans="1:51" x14ac:dyDescent="0.3">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c r="AA270" s="258"/>
      <c r="AB270" s="258"/>
      <c r="AC270" s="258"/>
      <c r="AD270" s="258"/>
      <c r="AE270" s="258"/>
      <c r="AF270" s="258"/>
      <c r="AG270" s="258"/>
      <c r="AH270" s="258"/>
      <c r="AI270" s="258"/>
      <c r="AJ270" s="258"/>
      <c r="AK270" s="258"/>
      <c r="AL270" s="258"/>
      <c r="AM270" s="258"/>
      <c r="AN270" s="258"/>
      <c r="AO270" s="258"/>
      <c r="AP270" s="258"/>
      <c r="AQ270" s="258"/>
      <c r="AR270" s="258"/>
      <c r="AS270" s="258"/>
      <c r="AT270" s="258"/>
      <c r="AU270" s="258"/>
      <c r="AV270" s="258"/>
      <c r="AW270" s="258"/>
      <c r="AX270" s="258"/>
      <c r="AY270" s="258"/>
    </row>
    <row r="271" spans="1:51" x14ac:dyDescent="0.3">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c r="AA271" s="258"/>
      <c r="AB271" s="258"/>
      <c r="AC271" s="258"/>
      <c r="AD271" s="258"/>
      <c r="AE271" s="258"/>
      <c r="AF271" s="258"/>
      <c r="AG271" s="258"/>
      <c r="AH271" s="258"/>
      <c r="AI271" s="258"/>
      <c r="AJ271" s="258"/>
      <c r="AK271" s="258"/>
      <c r="AL271" s="258"/>
      <c r="AM271" s="258"/>
      <c r="AN271" s="258"/>
      <c r="AO271" s="258"/>
      <c r="AP271" s="258"/>
      <c r="AQ271" s="258"/>
      <c r="AR271" s="258"/>
      <c r="AS271" s="258"/>
      <c r="AT271" s="258"/>
      <c r="AU271" s="258"/>
      <c r="AV271" s="258"/>
      <c r="AW271" s="258"/>
      <c r="AX271" s="258"/>
      <c r="AY271" s="258"/>
    </row>
    <row r="272" spans="1:51" x14ac:dyDescent="0.3">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c r="AA272" s="258"/>
      <c r="AB272" s="258"/>
      <c r="AC272" s="258"/>
      <c r="AD272" s="258"/>
      <c r="AE272" s="258"/>
      <c r="AF272" s="258"/>
      <c r="AG272" s="258"/>
      <c r="AH272" s="258"/>
      <c r="AI272" s="258"/>
      <c r="AJ272" s="258"/>
      <c r="AK272" s="258"/>
      <c r="AL272" s="258"/>
      <c r="AM272" s="258"/>
      <c r="AN272" s="258"/>
      <c r="AO272" s="258"/>
      <c r="AP272" s="258"/>
      <c r="AQ272" s="258"/>
      <c r="AR272" s="258"/>
      <c r="AS272" s="258"/>
      <c r="AT272" s="258"/>
      <c r="AU272" s="258"/>
      <c r="AV272" s="258"/>
      <c r="AW272" s="258"/>
      <c r="AX272" s="258"/>
      <c r="AY272" s="258"/>
    </row>
    <row r="273" spans="1:51" x14ac:dyDescent="0.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c r="AA273" s="258"/>
      <c r="AB273" s="258"/>
      <c r="AC273" s="258"/>
      <c r="AD273" s="258"/>
      <c r="AE273" s="258"/>
      <c r="AF273" s="258"/>
      <c r="AG273" s="258"/>
      <c r="AH273" s="258"/>
      <c r="AI273" s="258"/>
      <c r="AJ273" s="258"/>
      <c r="AK273" s="258"/>
      <c r="AL273" s="258"/>
      <c r="AM273" s="258"/>
      <c r="AN273" s="258"/>
      <c r="AO273" s="258"/>
      <c r="AP273" s="258"/>
      <c r="AQ273" s="258"/>
      <c r="AR273" s="258"/>
      <c r="AS273" s="258"/>
      <c r="AT273" s="258"/>
      <c r="AU273" s="258"/>
      <c r="AV273" s="258"/>
      <c r="AW273" s="258"/>
      <c r="AX273" s="258"/>
      <c r="AY273" s="258"/>
    </row>
    <row r="274" spans="1:51" x14ac:dyDescent="0.3">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c r="AA274" s="258"/>
      <c r="AB274" s="258"/>
      <c r="AC274" s="258"/>
      <c r="AD274" s="258"/>
      <c r="AE274" s="258"/>
      <c r="AF274" s="258"/>
      <c r="AG274" s="258"/>
      <c r="AH274" s="258"/>
      <c r="AI274" s="258"/>
      <c r="AJ274" s="258"/>
      <c r="AK274" s="258"/>
      <c r="AL274" s="258"/>
      <c r="AM274" s="258"/>
      <c r="AN274" s="258"/>
      <c r="AO274" s="258"/>
      <c r="AP274" s="258"/>
      <c r="AQ274" s="258"/>
      <c r="AR274" s="258"/>
      <c r="AS274" s="258"/>
      <c r="AT274" s="258"/>
      <c r="AU274" s="258"/>
      <c r="AV274" s="258"/>
      <c r="AW274" s="258"/>
      <c r="AX274" s="258"/>
      <c r="AY274" s="258"/>
    </row>
    <row r="275" spans="1:51" x14ac:dyDescent="0.3">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c r="AA275" s="258"/>
      <c r="AB275" s="258"/>
      <c r="AC275" s="258"/>
      <c r="AD275" s="258"/>
      <c r="AE275" s="258"/>
      <c r="AF275" s="258"/>
      <c r="AG275" s="258"/>
      <c r="AH275" s="258"/>
      <c r="AI275" s="258"/>
      <c r="AJ275" s="258"/>
      <c r="AK275" s="258"/>
      <c r="AL275" s="258"/>
      <c r="AM275" s="258"/>
      <c r="AN275" s="258"/>
      <c r="AO275" s="258"/>
      <c r="AP275" s="258"/>
      <c r="AQ275" s="258"/>
      <c r="AR275" s="258"/>
      <c r="AS275" s="258"/>
      <c r="AT275" s="258"/>
      <c r="AU275" s="258"/>
      <c r="AV275" s="258"/>
      <c r="AW275" s="258"/>
      <c r="AX275" s="258"/>
      <c r="AY275" s="258"/>
    </row>
    <row r="276" spans="1:51" x14ac:dyDescent="0.3">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c r="AA276" s="258"/>
      <c r="AB276" s="258"/>
      <c r="AC276" s="258"/>
      <c r="AD276" s="258"/>
      <c r="AE276" s="258"/>
      <c r="AF276" s="258"/>
      <c r="AG276" s="258"/>
      <c r="AH276" s="258"/>
      <c r="AI276" s="258"/>
      <c r="AJ276" s="258"/>
      <c r="AK276" s="258"/>
      <c r="AL276" s="258"/>
      <c r="AM276" s="258"/>
      <c r="AN276" s="258"/>
      <c r="AO276" s="258"/>
      <c r="AP276" s="258"/>
      <c r="AQ276" s="258"/>
      <c r="AR276" s="258"/>
      <c r="AS276" s="258"/>
      <c r="AT276" s="258"/>
      <c r="AU276" s="258"/>
      <c r="AV276" s="258"/>
      <c r="AW276" s="258"/>
      <c r="AX276" s="258"/>
      <c r="AY276" s="258"/>
    </row>
    <row r="277" spans="1:51" x14ac:dyDescent="0.3">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c r="AA277" s="258"/>
      <c r="AB277" s="258"/>
      <c r="AC277" s="258"/>
      <c r="AD277" s="258"/>
      <c r="AE277" s="258"/>
      <c r="AF277" s="258"/>
      <c r="AG277" s="258"/>
      <c r="AH277" s="258"/>
      <c r="AI277" s="258"/>
      <c r="AJ277" s="258"/>
      <c r="AK277" s="258"/>
      <c r="AL277" s="258"/>
      <c r="AM277" s="258"/>
      <c r="AN277" s="258"/>
      <c r="AO277" s="258"/>
      <c r="AP277" s="258"/>
      <c r="AQ277" s="258"/>
      <c r="AR277" s="258"/>
      <c r="AS277" s="258"/>
      <c r="AT277" s="258"/>
      <c r="AU277" s="258"/>
      <c r="AV277" s="258"/>
      <c r="AW277" s="258"/>
      <c r="AX277" s="258"/>
      <c r="AY277" s="258"/>
    </row>
    <row r="278" spans="1:51" x14ac:dyDescent="0.3">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c r="AA278" s="258"/>
      <c r="AB278" s="258"/>
      <c r="AC278" s="258"/>
      <c r="AD278" s="258"/>
      <c r="AE278" s="258"/>
      <c r="AF278" s="258"/>
      <c r="AG278" s="258"/>
      <c r="AH278" s="258"/>
      <c r="AI278" s="258"/>
      <c r="AJ278" s="258"/>
      <c r="AK278" s="258"/>
      <c r="AL278" s="258"/>
      <c r="AM278" s="258"/>
      <c r="AN278" s="258"/>
      <c r="AO278" s="258"/>
      <c r="AP278" s="258"/>
      <c r="AQ278" s="258"/>
      <c r="AR278" s="258"/>
      <c r="AS278" s="258"/>
      <c r="AT278" s="258"/>
      <c r="AU278" s="258"/>
      <c r="AV278" s="258"/>
      <c r="AW278" s="258"/>
      <c r="AX278" s="258"/>
      <c r="AY278" s="258"/>
    </row>
    <row r="279" spans="1:51" x14ac:dyDescent="0.3">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c r="AA279" s="258"/>
      <c r="AB279" s="258"/>
      <c r="AC279" s="258"/>
      <c r="AD279" s="258"/>
      <c r="AE279" s="258"/>
      <c r="AF279" s="258"/>
      <c r="AG279" s="258"/>
      <c r="AH279" s="258"/>
      <c r="AI279" s="258"/>
      <c r="AJ279" s="258"/>
      <c r="AK279" s="258"/>
      <c r="AL279" s="258"/>
      <c r="AM279" s="258"/>
      <c r="AN279" s="258"/>
      <c r="AO279" s="258"/>
      <c r="AP279" s="258"/>
      <c r="AQ279" s="258"/>
      <c r="AR279" s="258"/>
      <c r="AS279" s="258"/>
      <c r="AT279" s="258"/>
      <c r="AU279" s="258"/>
      <c r="AV279" s="258"/>
      <c r="AW279" s="258"/>
      <c r="AX279" s="258"/>
      <c r="AY279" s="258"/>
    </row>
    <row r="280" spans="1:51" x14ac:dyDescent="0.3">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c r="AA280" s="258"/>
      <c r="AB280" s="258"/>
      <c r="AC280" s="258"/>
      <c r="AD280" s="258"/>
      <c r="AE280" s="258"/>
      <c r="AF280" s="258"/>
      <c r="AG280" s="258"/>
      <c r="AH280" s="258"/>
      <c r="AI280" s="258"/>
      <c r="AJ280" s="258"/>
      <c r="AK280" s="258"/>
      <c r="AL280" s="258"/>
      <c r="AM280" s="258"/>
      <c r="AN280" s="258"/>
      <c r="AO280" s="258"/>
      <c r="AP280" s="258"/>
      <c r="AQ280" s="258"/>
      <c r="AR280" s="258"/>
      <c r="AS280" s="258"/>
      <c r="AT280" s="258"/>
      <c r="AU280" s="258"/>
      <c r="AV280" s="258"/>
      <c r="AW280" s="258"/>
      <c r="AX280" s="258"/>
      <c r="AY280" s="258"/>
    </row>
    <row r="281" spans="1:51" x14ac:dyDescent="0.3">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c r="AA281" s="258"/>
      <c r="AB281" s="258"/>
      <c r="AC281" s="258"/>
      <c r="AD281" s="258"/>
      <c r="AE281" s="258"/>
      <c r="AF281" s="258"/>
      <c r="AG281" s="258"/>
      <c r="AH281" s="258"/>
      <c r="AI281" s="258"/>
      <c r="AJ281" s="258"/>
      <c r="AK281" s="258"/>
      <c r="AL281" s="258"/>
      <c r="AM281" s="258"/>
      <c r="AN281" s="258"/>
      <c r="AO281" s="258"/>
      <c r="AP281" s="258"/>
      <c r="AQ281" s="258"/>
      <c r="AR281" s="258"/>
      <c r="AS281" s="258"/>
      <c r="AT281" s="258"/>
      <c r="AU281" s="258"/>
      <c r="AV281" s="258"/>
      <c r="AW281" s="258"/>
      <c r="AX281" s="258"/>
      <c r="AY281" s="258"/>
    </row>
    <row r="282" spans="1:51" x14ac:dyDescent="0.3">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c r="AA282" s="258"/>
      <c r="AB282" s="258"/>
      <c r="AC282" s="258"/>
      <c r="AD282" s="258"/>
      <c r="AE282" s="258"/>
      <c r="AF282" s="258"/>
      <c r="AG282" s="258"/>
      <c r="AH282" s="258"/>
      <c r="AI282" s="258"/>
      <c r="AJ282" s="258"/>
      <c r="AK282" s="258"/>
      <c r="AL282" s="258"/>
      <c r="AM282" s="258"/>
      <c r="AN282" s="258"/>
      <c r="AO282" s="258"/>
      <c r="AP282" s="258"/>
      <c r="AQ282" s="258"/>
      <c r="AR282" s="258"/>
      <c r="AS282" s="258"/>
      <c r="AT282" s="258"/>
      <c r="AU282" s="258"/>
      <c r="AV282" s="258"/>
      <c r="AW282" s="258"/>
      <c r="AX282" s="258"/>
      <c r="AY282" s="258"/>
    </row>
    <row r="283" spans="1:51" x14ac:dyDescent="0.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258"/>
      <c r="AC283" s="258"/>
      <c r="AD283" s="258"/>
      <c r="AE283" s="258"/>
      <c r="AF283" s="258"/>
      <c r="AG283" s="258"/>
      <c r="AH283" s="258"/>
      <c r="AI283" s="258"/>
      <c r="AJ283" s="258"/>
      <c r="AK283" s="258"/>
      <c r="AL283" s="258"/>
      <c r="AM283" s="258"/>
      <c r="AN283" s="258"/>
      <c r="AO283" s="258"/>
      <c r="AP283" s="258"/>
      <c r="AQ283" s="258"/>
      <c r="AR283" s="258"/>
      <c r="AS283" s="258"/>
      <c r="AT283" s="258"/>
      <c r="AU283" s="258"/>
      <c r="AV283" s="258"/>
      <c r="AW283" s="258"/>
      <c r="AX283" s="258"/>
      <c r="AY283" s="258"/>
    </row>
    <row r="284" spans="1:51" x14ac:dyDescent="0.3">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c r="AA284" s="258"/>
      <c r="AB284" s="258"/>
      <c r="AC284" s="258"/>
      <c r="AD284" s="258"/>
      <c r="AE284" s="258"/>
      <c r="AF284" s="258"/>
      <c r="AG284" s="258"/>
      <c r="AH284" s="258"/>
      <c r="AI284" s="258"/>
      <c r="AJ284" s="258"/>
      <c r="AK284" s="258"/>
      <c r="AL284" s="258"/>
      <c r="AM284" s="258"/>
      <c r="AN284" s="258"/>
      <c r="AO284" s="258"/>
      <c r="AP284" s="258"/>
      <c r="AQ284" s="258"/>
      <c r="AR284" s="258"/>
      <c r="AS284" s="258"/>
      <c r="AT284" s="258"/>
      <c r="AU284" s="258"/>
      <c r="AV284" s="258"/>
      <c r="AW284" s="258"/>
      <c r="AX284" s="258"/>
      <c r="AY284" s="258"/>
    </row>
    <row r="285" spans="1:51" x14ac:dyDescent="0.3">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c r="AA285" s="258"/>
      <c r="AB285" s="258"/>
      <c r="AC285" s="258"/>
      <c r="AD285" s="258"/>
      <c r="AE285" s="258"/>
      <c r="AF285" s="258"/>
      <c r="AG285" s="258"/>
      <c r="AH285" s="258"/>
      <c r="AI285" s="258"/>
      <c r="AJ285" s="258"/>
      <c r="AK285" s="258"/>
      <c r="AL285" s="258"/>
      <c r="AM285" s="258"/>
      <c r="AN285" s="258"/>
      <c r="AO285" s="258"/>
      <c r="AP285" s="258"/>
      <c r="AQ285" s="258"/>
      <c r="AR285" s="258"/>
      <c r="AS285" s="258"/>
      <c r="AT285" s="258"/>
      <c r="AU285" s="258"/>
      <c r="AV285" s="258"/>
      <c r="AW285" s="258"/>
      <c r="AX285" s="258"/>
      <c r="AY285" s="258"/>
    </row>
    <row r="286" spans="1:51" x14ac:dyDescent="0.3">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c r="AA286" s="258"/>
      <c r="AB286" s="258"/>
      <c r="AC286" s="258"/>
      <c r="AD286" s="258"/>
      <c r="AE286" s="258"/>
      <c r="AF286" s="258"/>
      <c r="AG286" s="258"/>
      <c r="AH286" s="258"/>
      <c r="AI286" s="258"/>
      <c r="AJ286" s="258"/>
      <c r="AK286" s="258"/>
      <c r="AL286" s="258"/>
      <c r="AM286" s="258"/>
      <c r="AN286" s="258"/>
      <c r="AO286" s="258"/>
      <c r="AP286" s="258"/>
      <c r="AQ286" s="258"/>
      <c r="AR286" s="258"/>
      <c r="AS286" s="258"/>
      <c r="AT286" s="258"/>
      <c r="AU286" s="258"/>
      <c r="AV286" s="258"/>
      <c r="AW286" s="258"/>
      <c r="AX286" s="258"/>
      <c r="AY286" s="258"/>
    </row>
    <row r="287" spans="1:51" x14ac:dyDescent="0.3">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c r="AA287" s="258"/>
      <c r="AB287" s="258"/>
      <c r="AC287" s="258"/>
      <c r="AD287" s="258"/>
      <c r="AE287" s="258"/>
      <c r="AF287" s="258"/>
      <c r="AG287" s="258"/>
      <c r="AH287" s="258"/>
      <c r="AI287" s="258"/>
      <c r="AJ287" s="258"/>
      <c r="AK287" s="258"/>
      <c r="AL287" s="258"/>
      <c r="AM287" s="258"/>
      <c r="AN287" s="258"/>
      <c r="AO287" s="258"/>
      <c r="AP287" s="258"/>
      <c r="AQ287" s="258"/>
      <c r="AR287" s="258"/>
      <c r="AS287" s="258"/>
      <c r="AT287" s="258"/>
      <c r="AU287" s="258"/>
      <c r="AV287" s="258"/>
      <c r="AW287" s="258"/>
      <c r="AX287" s="258"/>
      <c r="AY287" s="258"/>
    </row>
    <row r="288" spans="1:51" x14ac:dyDescent="0.3">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c r="AA288" s="258"/>
      <c r="AB288" s="258"/>
      <c r="AC288" s="258"/>
      <c r="AD288" s="258"/>
      <c r="AE288" s="258"/>
      <c r="AF288" s="258"/>
      <c r="AG288" s="258"/>
      <c r="AH288" s="258"/>
      <c r="AI288" s="258"/>
      <c r="AJ288" s="258"/>
      <c r="AK288" s="258"/>
      <c r="AL288" s="258"/>
      <c r="AM288" s="258"/>
      <c r="AN288" s="258"/>
      <c r="AO288" s="258"/>
      <c r="AP288" s="258"/>
      <c r="AQ288" s="258"/>
      <c r="AR288" s="258"/>
      <c r="AS288" s="258"/>
      <c r="AT288" s="258"/>
      <c r="AU288" s="258"/>
      <c r="AV288" s="258"/>
      <c r="AW288" s="258"/>
      <c r="AX288" s="258"/>
      <c r="AY288" s="258"/>
    </row>
    <row r="289" spans="1:51" x14ac:dyDescent="0.3">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c r="AA289" s="258"/>
      <c r="AB289" s="258"/>
      <c r="AC289" s="258"/>
      <c r="AD289" s="258"/>
      <c r="AE289" s="258"/>
      <c r="AF289" s="258"/>
      <c r="AG289" s="258"/>
      <c r="AH289" s="258"/>
      <c r="AI289" s="258"/>
      <c r="AJ289" s="258"/>
      <c r="AK289" s="258"/>
      <c r="AL289" s="258"/>
      <c r="AM289" s="258"/>
      <c r="AN289" s="258"/>
      <c r="AO289" s="258"/>
      <c r="AP289" s="258"/>
      <c r="AQ289" s="258"/>
      <c r="AR289" s="258"/>
      <c r="AS289" s="258"/>
      <c r="AT289" s="258"/>
      <c r="AU289" s="258"/>
      <c r="AV289" s="258"/>
      <c r="AW289" s="258"/>
      <c r="AX289" s="258"/>
      <c r="AY289" s="258"/>
    </row>
    <row r="290" spans="1:51" x14ac:dyDescent="0.3">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c r="AA290" s="258"/>
      <c r="AB290" s="258"/>
      <c r="AC290" s="258"/>
      <c r="AD290" s="258"/>
      <c r="AE290" s="258"/>
      <c r="AF290" s="258"/>
      <c r="AG290" s="258"/>
      <c r="AH290" s="258"/>
      <c r="AI290" s="258"/>
      <c r="AJ290" s="258"/>
      <c r="AK290" s="258"/>
      <c r="AL290" s="258"/>
      <c r="AM290" s="258"/>
      <c r="AN290" s="258"/>
      <c r="AO290" s="258"/>
      <c r="AP290" s="258"/>
      <c r="AQ290" s="258"/>
      <c r="AR290" s="258"/>
      <c r="AS290" s="258"/>
      <c r="AT290" s="258"/>
      <c r="AU290" s="258"/>
      <c r="AV290" s="258"/>
      <c r="AW290" s="258"/>
      <c r="AX290" s="258"/>
      <c r="AY290" s="258"/>
    </row>
    <row r="291" spans="1:51" x14ac:dyDescent="0.3">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c r="AA291" s="258"/>
      <c r="AB291" s="258"/>
      <c r="AC291" s="258"/>
      <c r="AD291" s="258"/>
      <c r="AE291" s="258"/>
      <c r="AF291" s="258"/>
      <c r="AG291" s="258"/>
      <c r="AH291" s="258"/>
      <c r="AI291" s="258"/>
      <c r="AJ291" s="258"/>
      <c r="AK291" s="258"/>
      <c r="AL291" s="258"/>
      <c r="AM291" s="258"/>
      <c r="AN291" s="258"/>
      <c r="AO291" s="258"/>
      <c r="AP291" s="258"/>
      <c r="AQ291" s="258"/>
      <c r="AR291" s="258"/>
      <c r="AS291" s="258"/>
      <c r="AT291" s="258"/>
      <c r="AU291" s="258"/>
      <c r="AV291" s="258"/>
      <c r="AW291" s="258"/>
      <c r="AX291" s="258"/>
      <c r="AY291" s="258"/>
    </row>
    <row r="292" spans="1:51" x14ac:dyDescent="0.3">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c r="AA292" s="258"/>
      <c r="AB292" s="258"/>
      <c r="AC292" s="258"/>
      <c r="AD292" s="258"/>
      <c r="AE292" s="258"/>
      <c r="AF292" s="258"/>
      <c r="AG292" s="258"/>
      <c r="AH292" s="258"/>
      <c r="AI292" s="258"/>
      <c r="AJ292" s="258"/>
      <c r="AK292" s="258"/>
      <c r="AL292" s="258"/>
      <c r="AM292" s="258"/>
      <c r="AN292" s="258"/>
      <c r="AO292" s="258"/>
      <c r="AP292" s="258"/>
      <c r="AQ292" s="258"/>
      <c r="AR292" s="258"/>
      <c r="AS292" s="258"/>
      <c r="AT292" s="258"/>
      <c r="AU292" s="258"/>
      <c r="AV292" s="258"/>
      <c r="AW292" s="258"/>
      <c r="AX292" s="258"/>
      <c r="AY292" s="258"/>
    </row>
    <row r="293" spans="1:51" x14ac:dyDescent="0.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c r="AA293" s="258"/>
      <c r="AB293" s="258"/>
      <c r="AC293" s="258"/>
      <c r="AD293" s="258"/>
      <c r="AE293" s="258"/>
      <c r="AF293" s="258"/>
      <c r="AG293" s="258"/>
      <c r="AH293" s="258"/>
      <c r="AI293" s="258"/>
      <c r="AJ293" s="258"/>
      <c r="AK293" s="258"/>
      <c r="AL293" s="258"/>
      <c r="AM293" s="258"/>
      <c r="AN293" s="258"/>
      <c r="AO293" s="258"/>
      <c r="AP293" s="258"/>
      <c r="AQ293" s="258"/>
      <c r="AR293" s="258"/>
      <c r="AS293" s="258"/>
      <c r="AT293" s="258"/>
      <c r="AU293" s="258"/>
      <c r="AV293" s="258"/>
      <c r="AW293" s="258"/>
      <c r="AX293" s="258"/>
      <c r="AY293" s="258"/>
    </row>
    <row r="294" spans="1:51" x14ac:dyDescent="0.3">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c r="AA294" s="258"/>
      <c r="AB294" s="258"/>
      <c r="AC294" s="258"/>
      <c r="AD294" s="258"/>
      <c r="AE294" s="258"/>
      <c r="AF294" s="258"/>
      <c r="AG294" s="258"/>
      <c r="AH294" s="258"/>
      <c r="AI294" s="258"/>
      <c r="AJ294" s="258"/>
      <c r="AK294" s="258"/>
      <c r="AL294" s="258"/>
      <c r="AM294" s="258"/>
      <c r="AN294" s="258"/>
      <c r="AO294" s="258"/>
      <c r="AP294" s="258"/>
      <c r="AQ294" s="258"/>
      <c r="AR294" s="258"/>
      <c r="AS294" s="258"/>
      <c r="AT294" s="258"/>
      <c r="AU294" s="258"/>
      <c r="AV294" s="258"/>
      <c r="AW294" s="258"/>
      <c r="AX294" s="258"/>
      <c r="AY294" s="258"/>
    </row>
    <row r="295" spans="1:51" x14ac:dyDescent="0.3">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c r="AA295" s="258"/>
      <c r="AB295" s="258"/>
      <c r="AC295" s="258"/>
      <c r="AD295" s="258"/>
      <c r="AE295" s="258"/>
      <c r="AF295" s="258"/>
      <c r="AG295" s="258"/>
      <c r="AH295" s="258"/>
      <c r="AI295" s="258"/>
      <c r="AJ295" s="258"/>
      <c r="AK295" s="258"/>
      <c r="AL295" s="258"/>
      <c r="AM295" s="258"/>
      <c r="AN295" s="258"/>
      <c r="AO295" s="258"/>
      <c r="AP295" s="258"/>
      <c r="AQ295" s="258"/>
      <c r="AR295" s="258"/>
      <c r="AS295" s="258"/>
      <c r="AT295" s="258"/>
      <c r="AU295" s="258"/>
      <c r="AV295" s="258"/>
      <c r="AW295" s="258"/>
      <c r="AX295" s="258"/>
      <c r="AY295" s="258"/>
    </row>
    <row r="296" spans="1:51" x14ac:dyDescent="0.3">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c r="AA296" s="258"/>
      <c r="AB296" s="258"/>
      <c r="AC296" s="258"/>
      <c r="AD296" s="258"/>
      <c r="AE296" s="258"/>
      <c r="AF296" s="258"/>
      <c r="AG296" s="258"/>
      <c r="AH296" s="258"/>
      <c r="AI296" s="258"/>
      <c r="AJ296" s="258"/>
      <c r="AK296" s="258"/>
      <c r="AL296" s="258"/>
      <c r="AM296" s="258"/>
      <c r="AN296" s="258"/>
      <c r="AO296" s="258"/>
      <c r="AP296" s="258"/>
      <c r="AQ296" s="258"/>
      <c r="AR296" s="258"/>
      <c r="AS296" s="258"/>
      <c r="AT296" s="258"/>
      <c r="AU296" s="258"/>
      <c r="AV296" s="258"/>
      <c r="AW296" s="258"/>
      <c r="AX296" s="258"/>
      <c r="AY296" s="258"/>
    </row>
    <row r="297" spans="1:51" x14ac:dyDescent="0.3">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c r="AA297" s="258"/>
      <c r="AB297" s="258"/>
      <c r="AC297" s="258"/>
      <c r="AD297" s="258"/>
      <c r="AE297" s="258"/>
      <c r="AF297" s="258"/>
      <c r="AG297" s="258"/>
      <c r="AH297" s="258"/>
      <c r="AI297" s="258"/>
      <c r="AJ297" s="258"/>
      <c r="AK297" s="258"/>
      <c r="AL297" s="258"/>
      <c r="AM297" s="258"/>
      <c r="AN297" s="258"/>
      <c r="AO297" s="258"/>
      <c r="AP297" s="258"/>
      <c r="AQ297" s="258"/>
      <c r="AR297" s="258"/>
      <c r="AS297" s="258"/>
      <c r="AT297" s="258"/>
      <c r="AU297" s="258"/>
      <c r="AV297" s="258"/>
      <c r="AW297" s="258"/>
      <c r="AX297" s="258"/>
      <c r="AY297" s="258"/>
    </row>
    <row r="298" spans="1:51" x14ac:dyDescent="0.3">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c r="AA298" s="258"/>
      <c r="AB298" s="258"/>
      <c r="AC298" s="258"/>
      <c r="AD298" s="258"/>
      <c r="AE298" s="258"/>
      <c r="AF298" s="258"/>
      <c r="AG298" s="258"/>
      <c r="AH298" s="258"/>
      <c r="AI298" s="258"/>
      <c r="AJ298" s="258"/>
      <c r="AK298" s="258"/>
      <c r="AL298" s="258"/>
      <c r="AM298" s="258"/>
      <c r="AN298" s="258"/>
      <c r="AO298" s="258"/>
      <c r="AP298" s="258"/>
      <c r="AQ298" s="258"/>
      <c r="AR298" s="258"/>
      <c r="AS298" s="258"/>
      <c r="AT298" s="258"/>
      <c r="AU298" s="258"/>
      <c r="AV298" s="258"/>
      <c r="AW298" s="258"/>
      <c r="AX298" s="258"/>
      <c r="AY298" s="258"/>
    </row>
    <row r="299" spans="1:51" x14ac:dyDescent="0.3">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c r="AA299" s="258"/>
      <c r="AB299" s="258"/>
      <c r="AC299" s="258"/>
      <c r="AD299" s="258"/>
      <c r="AE299" s="258"/>
      <c r="AF299" s="258"/>
      <c r="AG299" s="258"/>
      <c r="AH299" s="258"/>
      <c r="AI299" s="258"/>
      <c r="AJ299" s="258"/>
      <c r="AK299" s="258"/>
      <c r="AL299" s="258"/>
      <c r="AM299" s="258"/>
      <c r="AN299" s="258"/>
      <c r="AO299" s="258"/>
      <c r="AP299" s="258"/>
      <c r="AQ299" s="258"/>
      <c r="AR299" s="258"/>
      <c r="AS299" s="258"/>
      <c r="AT299" s="258"/>
      <c r="AU299" s="258"/>
      <c r="AV299" s="258"/>
      <c r="AW299" s="258"/>
      <c r="AX299" s="258"/>
      <c r="AY299" s="258"/>
    </row>
    <row r="300" spans="1:51" x14ac:dyDescent="0.3">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c r="AA300" s="258"/>
      <c r="AB300" s="258"/>
      <c r="AC300" s="258"/>
      <c r="AD300" s="258"/>
      <c r="AE300" s="258"/>
      <c r="AF300" s="258"/>
      <c r="AG300" s="258"/>
      <c r="AH300" s="258"/>
      <c r="AI300" s="258"/>
      <c r="AJ300" s="258"/>
      <c r="AK300" s="258"/>
      <c r="AL300" s="258"/>
      <c r="AM300" s="258"/>
      <c r="AN300" s="258"/>
      <c r="AO300" s="258"/>
      <c r="AP300" s="258"/>
      <c r="AQ300" s="258"/>
      <c r="AR300" s="258"/>
      <c r="AS300" s="258"/>
      <c r="AT300" s="258"/>
      <c r="AU300" s="258"/>
      <c r="AV300" s="258"/>
      <c r="AW300" s="258"/>
      <c r="AX300" s="258"/>
      <c r="AY300" s="258"/>
    </row>
    <row r="301" spans="1:51" x14ac:dyDescent="0.3">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c r="AA301" s="258"/>
      <c r="AB301" s="258"/>
      <c r="AC301" s="258"/>
      <c r="AD301" s="258"/>
      <c r="AE301" s="258"/>
      <c r="AF301" s="258"/>
      <c r="AG301" s="258"/>
      <c r="AH301" s="258"/>
      <c r="AI301" s="258"/>
      <c r="AJ301" s="258"/>
      <c r="AK301" s="258"/>
      <c r="AL301" s="258"/>
      <c r="AM301" s="258"/>
      <c r="AN301" s="258"/>
      <c r="AO301" s="258"/>
      <c r="AP301" s="258"/>
      <c r="AQ301" s="258"/>
      <c r="AR301" s="258"/>
      <c r="AS301" s="258"/>
      <c r="AT301" s="258"/>
      <c r="AU301" s="258"/>
      <c r="AV301" s="258"/>
      <c r="AW301" s="258"/>
      <c r="AX301" s="258"/>
      <c r="AY301" s="258"/>
    </row>
    <row r="302" spans="1:51" x14ac:dyDescent="0.3">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c r="AA302" s="258"/>
      <c r="AB302" s="258"/>
      <c r="AC302" s="258"/>
      <c r="AD302" s="258"/>
      <c r="AE302" s="258"/>
      <c r="AF302" s="258"/>
      <c r="AG302" s="258"/>
      <c r="AH302" s="258"/>
      <c r="AI302" s="258"/>
      <c r="AJ302" s="258"/>
      <c r="AK302" s="258"/>
      <c r="AL302" s="258"/>
      <c r="AM302" s="258"/>
      <c r="AN302" s="258"/>
      <c r="AO302" s="258"/>
      <c r="AP302" s="258"/>
      <c r="AQ302" s="258"/>
      <c r="AR302" s="258"/>
      <c r="AS302" s="258"/>
      <c r="AT302" s="258"/>
      <c r="AU302" s="258"/>
      <c r="AV302" s="258"/>
      <c r="AW302" s="258"/>
      <c r="AX302" s="258"/>
      <c r="AY302" s="258"/>
    </row>
    <row r="303" spans="1:51" x14ac:dyDescent="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c r="AA303" s="258"/>
      <c r="AB303" s="258"/>
      <c r="AC303" s="258"/>
      <c r="AD303" s="258"/>
      <c r="AE303" s="258"/>
      <c r="AF303" s="258"/>
      <c r="AG303" s="258"/>
      <c r="AH303" s="258"/>
      <c r="AI303" s="258"/>
      <c r="AJ303" s="258"/>
      <c r="AK303" s="258"/>
      <c r="AL303" s="258"/>
      <c r="AM303" s="258"/>
      <c r="AN303" s="258"/>
      <c r="AO303" s="258"/>
      <c r="AP303" s="258"/>
      <c r="AQ303" s="258"/>
      <c r="AR303" s="258"/>
      <c r="AS303" s="258"/>
      <c r="AT303" s="258"/>
      <c r="AU303" s="258"/>
      <c r="AV303" s="258"/>
      <c r="AW303" s="258"/>
      <c r="AX303" s="258"/>
      <c r="AY303" s="258"/>
    </row>
    <row r="304" spans="1:51" x14ac:dyDescent="0.3">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c r="AA304" s="258"/>
      <c r="AB304" s="258"/>
      <c r="AC304" s="258"/>
      <c r="AD304" s="258"/>
      <c r="AE304" s="258"/>
      <c r="AF304" s="258"/>
      <c r="AG304" s="258"/>
      <c r="AH304" s="258"/>
      <c r="AI304" s="258"/>
      <c r="AJ304" s="258"/>
      <c r="AK304" s="258"/>
      <c r="AL304" s="258"/>
      <c r="AM304" s="258"/>
      <c r="AN304" s="258"/>
      <c r="AO304" s="258"/>
      <c r="AP304" s="258"/>
      <c r="AQ304" s="258"/>
      <c r="AR304" s="258"/>
      <c r="AS304" s="258"/>
      <c r="AT304" s="258"/>
      <c r="AU304" s="258"/>
      <c r="AV304" s="258"/>
      <c r="AW304" s="258"/>
      <c r="AX304" s="258"/>
      <c r="AY304" s="258"/>
    </row>
  </sheetData>
  <mergeCells count="27">
    <mergeCell ref="B39:K39"/>
    <mergeCell ref="B40:K40"/>
    <mergeCell ref="B41:K41"/>
    <mergeCell ref="B42:K42"/>
    <mergeCell ref="B43:K43"/>
    <mergeCell ref="B34:K34"/>
    <mergeCell ref="B35:K35"/>
    <mergeCell ref="B36:K36"/>
    <mergeCell ref="B37:K37"/>
    <mergeCell ref="B38:K38"/>
    <mergeCell ref="B29:K30"/>
    <mergeCell ref="B32:K32"/>
    <mergeCell ref="B33:K33"/>
    <mergeCell ref="C26:J26"/>
    <mergeCell ref="C25:J25"/>
    <mergeCell ref="O20:U20"/>
    <mergeCell ref="O21:U21"/>
    <mergeCell ref="O22:U22"/>
    <mergeCell ref="O23:U23"/>
    <mergeCell ref="O24:U24"/>
    <mergeCell ref="D2:H3"/>
    <mergeCell ref="P2:T3"/>
    <mergeCell ref="N5:Q5"/>
    <mergeCell ref="S5:V5"/>
    <mergeCell ref="O19:U19"/>
    <mergeCell ref="S7:V7"/>
    <mergeCell ref="O18:U1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A1:U88"/>
  <sheetViews>
    <sheetView workbookViewId="0">
      <selection activeCell="G20" sqref="G20"/>
    </sheetView>
  </sheetViews>
  <sheetFormatPr defaultRowHeight="14.4" x14ac:dyDescent="0.3"/>
  <cols>
    <col min="4" max="4" width="24.33203125" customWidth="1"/>
    <col min="5" max="7" width="33.88671875" bestFit="1" customWidth="1"/>
  </cols>
  <sheetData>
    <row r="1" spans="1:21" ht="15" thickBot="1" x14ac:dyDescent="0.35">
      <c r="A1" s="172"/>
      <c r="B1" s="172"/>
      <c r="C1" s="172"/>
      <c r="D1" s="172"/>
      <c r="E1" s="172"/>
      <c r="F1" s="172"/>
      <c r="G1" s="172"/>
      <c r="H1" s="172"/>
      <c r="I1" s="172"/>
      <c r="J1" s="172"/>
      <c r="K1" s="172"/>
      <c r="L1" s="172"/>
      <c r="M1" s="172"/>
      <c r="N1" s="172"/>
      <c r="O1" s="172"/>
      <c r="P1" s="172"/>
      <c r="Q1" s="172"/>
      <c r="R1" s="172"/>
      <c r="S1" s="172"/>
      <c r="T1" s="172"/>
      <c r="U1" s="172"/>
    </row>
    <row r="2" spans="1:21" x14ac:dyDescent="0.3">
      <c r="A2" s="172"/>
      <c r="B2" s="172"/>
      <c r="C2" s="163"/>
      <c r="D2" s="166"/>
      <c r="E2" s="166"/>
      <c r="F2" s="166"/>
      <c r="G2" s="166"/>
      <c r="H2" s="167"/>
      <c r="I2" s="172"/>
      <c r="J2" s="172"/>
      <c r="K2" s="172"/>
      <c r="L2" s="172"/>
      <c r="M2" s="172"/>
      <c r="N2" s="172"/>
      <c r="O2" s="172"/>
      <c r="P2" s="172"/>
      <c r="Q2" s="172"/>
      <c r="R2" s="172"/>
      <c r="S2" s="172"/>
      <c r="T2" s="151"/>
      <c r="U2" s="151"/>
    </row>
    <row r="3" spans="1:21" x14ac:dyDescent="0.3">
      <c r="A3" s="172"/>
      <c r="B3" s="172"/>
      <c r="C3" s="164"/>
      <c r="D3" s="168"/>
      <c r="E3" s="168"/>
      <c r="F3" s="168"/>
      <c r="G3" s="168"/>
      <c r="H3" s="169"/>
      <c r="I3" s="172"/>
      <c r="J3" s="172"/>
      <c r="K3" s="172"/>
      <c r="L3" s="172"/>
      <c r="M3" s="172"/>
      <c r="N3" s="172"/>
      <c r="O3" s="172"/>
      <c r="P3" s="172"/>
      <c r="Q3" s="172"/>
      <c r="R3" s="172"/>
      <c r="S3" s="172"/>
      <c r="T3" s="151"/>
      <c r="U3" s="151"/>
    </row>
    <row r="4" spans="1:21" x14ac:dyDescent="0.3">
      <c r="A4" s="172"/>
      <c r="B4" s="172"/>
      <c r="C4" s="164"/>
      <c r="D4" s="1302" t="s">
        <v>304</v>
      </c>
      <c r="E4" s="1303"/>
      <c r="F4" s="1303"/>
      <c r="G4" s="1304"/>
      <c r="H4" s="169"/>
      <c r="I4" s="172"/>
      <c r="J4" s="172"/>
      <c r="K4" s="172"/>
      <c r="L4" s="172"/>
      <c r="M4" s="172"/>
      <c r="N4" s="172"/>
      <c r="O4" s="172"/>
      <c r="P4" s="172"/>
      <c r="Q4" s="172"/>
      <c r="R4" s="172"/>
      <c r="S4" s="172"/>
    </row>
    <row r="5" spans="1:21" ht="18" x14ac:dyDescent="0.35">
      <c r="A5" s="172"/>
      <c r="B5" s="172"/>
      <c r="C5" s="164"/>
      <c r="D5" s="146"/>
      <c r="E5" s="154" t="s">
        <v>298</v>
      </c>
      <c r="F5" s="154" t="s">
        <v>299</v>
      </c>
      <c r="G5" s="155" t="s">
        <v>300</v>
      </c>
      <c r="H5" s="169"/>
      <c r="I5" s="172"/>
      <c r="J5" s="172"/>
      <c r="K5" s="172"/>
      <c r="L5" s="172"/>
      <c r="M5" s="172"/>
      <c r="N5" s="172"/>
      <c r="O5" s="172"/>
      <c r="P5" s="172"/>
      <c r="Q5" s="172"/>
      <c r="R5" s="172"/>
      <c r="S5" s="172"/>
    </row>
    <row r="6" spans="1:21" x14ac:dyDescent="0.3">
      <c r="A6" s="172"/>
      <c r="B6" s="172"/>
      <c r="C6" s="164"/>
      <c r="D6" s="1305" t="s">
        <v>288</v>
      </c>
      <c r="E6" s="157" t="s">
        <v>545</v>
      </c>
      <c r="F6" s="258" t="s">
        <v>588</v>
      </c>
      <c r="G6" s="156" t="s">
        <v>293</v>
      </c>
      <c r="H6" s="169"/>
      <c r="I6" s="172"/>
      <c r="J6" s="172"/>
      <c r="K6" s="172"/>
      <c r="L6" s="172"/>
      <c r="M6" s="172"/>
      <c r="N6" s="172"/>
      <c r="O6" s="172"/>
      <c r="P6" s="172"/>
      <c r="Q6" s="172"/>
      <c r="R6" s="172"/>
      <c r="S6" s="172"/>
    </row>
    <row r="7" spans="1:21" ht="16.5" customHeight="1" x14ac:dyDescent="0.3">
      <c r="A7" s="172"/>
      <c r="B7" s="172"/>
      <c r="C7" s="164"/>
      <c r="D7" s="1306"/>
      <c r="E7" s="157" t="s">
        <v>293</v>
      </c>
      <c r="F7" s="157" t="s">
        <v>496</v>
      </c>
      <c r="G7" s="157"/>
      <c r="H7" s="169"/>
      <c r="I7" s="172"/>
      <c r="J7" s="172"/>
      <c r="K7" s="172"/>
      <c r="L7" s="172"/>
      <c r="M7" s="172"/>
      <c r="N7" s="172"/>
      <c r="O7" s="172"/>
      <c r="P7" s="172"/>
      <c r="Q7" s="172"/>
      <c r="R7" s="172"/>
      <c r="S7" s="172"/>
    </row>
    <row r="8" spans="1:21" x14ac:dyDescent="0.3">
      <c r="A8" s="172"/>
      <c r="B8" s="172"/>
      <c r="C8" s="164"/>
      <c r="D8" s="1306"/>
      <c r="E8" s="157" t="s">
        <v>613</v>
      </c>
      <c r="F8" s="157" t="s">
        <v>344</v>
      </c>
      <c r="G8" s="157"/>
      <c r="H8" s="169"/>
      <c r="I8" s="172"/>
      <c r="J8" s="172"/>
      <c r="K8" s="172"/>
      <c r="L8" s="172"/>
      <c r="M8" s="172"/>
      <c r="N8" s="172"/>
      <c r="O8" s="172"/>
      <c r="P8" s="172"/>
      <c r="Q8" s="172"/>
      <c r="R8" s="172"/>
      <c r="S8" s="172"/>
    </row>
    <row r="9" spans="1:21" ht="15.6" x14ac:dyDescent="0.3">
      <c r="A9" s="172"/>
      <c r="B9" s="172"/>
      <c r="C9" s="164"/>
      <c r="D9" s="298"/>
      <c r="E9" s="158"/>
      <c r="F9" s="159" t="s">
        <v>593</v>
      </c>
      <c r="G9" s="158"/>
      <c r="H9" s="169"/>
      <c r="I9" s="172"/>
      <c r="J9" s="172"/>
      <c r="K9" s="172"/>
      <c r="L9" s="172"/>
      <c r="M9" s="172"/>
      <c r="N9" s="172"/>
      <c r="O9" s="172"/>
      <c r="P9" s="172"/>
      <c r="Q9" s="172"/>
      <c r="R9" s="172"/>
      <c r="S9" s="172"/>
    </row>
    <row r="10" spans="1:21" ht="24" customHeight="1" x14ac:dyDescent="0.3">
      <c r="A10" s="172"/>
      <c r="B10" s="172"/>
      <c r="C10" s="164"/>
      <c r="D10" s="176" t="s">
        <v>289</v>
      </c>
      <c r="E10" s="204" t="s">
        <v>294</v>
      </c>
      <c r="F10" s="204" t="s">
        <v>294</v>
      </c>
      <c r="G10" s="205" t="s">
        <v>294</v>
      </c>
      <c r="H10" s="169"/>
      <c r="I10" s="172"/>
      <c r="J10" s="172"/>
      <c r="K10" s="172"/>
      <c r="L10" s="172"/>
      <c r="M10" s="172"/>
      <c r="N10" s="172"/>
      <c r="O10" s="172"/>
      <c r="P10" s="172"/>
      <c r="Q10" s="172"/>
      <c r="R10" s="172"/>
      <c r="S10" s="172"/>
    </row>
    <row r="11" spans="1:21" ht="15.6" x14ac:dyDescent="0.3">
      <c r="A11" s="172"/>
      <c r="B11" s="172"/>
      <c r="C11" s="164"/>
      <c r="D11" s="152" t="s">
        <v>290</v>
      </c>
      <c r="E11" s="26" t="s">
        <v>295</v>
      </c>
      <c r="F11" s="26" t="s">
        <v>303</v>
      </c>
      <c r="G11" s="149" t="s">
        <v>303</v>
      </c>
      <c r="H11" s="169"/>
      <c r="I11" s="172"/>
      <c r="J11" s="172"/>
      <c r="K11" s="172"/>
      <c r="L11" s="172"/>
      <c r="M11" s="172"/>
      <c r="N11" s="172"/>
      <c r="O11" s="172"/>
      <c r="P11" s="172"/>
      <c r="Q11" s="172"/>
      <c r="R11" s="172"/>
      <c r="S11" s="172"/>
    </row>
    <row r="12" spans="1:21" x14ac:dyDescent="0.3">
      <c r="A12" s="172"/>
      <c r="B12" s="172"/>
      <c r="C12" s="164"/>
      <c r="D12" s="1307" t="s">
        <v>301</v>
      </c>
      <c r="E12" s="160" t="s">
        <v>296</v>
      </c>
      <c r="F12" s="148" t="s">
        <v>478</v>
      </c>
      <c r="G12" s="148" t="s">
        <v>103</v>
      </c>
      <c r="H12" s="169"/>
      <c r="I12" s="172"/>
      <c r="J12" s="172"/>
      <c r="K12" s="172"/>
      <c r="L12" s="172"/>
      <c r="M12" s="172"/>
      <c r="N12" s="172"/>
      <c r="O12" s="172"/>
      <c r="P12" s="172"/>
      <c r="Q12" s="172"/>
      <c r="R12" s="172"/>
      <c r="S12" s="172"/>
    </row>
    <row r="13" spans="1:21" x14ac:dyDescent="0.3">
      <c r="A13" s="172"/>
      <c r="B13" s="172"/>
      <c r="C13" s="164"/>
      <c r="D13" s="1308"/>
      <c r="E13" s="161" t="s">
        <v>767</v>
      </c>
      <c r="F13" s="162"/>
      <c r="G13" s="162"/>
      <c r="H13" s="169"/>
      <c r="I13" s="172"/>
      <c r="J13" s="172"/>
      <c r="K13" s="172"/>
      <c r="L13" s="172"/>
      <c r="M13" s="172"/>
      <c r="N13" s="172"/>
      <c r="O13" s="172"/>
      <c r="P13" s="172"/>
      <c r="Q13" s="172"/>
      <c r="R13" s="172"/>
      <c r="S13" s="172"/>
    </row>
    <row r="14" spans="1:21" ht="15.6" x14ac:dyDescent="0.3">
      <c r="A14" s="172"/>
      <c r="B14" s="172"/>
      <c r="C14" s="164"/>
      <c r="D14" s="152" t="s">
        <v>291</v>
      </c>
      <c r="E14" s="158" t="s">
        <v>478</v>
      </c>
      <c r="F14" s="158" t="s">
        <v>478</v>
      </c>
      <c r="G14" s="158" t="s">
        <v>478</v>
      </c>
      <c r="H14" s="169"/>
      <c r="I14" s="172"/>
      <c r="J14" s="172"/>
      <c r="K14" s="172"/>
      <c r="L14" s="172"/>
      <c r="M14" s="172"/>
      <c r="N14" s="172"/>
      <c r="O14" s="172"/>
      <c r="P14" s="172"/>
      <c r="Q14" s="172"/>
      <c r="R14" s="172"/>
      <c r="S14" s="172"/>
    </row>
    <row r="15" spans="1:21" ht="15.6" x14ac:dyDescent="0.3">
      <c r="A15" s="172"/>
      <c r="B15" s="172"/>
      <c r="C15" s="164"/>
      <c r="D15" s="201" t="s">
        <v>292</v>
      </c>
      <c r="E15" s="161" t="s">
        <v>587</v>
      </c>
      <c r="F15" s="161" t="s">
        <v>587</v>
      </c>
      <c r="G15" s="161" t="s">
        <v>587</v>
      </c>
      <c r="H15" s="169"/>
      <c r="I15" s="172"/>
      <c r="J15" s="172"/>
      <c r="K15" s="172"/>
      <c r="L15" s="172"/>
      <c r="M15" s="172"/>
      <c r="N15" s="172"/>
      <c r="O15" s="172"/>
      <c r="P15" s="172"/>
      <c r="Q15" s="172"/>
      <c r="R15" s="172"/>
      <c r="S15" s="172"/>
    </row>
    <row r="16" spans="1:21" ht="15.6" x14ac:dyDescent="0.3">
      <c r="A16" s="172"/>
      <c r="B16" s="172"/>
      <c r="C16" s="164"/>
      <c r="D16" s="153"/>
      <c r="E16" s="147"/>
      <c r="F16" s="161"/>
      <c r="G16" s="161"/>
      <c r="H16" s="169"/>
      <c r="I16" s="172"/>
      <c r="J16" s="172"/>
      <c r="K16" s="172"/>
      <c r="L16" s="172"/>
      <c r="M16" s="172"/>
      <c r="N16" s="172"/>
      <c r="O16" s="172"/>
      <c r="P16" s="172"/>
      <c r="Q16" s="172"/>
      <c r="R16" s="172"/>
      <c r="S16" s="172"/>
    </row>
    <row r="17" spans="1:19" ht="15.6" x14ac:dyDescent="0.3">
      <c r="A17" s="172"/>
      <c r="B17" s="172"/>
      <c r="C17" s="164"/>
      <c r="D17" s="202" t="s">
        <v>302</v>
      </c>
      <c r="E17" s="158" t="s">
        <v>297</v>
      </c>
      <c r="F17" s="158" t="s">
        <v>297</v>
      </c>
      <c r="G17" s="159" t="s">
        <v>297</v>
      </c>
      <c r="H17" s="169"/>
      <c r="I17" s="172"/>
      <c r="J17" s="172"/>
      <c r="K17" s="172"/>
      <c r="L17" s="172"/>
      <c r="M17" s="172"/>
      <c r="N17" s="172"/>
      <c r="O17" s="172"/>
      <c r="P17" s="172"/>
      <c r="Q17" s="172"/>
      <c r="R17" s="172"/>
      <c r="S17" s="172"/>
    </row>
    <row r="18" spans="1:19" ht="15.6" x14ac:dyDescent="0.3">
      <c r="A18" s="172"/>
      <c r="B18" s="172"/>
      <c r="C18" s="164"/>
      <c r="D18" s="153" t="s">
        <v>591</v>
      </c>
      <c r="E18" s="161"/>
      <c r="F18" s="161" t="s">
        <v>592</v>
      </c>
      <c r="G18" s="161"/>
      <c r="H18" s="169"/>
      <c r="I18" s="172"/>
      <c r="J18" s="172"/>
      <c r="K18" s="172"/>
      <c r="L18" s="172"/>
      <c r="M18" s="172"/>
      <c r="N18" s="172"/>
      <c r="O18" s="172"/>
      <c r="P18" s="172"/>
      <c r="Q18" s="172"/>
      <c r="R18" s="172"/>
      <c r="S18" s="172"/>
    </row>
    <row r="19" spans="1:19" ht="15.6" x14ac:dyDescent="0.3">
      <c r="A19" s="172"/>
      <c r="B19" s="172"/>
      <c r="C19" s="164"/>
      <c r="D19" s="153" t="s">
        <v>479</v>
      </c>
      <c r="E19" s="161" t="s">
        <v>478</v>
      </c>
      <c r="F19" s="161" t="s">
        <v>478</v>
      </c>
      <c r="G19" s="161" t="s">
        <v>478</v>
      </c>
      <c r="H19" s="169"/>
      <c r="I19" s="172"/>
      <c r="J19" s="172"/>
      <c r="K19" s="172"/>
      <c r="L19" s="172"/>
      <c r="M19" s="172"/>
      <c r="N19" s="172"/>
      <c r="O19" s="172"/>
      <c r="P19" s="172"/>
      <c r="Q19" s="172"/>
      <c r="R19" s="172"/>
      <c r="S19" s="172"/>
    </row>
    <row r="20" spans="1:19" ht="15.6" x14ac:dyDescent="0.3">
      <c r="A20" s="172"/>
      <c r="B20" s="172"/>
      <c r="C20" s="164"/>
      <c r="D20" s="153" t="s">
        <v>814</v>
      </c>
      <c r="E20" s="147" t="s">
        <v>815</v>
      </c>
      <c r="F20" s="147" t="s">
        <v>816</v>
      </c>
      <c r="G20" s="150" t="s">
        <v>815</v>
      </c>
      <c r="H20" s="169"/>
      <c r="I20" s="172"/>
      <c r="J20" s="172"/>
      <c r="K20" s="172"/>
      <c r="L20" s="172"/>
      <c r="M20" s="172"/>
      <c r="N20" s="172"/>
      <c r="O20" s="172"/>
      <c r="P20" s="172"/>
      <c r="Q20" s="172"/>
      <c r="R20" s="172"/>
      <c r="S20" s="172"/>
    </row>
    <row r="21" spans="1:19" x14ac:dyDescent="0.3">
      <c r="A21" s="172"/>
      <c r="B21" s="172"/>
      <c r="C21" s="164"/>
      <c r="D21" s="168"/>
      <c r="E21" s="168"/>
      <c r="F21" s="168"/>
      <c r="G21" s="168"/>
      <c r="H21" s="169"/>
      <c r="I21" s="172"/>
      <c r="J21" s="172"/>
      <c r="K21" s="172"/>
      <c r="L21" s="172"/>
      <c r="M21" s="172"/>
      <c r="N21" s="172"/>
      <c r="O21" s="172"/>
      <c r="P21" s="172"/>
      <c r="Q21" s="172"/>
      <c r="R21" s="172"/>
      <c r="S21" s="172"/>
    </row>
    <row r="22" spans="1:19" ht="15" thickBot="1" x14ac:dyDescent="0.35">
      <c r="A22" s="172"/>
      <c r="B22" s="172"/>
      <c r="C22" s="165"/>
      <c r="D22" s="171"/>
      <c r="E22" s="171"/>
      <c r="F22" s="171"/>
      <c r="G22" s="171"/>
      <c r="H22" s="170"/>
      <c r="I22" s="172"/>
      <c r="J22" s="172"/>
      <c r="K22" s="172"/>
      <c r="L22" s="172"/>
      <c r="M22" s="172"/>
      <c r="N22" s="172"/>
      <c r="O22" s="172"/>
      <c r="P22" s="172"/>
      <c r="Q22" s="172"/>
      <c r="R22" s="172"/>
      <c r="S22" s="172"/>
    </row>
    <row r="23" spans="1:19" x14ac:dyDescent="0.3">
      <c r="A23" s="172"/>
      <c r="B23" s="172"/>
      <c r="C23" s="172"/>
      <c r="D23" s="172"/>
      <c r="E23" s="172"/>
      <c r="F23" s="172"/>
      <c r="G23" s="172"/>
      <c r="H23" s="172"/>
      <c r="I23" s="172"/>
      <c r="J23" s="172"/>
      <c r="K23" s="172"/>
      <c r="L23" s="172"/>
      <c r="M23" s="172"/>
      <c r="N23" s="172"/>
      <c r="O23" s="172"/>
      <c r="P23" s="172"/>
      <c r="Q23" s="172"/>
      <c r="R23" s="172"/>
      <c r="S23" s="172"/>
    </row>
    <row r="24" spans="1:19" ht="15" customHeight="1" x14ac:dyDescent="0.3">
      <c r="A24" s="172"/>
      <c r="B24" s="172"/>
      <c r="C24" s="172"/>
      <c r="D24" s="172"/>
      <c r="E24" s="172"/>
      <c r="F24" s="172"/>
      <c r="G24" s="172"/>
      <c r="H24" s="172"/>
      <c r="I24" s="172"/>
      <c r="J24" s="172"/>
      <c r="K24" s="172"/>
      <c r="L24" s="172"/>
      <c r="M24" s="172"/>
      <c r="N24" s="172"/>
      <c r="O24" s="172"/>
      <c r="P24" s="172"/>
      <c r="Q24" s="172"/>
      <c r="R24" s="172"/>
      <c r="S24" s="172"/>
    </row>
    <row r="25" spans="1:19" ht="15" customHeight="1" x14ac:dyDescent="0.3">
      <c r="A25" s="172"/>
      <c r="B25" s="172"/>
      <c r="C25" s="172"/>
      <c r="D25" s="172"/>
      <c r="E25" s="172"/>
      <c r="F25" s="172"/>
      <c r="G25" s="172"/>
      <c r="H25" s="172"/>
      <c r="I25" s="172"/>
      <c r="J25" s="172"/>
      <c r="K25" s="172"/>
      <c r="L25" s="172"/>
      <c r="M25" s="172"/>
      <c r="N25" s="172"/>
      <c r="O25" s="172"/>
      <c r="P25" s="172"/>
      <c r="Q25" s="172"/>
      <c r="R25" s="172"/>
      <c r="S25" s="172"/>
    </row>
    <row r="26" spans="1:19" ht="45.75" customHeight="1" x14ac:dyDescent="0.3">
      <c r="A26" s="172"/>
      <c r="B26" s="172"/>
      <c r="C26" s="172"/>
      <c r="D26" s="172"/>
      <c r="E26" s="172"/>
      <c r="F26" s="172"/>
      <c r="G26" s="172"/>
      <c r="H26" s="172"/>
      <c r="I26" s="172"/>
      <c r="J26" s="172"/>
      <c r="K26" s="172"/>
      <c r="L26" s="172"/>
      <c r="M26" s="172"/>
      <c r="N26" s="172"/>
      <c r="O26" s="172"/>
      <c r="P26" s="172"/>
      <c r="Q26" s="172"/>
      <c r="R26" s="172"/>
      <c r="S26" s="172"/>
    </row>
    <row r="27" spans="1:19" ht="45" customHeight="1" x14ac:dyDescent="0.3">
      <c r="A27" s="172"/>
      <c r="B27" s="172"/>
      <c r="C27" s="172"/>
      <c r="D27" s="172"/>
      <c r="E27" s="172"/>
      <c r="F27" s="172"/>
      <c r="G27" s="172"/>
      <c r="H27" s="172"/>
      <c r="I27" s="172"/>
      <c r="J27" s="172"/>
      <c r="K27" s="172"/>
      <c r="L27" s="172"/>
      <c r="M27" s="172"/>
      <c r="N27" s="172"/>
      <c r="O27" s="172"/>
      <c r="P27" s="172"/>
      <c r="Q27" s="172"/>
      <c r="R27" s="172"/>
      <c r="S27" s="172"/>
    </row>
    <row r="28" spans="1:19" ht="51.75" customHeight="1" x14ac:dyDescent="0.3">
      <c r="A28" s="172"/>
      <c r="B28" s="172"/>
      <c r="C28" s="172"/>
      <c r="D28" s="172"/>
      <c r="E28" s="272"/>
      <c r="F28" s="272"/>
      <c r="G28" s="272"/>
      <c r="H28" s="172"/>
      <c r="I28" s="172"/>
      <c r="J28" s="172"/>
      <c r="K28" s="172"/>
      <c r="L28" s="172"/>
      <c r="M28" s="172"/>
      <c r="N28" s="172"/>
      <c r="O28" s="172"/>
      <c r="P28" s="172"/>
      <c r="Q28" s="172"/>
      <c r="R28" s="172"/>
      <c r="S28" s="172"/>
    </row>
    <row r="29" spans="1:19" x14ac:dyDescent="0.3">
      <c r="A29" s="172"/>
      <c r="B29" s="172"/>
      <c r="C29" s="172"/>
      <c r="D29" s="172"/>
      <c r="E29" s="272"/>
      <c r="F29" s="272"/>
      <c r="G29" s="272"/>
      <c r="H29" s="172"/>
      <c r="I29" s="172"/>
      <c r="J29" s="172"/>
      <c r="K29" s="172"/>
      <c r="L29" s="172"/>
      <c r="M29" s="172"/>
      <c r="N29" s="172"/>
      <c r="O29" s="172"/>
      <c r="P29" s="172"/>
      <c r="Q29" s="172"/>
      <c r="R29" s="172"/>
      <c r="S29" s="172"/>
    </row>
    <row r="30" spans="1:19" x14ac:dyDescent="0.3">
      <c r="A30" s="172"/>
      <c r="B30" s="172"/>
      <c r="C30" s="172"/>
      <c r="D30" s="172"/>
      <c r="E30" s="272"/>
      <c r="F30" s="272"/>
      <c r="G30" s="272"/>
      <c r="H30" s="172"/>
      <c r="I30" s="172"/>
      <c r="J30" s="172"/>
      <c r="K30" s="172"/>
      <c r="L30" s="172"/>
      <c r="M30" s="172"/>
      <c r="N30" s="172"/>
      <c r="O30" s="172"/>
      <c r="P30" s="172"/>
      <c r="Q30" s="172"/>
      <c r="R30" s="172"/>
      <c r="S30" s="172"/>
    </row>
    <row r="31" spans="1:19" x14ac:dyDescent="0.3">
      <c r="A31" s="172"/>
      <c r="B31" s="172"/>
      <c r="C31" s="172"/>
      <c r="D31" s="172"/>
      <c r="E31" s="272"/>
      <c r="F31" s="272"/>
      <c r="G31" s="272"/>
      <c r="H31" s="172"/>
      <c r="I31" s="172"/>
      <c r="J31" s="172"/>
      <c r="K31" s="172"/>
      <c r="L31" s="172"/>
      <c r="M31" s="172"/>
      <c r="N31" s="172"/>
      <c r="O31" s="172"/>
      <c r="P31" s="172"/>
      <c r="Q31" s="172"/>
      <c r="R31" s="172"/>
      <c r="S31" s="172"/>
    </row>
    <row r="32" spans="1:19" x14ac:dyDescent="0.3">
      <c r="A32" s="172"/>
      <c r="B32" s="172"/>
      <c r="C32" s="172"/>
      <c r="D32" s="172"/>
      <c r="E32" s="272"/>
      <c r="F32" s="272"/>
      <c r="G32" s="272"/>
      <c r="H32" s="172"/>
      <c r="I32" s="172"/>
      <c r="J32" s="172"/>
      <c r="K32" s="172"/>
      <c r="L32" s="172"/>
      <c r="M32" s="172"/>
      <c r="N32" s="172"/>
      <c r="O32" s="172"/>
      <c r="P32" s="172"/>
      <c r="Q32" s="172"/>
      <c r="R32" s="172"/>
      <c r="S32" s="172"/>
    </row>
    <row r="33" spans="1:19" x14ac:dyDescent="0.3">
      <c r="A33" s="172"/>
      <c r="B33" s="172"/>
      <c r="C33" s="172"/>
      <c r="D33" s="172"/>
      <c r="E33" s="272"/>
      <c r="F33" s="272"/>
      <c r="G33" s="272"/>
      <c r="H33" s="172"/>
      <c r="I33" s="172"/>
      <c r="J33" s="172"/>
      <c r="K33" s="172"/>
      <c r="L33" s="172"/>
      <c r="M33" s="172"/>
      <c r="N33" s="172"/>
      <c r="O33" s="172"/>
      <c r="P33" s="172"/>
      <c r="Q33" s="172"/>
      <c r="R33" s="172"/>
      <c r="S33" s="172"/>
    </row>
    <row r="34" spans="1:19" x14ac:dyDescent="0.3">
      <c r="A34" s="172"/>
      <c r="B34" s="172"/>
      <c r="C34" s="172"/>
      <c r="D34" s="172"/>
      <c r="E34" s="272"/>
      <c r="F34" s="272"/>
      <c r="G34" s="272"/>
      <c r="H34" s="172"/>
      <c r="I34" s="172"/>
      <c r="J34" s="172"/>
      <c r="K34" s="172"/>
      <c r="L34" s="172"/>
      <c r="M34" s="172"/>
      <c r="N34" s="172"/>
      <c r="O34" s="172"/>
      <c r="P34" s="172"/>
      <c r="Q34" s="172"/>
      <c r="R34" s="172"/>
      <c r="S34" s="172"/>
    </row>
    <row r="35" spans="1:19" x14ac:dyDescent="0.3">
      <c r="A35" s="172"/>
      <c r="B35" s="172"/>
      <c r="C35" s="172"/>
      <c r="D35" s="172"/>
      <c r="E35" s="272"/>
      <c r="F35" s="272"/>
      <c r="G35" s="272"/>
      <c r="H35" s="172"/>
      <c r="I35" s="172"/>
      <c r="J35" s="172"/>
      <c r="K35" s="172"/>
      <c r="L35" s="172"/>
      <c r="M35" s="172"/>
      <c r="N35" s="172"/>
      <c r="O35" s="172"/>
      <c r="P35" s="172"/>
      <c r="Q35" s="172"/>
      <c r="R35" s="172"/>
      <c r="S35" s="172"/>
    </row>
    <row r="36" spans="1:19" x14ac:dyDescent="0.3">
      <c r="A36" s="172"/>
      <c r="B36" s="172"/>
      <c r="C36" s="172"/>
      <c r="D36" s="172"/>
      <c r="E36" s="272"/>
      <c r="F36" s="272"/>
      <c r="G36" s="272"/>
      <c r="H36" s="172"/>
      <c r="I36" s="172"/>
      <c r="J36" s="172"/>
      <c r="K36" s="172"/>
      <c r="L36" s="172"/>
      <c r="M36" s="172"/>
      <c r="N36" s="172"/>
      <c r="O36" s="172"/>
      <c r="P36" s="172"/>
      <c r="Q36" s="172"/>
      <c r="R36" s="172"/>
      <c r="S36" s="172"/>
    </row>
    <row r="37" spans="1:19" x14ac:dyDescent="0.3">
      <c r="A37" s="172"/>
      <c r="B37" s="172"/>
      <c r="C37" s="172"/>
      <c r="D37" s="172"/>
      <c r="E37" s="272"/>
      <c r="F37" s="272"/>
      <c r="G37" s="272"/>
      <c r="H37" s="172"/>
      <c r="I37" s="172"/>
      <c r="J37" s="172"/>
      <c r="K37" s="172"/>
      <c r="L37" s="172"/>
      <c r="M37" s="172"/>
      <c r="N37" s="172"/>
      <c r="O37" s="172"/>
      <c r="P37" s="172"/>
      <c r="Q37" s="172"/>
      <c r="R37" s="172"/>
      <c r="S37" s="172"/>
    </row>
    <row r="38" spans="1:19" x14ac:dyDescent="0.3">
      <c r="A38" s="172"/>
      <c r="B38" s="172"/>
      <c r="C38" s="172"/>
      <c r="D38" s="172"/>
      <c r="E38" s="272"/>
      <c r="F38" s="272"/>
      <c r="G38" s="272"/>
      <c r="H38" s="172"/>
      <c r="I38" s="172"/>
      <c r="J38" s="172"/>
      <c r="K38" s="172"/>
      <c r="L38" s="172"/>
      <c r="M38" s="172"/>
      <c r="N38" s="172"/>
      <c r="O38" s="172"/>
      <c r="P38" s="172"/>
      <c r="Q38" s="172"/>
      <c r="R38" s="172"/>
      <c r="S38" s="172"/>
    </row>
    <row r="39" spans="1:19" x14ac:dyDescent="0.3">
      <c r="A39" s="172"/>
      <c r="B39" s="172"/>
      <c r="C39" s="172"/>
      <c r="D39" s="172"/>
      <c r="E39" s="172"/>
      <c r="F39" s="172"/>
      <c r="G39" s="172"/>
      <c r="H39" s="172"/>
      <c r="I39" s="172"/>
      <c r="J39" s="172"/>
      <c r="K39" s="172"/>
      <c r="L39" s="172"/>
      <c r="M39" s="172"/>
      <c r="N39" s="172"/>
      <c r="O39" s="172"/>
      <c r="P39" s="172"/>
      <c r="Q39" s="172"/>
      <c r="R39" s="172"/>
      <c r="S39" s="172"/>
    </row>
    <row r="40" spans="1:19" x14ac:dyDescent="0.3">
      <c r="A40" s="172"/>
      <c r="B40" s="172"/>
      <c r="C40" s="172"/>
      <c r="D40" s="172"/>
      <c r="E40" s="172"/>
      <c r="F40" s="172"/>
      <c r="G40" s="172"/>
      <c r="H40" s="172"/>
      <c r="I40" s="172"/>
      <c r="J40" s="172"/>
      <c r="K40" s="172"/>
      <c r="L40" s="172"/>
      <c r="M40" s="172"/>
      <c r="N40" s="172"/>
      <c r="O40" s="172"/>
      <c r="P40" s="172"/>
      <c r="Q40" s="172"/>
      <c r="R40" s="172"/>
      <c r="S40" s="172"/>
    </row>
    <row r="41" spans="1:19" x14ac:dyDescent="0.3">
      <c r="A41" s="172"/>
      <c r="B41" s="172"/>
      <c r="C41" s="172"/>
      <c r="D41" s="172"/>
      <c r="E41" s="172"/>
      <c r="F41" s="172"/>
      <c r="G41" s="172"/>
      <c r="H41" s="172"/>
      <c r="I41" s="172"/>
      <c r="J41" s="172"/>
      <c r="K41" s="172"/>
      <c r="L41" s="172"/>
      <c r="M41" s="172"/>
      <c r="N41" s="172"/>
      <c r="O41" s="172"/>
      <c r="P41" s="172"/>
      <c r="Q41" s="172"/>
      <c r="R41" s="172"/>
      <c r="S41" s="172"/>
    </row>
    <row r="42" spans="1:19" x14ac:dyDescent="0.3">
      <c r="A42" s="172"/>
      <c r="B42" s="172"/>
      <c r="C42" s="172"/>
      <c r="D42" s="172"/>
      <c r="E42" s="172"/>
      <c r="F42" s="172"/>
      <c r="G42" s="172"/>
      <c r="H42" s="172"/>
      <c r="I42" s="172"/>
      <c r="J42" s="172"/>
      <c r="K42" s="172"/>
      <c r="L42" s="172"/>
      <c r="M42" s="172"/>
      <c r="N42" s="172"/>
      <c r="O42" s="172"/>
      <c r="P42" s="172"/>
      <c r="Q42" s="172"/>
      <c r="R42" s="172"/>
      <c r="S42" s="172"/>
    </row>
    <row r="43" spans="1:19" x14ac:dyDescent="0.3">
      <c r="A43" s="172"/>
      <c r="B43" s="172"/>
      <c r="C43" s="172"/>
      <c r="D43" s="172"/>
      <c r="E43" s="172"/>
      <c r="F43" s="172"/>
      <c r="G43" s="172"/>
      <c r="H43" s="172"/>
      <c r="I43" s="172"/>
      <c r="J43" s="172"/>
      <c r="K43" s="172"/>
      <c r="L43" s="172"/>
      <c r="M43" s="172"/>
      <c r="N43" s="172"/>
      <c r="O43" s="172"/>
      <c r="P43" s="172"/>
      <c r="Q43" s="172"/>
      <c r="R43" s="172"/>
      <c r="S43" s="172"/>
    </row>
    <row r="44" spans="1:19" x14ac:dyDescent="0.3">
      <c r="A44" s="172"/>
      <c r="B44" s="172"/>
      <c r="C44" s="172"/>
      <c r="D44" s="172"/>
      <c r="E44" s="172"/>
      <c r="F44" s="172"/>
      <c r="G44" s="172"/>
      <c r="H44" s="172"/>
      <c r="I44" s="172"/>
      <c r="J44" s="172"/>
      <c r="K44" s="172"/>
      <c r="L44" s="172"/>
      <c r="M44" s="172"/>
      <c r="N44" s="172"/>
      <c r="O44" s="172"/>
      <c r="P44" s="172"/>
      <c r="Q44" s="172"/>
      <c r="R44" s="172"/>
      <c r="S44" s="172"/>
    </row>
    <row r="45" spans="1:19" x14ac:dyDescent="0.3">
      <c r="A45" s="172"/>
      <c r="B45" s="172"/>
      <c r="C45" s="172"/>
      <c r="D45" s="172"/>
      <c r="E45" s="172"/>
      <c r="F45" s="172"/>
      <c r="G45" s="172"/>
      <c r="H45" s="172"/>
      <c r="I45" s="172"/>
      <c r="J45" s="172"/>
      <c r="K45" s="172"/>
      <c r="L45" s="172"/>
      <c r="M45" s="172"/>
      <c r="N45" s="172"/>
      <c r="O45" s="172"/>
      <c r="P45" s="172"/>
      <c r="Q45" s="172"/>
      <c r="R45" s="172"/>
      <c r="S45" s="172"/>
    </row>
    <row r="46" spans="1:19" x14ac:dyDescent="0.3">
      <c r="A46" s="172"/>
      <c r="B46" s="172"/>
      <c r="C46" s="172"/>
      <c r="D46" s="172"/>
      <c r="E46" s="172"/>
      <c r="F46" s="172"/>
      <c r="G46" s="172"/>
      <c r="H46" s="172"/>
      <c r="I46" s="172"/>
      <c r="J46" s="172"/>
      <c r="K46" s="172"/>
      <c r="L46" s="172"/>
      <c r="M46" s="172"/>
      <c r="N46" s="172"/>
      <c r="O46" s="172"/>
      <c r="P46" s="172"/>
      <c r="Q46" s="172"/>
      <c r="R46" s="172"/>
      <c r="S46" s="172"/>
    </row>
    <row r="47" spans="1:19" x14ac:dyDescent="0.3">
      <c r="A47" s="172"/>
      <c r="B47" s="172"/>
      <c r="C47" s="172"/>
      <c r="D47" s="172"/>
      <c r="E47" s="172"/>
      <c r="F47" s="172"/>
      <c r="G47" s="172"/>
      <c r="H47" s="172"/>
      <c r="I47" s="172"/>
      <c r="J47" s="172"/>
      <c r="K47" s="172"/>
      <c r="L47" s="172"/>
      <c r="M47" s="172"/>
      <c r="N47" s="172"/>
      <c r="O47" s="172"/>
      <c r="P47" s="172"/>
      <c r="Q47" s="172"/>
      <c r="R47" s="172"/>
      <c r="S47" s="172"/>
    </row>
    <row r="48" spans="1:19" x14ac:dyDescent="0.3">
      <c r="A48" s="172"/>
      <c r="B48" s="172"/>
      <c r="C48" s="172"/>
      <c r="D48" s="172"/>
      <c r="I48" s="172"/>
      <c r="J48" s="172"/>
      <c r="K48" s="172"/>
      <c r="L48" s="172"/>
      <c r="M48" s="172"/>
      <c r="N48" s="172"/>
      <c r="O48" s="172"/>
      <c r="P48" s="172"/>
      <c r="Q48" s="172"/>
      <c r="R48" s="172"/>
      <c r="S48" s="172"/>
    </row>
    <row r="49" spans="1:19" x14ac:dyDescent="0.3">
      <c r="A49" s="151"/>
      <c r="B49" s="151"/>
      <c r="C49" s="151"/>
      <c r="I49" s="172"/>
      <c r="J49" s="172"/>
      <c r="K49" s="172"/>
      <c r="L49" s="172"/>
      <c r="M49" s="172"/>
      <c r="N49" s="172"/>
      <c r="O49" s="172"/>
      <c r="P49" s="172"/>
      <c r="Q49" s="172"/>
      <c r="R49" s="172"/>
      <c r="S49" s="172"/>
    </row>
    <row r="50" spans="1:19" x14ac:dyDescent="0.3">
      <c r="A50" s="151"/>
      <c r="B50" s="151"/>
      <c r="C50" s="151"/>
      <c r="I50" s="172"/>
      <c r="J50" s="172"/>
      <c r="K50" s="172"/>
      <c r="L50" s="172"/>
      <c r="M50" s="172"/>
      <c r="N50" s="172"/>
      <c r="O50" s="172"/>
      <c r="P50" s="172"/>
      <c r="Q50" s="172"/>
      <c r="R50" s="172"/>
      <c r="S50" s="172"/>
    </row>
    <row r="51" spans="1:19" x14ac:dyDescent="0.3">
      <c r="A51" s="151"/>
      <c r="B51" s="151"/>
      <c r="C51" s="151"/>
      <c r="I51" s="172"/>
      <c r="J51" s="172"/>
      <c r="K51" s="172"/>
      <c r="L51" s="172"/>
      <c r="M51" s="172"/>
      <c r="N51" s="172"/>
      <c r="O51" s="172"/>
      <c r="P51" s="172"/>
      <c r="Q51" s="172"/>
      <c r="R51" s="172"/>
      <c r="S51" s="172"/>
    </row>
    <row r="52" spans="1:19" x14ac:dyDescent="0.3">
      <c r="A52" s="151"/>
      <c r="B52" s="151"/>
      <c r="C52" s="151"/>
      <c r="I52" s="172"/>
      <c r="J52" s="172"/>
      <c r="K52" s="172"/>
      <c r="L52" s="172"/>
      <c r="M52" s="172"/>
      <c r="N52" s="172"/>
      <c r="O52" s="172"/>
      <c r="P52" s="172"/>
      <c r="Q52" s="172"/>
      <c r="R52" s="172"/>
      <c r="S52" s="172"/>
    </row>
    <row r="53" spans="1:19" x14ac:dyDescent="0.3">
      <c r="A53" s="151"/>
      <c r="B53" s="151"/>
      <c r="C53" s="151"/>
      <c r="I53" s="172"/>
      <c r="J53" s="172"/>
      <c r="K53" s="172"/>
      <c r="L53" s="172"/>
      <c r="M53" s="172"/>
      <c r="N53" s="172"/>
      <c r="O53" s="172"/>
      <c r="P53" s="172"/>
      <c r="Q53" s="172"/>
      <c r="R53" s="172"/>
      <c r="S53" s="172"/>
    </row>
    <row r="54" spans="1:19" x14ac:dyDescent="0.3">
      <c r="A54" s="151"/>
      <c r="B54" s="151"/>
      <c r="C54" s="151"/>
      <c r="I54" s="172"/>
      <c r="J54" s="172"/>
      <c r="K54" s="172"/>
      <c r="L54" s="172"/>
      <c r="M54" s="172"/>
      <c r="N54" s="172"/>
      <c r="O54" s="172"/>
      <c r="P54" s="172"/>
      <c r="Q54" s="172"/>
      <c r="R54" s="172"/>
      <c r="S54" s="172"/>
    </row>
    <row r="55" spans="1:19" x14ac:dyDescent="0.3">
      <c r="A55" s="151"/>
      <c r="B55" s="151"/>
      <c r="C55" s="151"/>
      <c r="I55" s="172"/>
      <c r="J55" s="172"/>
      <c r="K55" s="172"/>
      <c r="L55" s="172"/>
      <c r="M55" s="172"/>
      <c r="N55" s="172"/>
      <c r="O55" s="172"/>
      <c r="P55" s="172"/>
      <c r="Q55" s="172"/>
      <c r="R55" s="172"/>
      <c r="S55" s="172"/>
    </row>
    <row r="56" spans="1:19" x14ac:dyDescent="0.3">
      <c r="A56" s="151"/>
      <c r="B56" s="151"/>
      <c r="C56" s="151"/>
    </row>
    <row r="57" spans="1:19" x14ac:dyDescent="0.3">
      <c r="A57" s="151"/>
      <c r="B57" s="151"/>
      <c r="C57" s="151"/>
    </row>
    <row r="58" spans="1:19" x14ac:dyDescent="0.3">
      <c r="A58" s="151"/>
      <c r="B58" s="151"/>
      <c r="C58" s="151"/>
    </row>
    <row r="59" spans="1:19" x14ac:dyDescent="0.3">
      <c r="A59" s="151"/>
      <c r="B59" s="151"/>
      <c r="C59" s="151"/>
    </row>
    <row r="60" spans="1:19" x14ac:dyDescent="0.3">
      <c r="A60" s="151"/>
      <c r="B60" s="151"/>
      <c r="C60" s="151"/>
    </row>
    <row r="61" spans="1:19" x14ac:dyDescent="0.3">
      <c r="A61" s="151"/>
      <c r="B61" s="151"/>
      <c r="C61" s="151"/>
    </row>
    <row r="62" spans="1:19" x14ac:dyDescent="0.3">
      <c r="A62" s="151"/>
      <c r="B62" s="151"/>
      <c r="C62" s="151"/>
    </row>
    <row r="63" spans="1:19" x14ac:dyDescent="0.3">
      <c r="A63" s="151"/>
      <c r="B63" s="151"/>
      <c r="C63" s="151"/>
    </row>
    <row r="64" spans="1:19" x14ac:dyDescent="0.3">
      <c r="A64" s="151"/>
      <c r="B64" s="151"/>
      <c r="C64" s="151"/>
    </row>
    <row r="65" spans="1:3" x14ac:dyDescent="0.3">
      <c r="A65" s="151"/>
      <c r="B65" s="151"/>
      <c r="C65" s="151"/>
    </row>
    <row r="66" spans="1:3" x14ac:dyDescent="0.3">
      <c r="A66" s="151"/>
      <c r="B66" s="151"/>
      <c r="C66" s="151"/>
    </row>
    <row r="67" spans="1:3" x14ac:dyDescent="0.3">
      <c r="A67" s="151"/>
      <c r="B67" s="151"/>
      <c r="C67" s="151"/>
    </row>
    <row r="68" spans="1:3" x14ac:dyDescent="0.3">
      <c r="A68" s="151"/>
      <c r="B68" s="151"/>
      <c r="C68" s="151"/>
    </row>
    <row r="69" spans="1:3" x14ac:dyDescent="0.3">
      <c r="A69" s="151"/>
      <c r="B69" s="151"/>
      <c r="C69" s="151"/>
    </row>
    <row r="70" spans="1:3" x14ac:dyDescent="0.3">
      <c r="A70" s="151"/>
      <c r="B70" s="151"/>
      <c r="C70" s="151"/>
    </row>
    <row r="71" spans="1:3" x14ac:dyDescent="0.3">
      <c r="A71" s="151"/>
      <c r="B71" s="151"/>
      <c r="C71" s="151"/>
    </row>
    <row r="72" spans="1:3" x14ac:dyDescent="0.3">
      <c r="A72" s="151"/>
      <c r="B72" s="151"/>
      <c r="C72" s="151"/>
    </row>
    <row r="73" spans="1:3" x14ac:dyDescent="0.3">
      <c r="A73" s="151"/>
      <c r="B73" s="151"/>
      <c r="C73" s="151"/>
    </row>
    <row r="74" spans="1:3" x14ac:dyDescent="0.3">
      <c r="A74" s="151"/>
      <c r="B74" s="151"/>
      <c r="C74" s="151"/>
    </row>
    <row r="75" spans="1:3" x14ac:dyDescent="0.3">
      <c r="A75" s="151"/>
      <c r="B75" s="151"/>
      <c r="C75" s="151"/>
    </row>
    <row r="76" spans="1:3" x14ac:dyDescent="0.3">
      <c r="A76" s="151"/>
      <c r="B76" s="151"/>
      <c r="C76" s="151"/>
    </row>
    <row r="77" spans="1:3" x14ac:dyDescent="0.3">
      <c r="A77" s="151"/>
      <c r="B77" s="151"/>
      <c r="C77" s="151"/>
    </row>
    <row r="78" spans="1:3" x14ac:dyDescent="0.3">
      <c r="A78" s="151"/>
      <c r="B78" s="151"/>
      <c r="C78" s="151"/>
    </row>
    <row r="79" spans="1:3" x14ac:dyDescent="0.3">
      <c r="A79" s="151"/>
      <c r="B79" s="151"/>
      <c r="C79" s="151"/>
    </row>
    <row r="80" spans="1:3" x14ac:dyDescent="0.3">
      <c r="A80" s="151"/>
      <c r="B80" s="151"/>
      <c r="C80" s="151"/>
    </row>
    <row r="81" spans="1:3" x14ac:dyDescent="0.3">
      <c r="A81" s="151"/>
      <c r="B81" s="151"/>
      <c r="C81" s="151"/>
    </row>
    <row r="82" spans="1:3" x14ac:dyDescent="0.3">
      <c r="A82" s="151"/>
      <c r="B82" s="151"/>
      <c r="C82" s="151"/>
    </row>
    <row r="83" spans="1:3" x14ac:dyDescent="0.3">
      <c r="A83" s="151"/>
      <c r="B83" s="151"/>
      <c r="C83" s="151"/>
    </row>
    <row r="84" spans="1:3" x14ac:dyDescent="0.3">
      <c r="A84" s="151"/>
      <c r="B84" s="151"/>
      <c r="C84" s="151"/>
    </row>
    <row r="85" spans="1:3" x14ac:dyDescent="0.3">
      <c r="A85" s="151"/>
      <c r="B85" s="151"/>
      <c r="C85" s="151"/>
    </row>
    <row r="86" spans="1:3" x14ac:dyDescent="0.3">
      <c r="A86" s="151"/>
      <c r="B86" s="151"/>
      <c r="C86" s="151"/>
    </row>
    <row r="87" spans="1:3" x14ac:dyDescent="0.3">
      <c r="A87" s="151"/>
      <c r="B87" s="151"/>
      <c r="C87" s="151"/>
    </row>
    <row r="88" spans="1:3" x14ac:dyDescent="0.3">
      <c r="A88" s="151"/>
      <c r="B88" s="151"/>
      <c r="C88" s="151"/>
    </row>
  </sheetData>
  <mergeCells count="3">
    <mergeCell ref="D4:G4"/>
    <mergeCell ref="D6:D8"/>
    <mergeCell ref="D12:D13"/>
  </mergeCells>
  <hyperlinks>
    <hyperlink ref="D17" r:id="rId1" xr:uid="{00000000-0004-0000-1100-000000000000}"/>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A1:AO55"/>
  <sheetViews>
    <sheetView workbookViewId="0">
      <selection activeCell="D15" sqref="D15"/>
    </sheetView>
  </sheetViews>
  <sheetFormatPr defaultRowHeight="14.4" x14ac:dyDescent="0.3"/>
  <cols>
    <col min="3" max="4" width="11.33203125" customWidth="1"/>
    <col min="9" max="9" width="10.88671875" customWidth="1"/>
    <col min="11" max="11" width="21.44140625" bestFit="1" customWidth="1"/>
  </cols>
  <sheetData>
    <row r="1" spans="1:41" s="198" customFormat="1" ht="15" thickBot="1" x14ac:dyDescent="0.35">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row>
    <row r="2" spans="1:41" ht="15" thickBot="1" x14ac:dyDescent="0.35">
      <c r="A2" s="173"/>
      <c r="B2" s="1309" t="s">
        <v>335</v>
      </c>
      <c r="C2" s="1310"/>
      <c r="D2" s="1311"/>
      <c r="E2" s="173"/>
      <c r="F2" s="1309" t="s">
        <v>325</v>
      </c>
      <c r="G2" s="1311"/>
      <c r="H2" s="173"/>
      <c r="I2" s="199" t="s">
        <v>327</v>
      </c>
      <c r="J2" s="173"/>
      <c r="K2" s="199" t="s">
        <v>329</v>
      </c>
      <c r="L2" s="173"/>
      <c r="M2" s="185" t="s">
        <v>331</v>
      </c>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row>
    <row r="3" spans="1:41" x14ac:dyDescent="0.3">
      <c r="A3" s="173"/>
      <c r="B3" s="195" t="s">
        <v>208</v>
      </c>
      <c r="C3" s="196"/>
      <c r="D3" s="197" t="s">
        <v>207</v>
      </c>
      <c r="E3" s="173"/>
      <c r="F3" s="177" t="s">
        <v>310</v>
      </c>
      <c r="G3" s="178"/>
      <c r="H3" s="173"/>
      <c r="I3" s="183" t="s">
        <v>313</v>
      </c>
      <c r="J3" s="173"/>
      <c r="K3" s="183" t="s">
        <v>18</v>
      </c>
      <c r="L3" s="173"/>
      <c r="M3" s="183" t="s">
        <v>309</v>
      </c>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row>
    <row r="4" spans="1:41" x14ac:dyDescent="0.3">
      <c r="A4" s="173"/>
      <c r="B4" s="186" t="s">
        <v>306</v>
      </c>
      <c r="C4" s="187"/>
      <c r="D4" s="192" t="s">
        <v>306</v>
      </c>
      <c r="E4" s="173"/>
      <c r="F4" s="179" t="s">
        <v>311</v>
      </c>
      <c r="G4" s="180"/>
      <c r="H4" s="173"/>
      <c r="I4" s="183" t="s">
        <v>314</v>
      </c>
      <c r="J4" s="173"/>
      <c r="K4" s="183" t="s">
        <v>307</v>
      </c>
      <c r="L4" s="173"/>
      <c r="M4" s="183" t="s">
        <v>308</v>
      </c>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row>
    <row r="5" spans="1:41" x14ac:dyDescent="0.3">
      <c r="A5" s="173"/>
      <c r="B5" s="188"/>
      <c r="C5" s="173"/>
      <c r="D5" s="180"/>
      <c r="E5" s="173"/>
      <c r="F5" s="179" t="s">
        <v>312</v>
      </c>
      <c r="G5" s="180"/>
      <c r="H5" s="173"/>
      <c r="I5" s="183" t="s">
        <v>315</v>
      </c>
      <c r="J5" s="173"/>
      <c r="K5" s="183" t="s">
        <v>328</v>
      </c>
      <c r="L5" s="173"/>
      <c r="M5" s="183" t="s">
        <v>332</v>
      </c>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row>
    <row r="6" spans="1:41" ht="15" thickBot="1" x14ac:dyDescent="0.35">
      <c r="A6" s="173"/>
      <c r="B6" s="189" t="s">
        <v>272</v>
      </c>
      <c r="C6" s="173"/>
      <c r="D6" s="180"/>
      <c r="E6" s="173"/>
      <c r="F6" s="179" t="s">
        <v>319</v>
      </c>
      <c r="G6" s="180"/>
      <c r="H6" s="173"/>
      <c r="I6" s="184" t="s">
        <v>326</v>
      </c>
      <c r="J6" s="173"/>
      <c r="K6" s="183" t="s">
        <v>472</v>
      </c>
      <c r="L6" s="173"/>
      <c r="M6" s="184" t="s">
        <v>333</v>
      </c>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row>
    <row r="7" spans="1:41" x14ac:dyDescent="0.3">
      <c r="A7" s="173"/>
      <c r="B7" s="179" t="s">
        <v>273</v>
      </c>
      <c r="C7" s="174" t="s">
        <v>316</v>
      </c>
      <c r="D7" s="180"/>
      <c r="E7" s="173"/>
      <c r="F7" s="179" t="s">
        <v>320</v>
      </c>
      <c r="G7" s="180"/>
      <c r="H7" s="173"/>
      <c r="I7" s="173"/>
      <c r="J7" s="173"/>
      <c r="K7" s="183" t="s">
        <v>141</v>
      </c>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row>
    <row r="8" spans="1:41" ht="15" thickBot="1" x14ac:dyDescent="0.35">
      <c r="A8" s="173"/>
      <c r="B8" s="179" t="s">
        <v>274</v>
      </c>
      <c r="C8" s="174" t="s">
        <v>317</v>
      </c>
      <c r="D8" s="190" t="s">
        <v>305</v>
      </c>
      <c r="E8" s="173"/>
      <c r="F8" s="179" t="s">
        <v>321</v>
      </c>
      <c r="G8" s="180"/>
      <c r="H8" s="173"/>
      <c r="I8" s="173"/>
      <c r="J8" s="173"/>
      <c r="K8" s="184" t="s">
        <v>330</v>
      </c>
      <c r="L8" s="173"/>
      <c r="M8" s="174"/>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row>
    <row r="9" spans="1:41" x14ac:dyDescent="0.3">
      <c r="A9" s="173"/>
      <c r="B9" s="179"/>
      <c r="C9" s="173"/>
      <c r="D9" s="180"/>
      <c r="E9" s="173"/>
      <c r="F9" s="179" t="s">
        <v>322</v>
      </c>
      <c r="G9" s="180"/>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row>
    <row r="10" spans="1:41" x14ac:dyDescent="0.3">
      <c r="A10" s="173"/>
      <c r="B10" s="189" t="s">
        <v>275</v>
      </c>
      <c r="C10" s="173"/>
      <c r="D10" s="180"/>
      <c r="E10" s="173"/>
      <c r="F10" s="179" t="s">
        <v>323</v>
      </c>
      <c r="G10" s="180"/>
      <c r="H10" s="173"/>
      <c r="I10" s="174"/>
      <c r="J10" s="173"/>
      <c r="K10" s="173"/>
      <c r="L10" s="173"/>
      <c r="M10" s="174"/>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row>
    <row r="11" spans="1:41" ht="15" thickBot="1" x14ac:dyDescent="0.35">
      <c r="A11" s="173"/>
      <c r="B11" s="179" t="s">
        <v>273</v>
      </c>
      <c r="C11" s="174" t="s">
        <v>318</v>
      </c>
      <c r="D11" s="190" t="s">
        <v>305</v>
      </c>
      <c r="E11" s="173"/>
      <c r="F11" s="181" t="s">
        <v>324</v>
      </c>
      <c r="G11" s="182"/>
      <c r="H11" s="173"/>
      <c r="I11" s="174"/>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row>
    <row r="12" spans="1:41" x14ac:dyDescent="0.3">
      <c r="A12" s="173"/>
      <c r="B12" s="179" t="s">
        <v>274</v>
      </c>
      <c r="C12" s="174" t="s">
        <v>317</v>
      </c>
      <c r="D12" s="180"/>
      <c r="E12" s="173"/>
      <c r="F12" s="174"/>
      <c r="G12" s="173"/>
      <c r="H12" s="173"/>
      <c r="I12" s="174"/>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row>
    <row r="13" spans="1:41" ht="15" thickBot="1" x14ac:dyDescent="0.35">
      <c r="A13" s="173"/>
      <c r="B13" s="188"/>
      <c r="C13" s="173"/>
      <c r="D13" s="180"/>
      <c r="E13" s="173"/>
      <c r="F13" s="174"/>
      <c r="G13" s="173"/>
      <c r="H13" s="173"/>
      <c r="I13" s="174"/>
      <c r="J13" s="173"/>
      <c r="K13" s="174"/>
      <c r="L13" s="173"/>
      <c r="M13" s="174"/>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row>
    <row r="14" spans="1:41" ht="15" thickBot="1" x14ac:dyDescent="0.35">
      <c r="A14" s="173"/>
      <c r="B14" s="189" t="s">
        <v>351</v>
      </c>
      <c r="C14" s="173"/>
      <c r="D14" s="191" t="s">
        <v>179</v>
      </c>
      <c r="E14" s="173"/>
      <c r="F14" s="1309" t="s">
        <v>338</v>
      </c>
      <c r="G14" s="1311"/>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row>
    <row r="15" spans="1:41" x14ac:dyDescent="0.3">
      <c r="A15" s="173"/>
      <c r="B15" s="179" t="s">
        <v>273</v>
      </c>
      <c r="C15" s="173"/>
      <c r="D15" s="192" t="s">
        <v>306</v>
      </c>
      <c r="E15" s="173"/>
      <c r="F15" s="179" t="s">
        <v>339</v>
      </c>
      <c r="G15" s="180"/>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3"/>
    </row>
    <row r="16" spans="1:41" x14ac:dyDescent="0.3">
      <c r="A16" s="173"/>
      <c r="B16" s="179" t="s">
        <v>274</v>
      </c>
      <c r="C16" s="173"/>
      <c r="D16" s="193"/>
      <c r="E16" s="173"/>
      <c r="F16" s="179" t="s">
        <v>1</v>
      </c>
      <c r="G16" s="180"/>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row>
    <row r="17" spans="1:41" x14ac:dyDescent="0.3">
      <c r="A17" s="173"/>
      <c r="B17" s="179" t="s">
        <v>305</v>
      </c>
      <c r="C17" s="173"/>
      <c r="D17" s="191"/>
      <c r="E17" s="173"/>
      <c r="F17" s="179" t="s">
        <v>37</v>
      </c>
      <c r="G17" s="180"/>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row>
    <row r="18" spans="1:41" x14ac:dyDescent="0.3">
      <c r="A18" s="173"/>
      <c r="B18" s="188"/>
      <c r="C18" s="173"/>
      <c r="D18" s="192"/>
      <c r="E18" s="173"/>
      <c r="F18" s="179" t="s">
        <v>336</v>
      </c>
      <c r="G18" s="180"/>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row>
    <row r="19" spans="1:41" x14ac:dyDescent="0.3">
      <c r="A19" s="173"/>
      <c r="B19" s="188"/>
      <c r="C19" s="173"/>
      <c r="D19" s="192"/>
      <c r="E19" s="173"/>
      <c r="F19" s="179" t="s">
        <v>337</v>
      </c>
      <c r="G19" s="180"/>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row>
    <row r="20" spans="1:41" x14ac:dyDescent="0.3">
      <c r="A20" s="173"/>
      <c r="B20" s="189" t="s">
        <v>349</v>
      </c>
      <c r="C20" s="173"/>
      <c r="D20" s="192"/>
      <c r="E20" s="173"/>
      <c r="F20" s="179" t="s">
        <v>31</v>
      </c>
      <c r="G20" s="180"/>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row>
    <row r="21" spans="1:41" x14ac:dyDescent="0.3">
      <c r="A21" s="173"/>
      <c r="B21" s="179" t="s">
        <v>306</v>
      </c>
      <c r="C21" s="173"/>
      <c r="D21" s="192"/>
      <c r="E21" s="173"/>
      <c r="F21" s="179" t="s">
        <v>19</v>
      </c>
      <c r="G21" s="180"/>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row>
    <row r="22" spans="1:41" ht="15" thickBot="1" x14ac:dyDescent="0.35">
      <c r="A22" s="173"/>
      <c r="B22" s="189"/>
      <c r="C22" s="173"/>
      <c r="D22" s="193"/>
      <c r="E22" s="173"/>
      <c r="F22" s="181" t="s">
        <v>340</v>
      </c>
      <c r="G22" s="182"/>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row>
    <row r="23" spans="1:41" x14ac:dyDescent="0.3">
      <c r="A23" s="173"/>
      <c r="B23" s="189" t="s">
        <v>334</v>
      </c>
      <c r="C23" s="173"/>
      <c r="D23" s="191"/>
      <c r="E23" s="173"/>
      <c r="F23" s="173"/>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row>
    <row r="24" spans="1:41" x14ac:dyDescent="0.3">
      <c r="A24" s="173"/>
      <c r="B24" s="179" t="s">
        <v>306</v>
      </c>
      <c r="C24" s="173"/>
      <c r="D24" s="192"/>
      <c r="E24" s="173"/>
      <c r="F24" s="173"/>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row>
    <row r="25" spans="1:41" ht="15" thickBot="1" x14ac:dyDescent="0.35">
      <c r="A25" s="173"/>
      <c r="B25" s="200"/>
      <c r="C25" s="194"/>
      <c r="D25" s="182"/>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row>
    <row r="26" spans="1:41" x14ac:dyDescent="0.3">
      <c r="A26" s="173"/>
      <c r="B26" s="174"/>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row>
    <row r="27" spans="1:41" x14ac:dyDescent="0.3">
      <c r="A27" s="173"/>
      <c r="B27" s="173"/>
      <c r="C27" s="173"/>
      <c r="D27" s="173"/>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3"/>
      <c r="AH27" s="173"/>
      <c r="AI27" s="173"/>
      <c r="AJ27" s="173"/>
      <c r="AK27" s="173"/>
      <c r="AL27" s="173"/>
      <c r="AM27" s="173"/>
      <c r="AN27" s="173"/>
      <c r="AO27" s="173"/>
    </row>
    <row r="28" spans="1:41" x14ac:dyDescent="0.3">
      <c r="A28" s="173"/>
      <c r="B28" s="175"/>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row>
    <row r="29" spans="1:41" x14ac:dyDescent="0.3">
      <c r="A29" s="173"/>
      <c r="B29" s="174"/>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row>
    <row r="30" spans="1:41" x14ac:dyDescent="0.3">
      <c r="A30" s="173"/>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row>
    <row r="31" spans="1:41" x14ac:dyDescent="0.3">
      <c r="A31" s="173"/>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row>
    <row r="32" spans="1:41" x14ac:dyDescent="0.3">
      <c r="A32" s="173"/>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row>
    <row r="33" spans="1:41" x14ac:dyDescent="0.3">
      <c r="A33" s="173"/>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row>
    <row r="34" spans="1:41" x14ac:dyDescent="0.3">
      <c r="A34" s="173"/>
      <c r="B34" s="173"/>
      <c r="C34" s="173"/>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row>
    <row r="35" spans="1:41" x14ac:dyDescent="0.3">
      <c r="A35" s="173"/>
      <c r="B35" s="175"/>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row>
    <row r="36" spans="1:41" x14ac:dyDescent="0.3">
      <c r="A36" s="173"/>
      <c r="B36" s="174"/>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row>
    <row r="37" spans="1:41" x14ac:dyDescent="0.3">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row>
    <row r="38" spans="1:41" x14ac:dyDescent="0.3">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row>
    <row r="39" spans="1:41" x14ac:dyDescent="0.3">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row>
    <row r="40" spans="1:41" x14ac:dyDescent="0.3">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row>
    <row r="41" spans="1:41" x14ac:dyDescent="0.3">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row>
    <row r="42" spans="1:41" x14ac:dyDescent="0.3">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row>
    <row r="43" spans="1:41" x14ac:dyDescent="0.3">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row>
    <row r="44" spans="1:41" x14ac:dyDescent="0.3">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row>
    <row r="45" spans="1:41" x14ac:dyDescent="0.3">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row>
    <row r="46" spans="1:41" x14ac:dyDescent="0.3">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row>
    <row r="47" spans="1:41" x14ac:dyDescent="0.3">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row>
    <row r="48" spans="1:41" x14ac:dyDescent="0.3">
      <c r="A48" s="173"/>
      <c r="B48" s="175"/>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row>
    <row r="49" spans="1:41" x14ac:dyDescent="0.3">
      <c r="A49" s="173"/>
      <c r="B49" s="174"/>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row>
    <row r="50" spans="1:41" x14ac:dyDescent="0.3">
      <c r="A50" s="173"/>
      <c r="B50" s="173"/>
      <c r="C50" s="173"/>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row>
    <row r="51" spans="1:41" x14ac:dyDescent="0.3">
      <c r="A51" s="173"/>
      <c r="B51" s="173"/>
      <c r="C51" s="173"/>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row>
    <row r="52" spans="1:41" x14ac:dyDescent="0.3">
      <c r="A52" s="173"/>
      <c r="B52" s="173"/>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row>
    <row r="53" spans="1:41" x14ac:dyDescent="0.3">
      <c r="B53" s="173"/>
      <c r="C53" s="173"/>
      <c r="D53" s="173"/>
    </row>
    <row r="54" spans="1:41" x14ac:dyDescent="0.3">
      <c r="B54" s="173"/>
      <c r="C54" s="173"/>
      <c r="D54" s="173"/>
    </row>
    <row r="55" spans="1:41" x14ac:dyDescent="0.3">
      <c r="B55" s="173"/>
      <c r="C55" s="173"/>
      <c r="D55" s="173"/>
    </row>
  </sheetData>
  <mergeCells count="3">
    <mergeCell ref="B2:D2"/>
    <mergeCell ref="F2:G2"/>
    <mergeCell ref="F14:G14"/>
  </mergeCells>
  <hyperlinks>
    <hyperlink ref="B7" r:id="rId1" xr:uid="{00000000-0004-0000-1200-000000000000}"/>
    <hyperlink ref="B8" r:id="rId2" xr:uid="{00000000-0004-0000-1200-000001000000}"/>
    <hyperlink ref="B11" r:id="rId3" xr:uid="{00000000-0004-0000-1200-000002000000}"/>
    <hyperlink ref="B12" r:id="rId4" xr:uid="{00000000-0004-0000-1200-000003000000}"/>
    <hyperlink ref="B15" r:id="rId5" xr:uid="{00000000-0004-0000-1200-000004000000}"/>
    <hyperlink ref="B16" r:id="rId6" xr:uid="{00000000-0004-0000-1200-000005000000}"/>
    <hyperlink ref="B17" r:id="rId7" xr:uid="{00000000-0004-0000-1200-000006000000}"/>
    <hyperlink ref="C7" r:id="rId8" xr:uid="{00000000-0004-0000-1200-000007000000}"/>
    <hyperlink ref="C8" r:id="rId9" xr:uid="{00000000-0004-0000-1200-000008000000}"/>
    <hyperlink ref="C11" r:id="rId10" xr:uid="{00000000-0004-0000-1200-000009000000}"/>
    <hyperlink ref="C12" r:id="rId11" xr:uid="{00000000-0004-0000-1200-00000A000000}"/>
    <hyperlink ref="D11" r:id="rId12" xr:uid="{00000000-0004-0000-1200-00000B000000}"/>
    <hyperlink ref="D8" r:id="rId13" xr:uid="{00000000-0004-0000-1200-00000C000000}"/>
    <hyperlink ref="B4" r:id="rId14" xr:uid="{00000000-0004-0000-1200-00000D000000}"/>
    <hyperlink ref="D15" r:id="rId15" xr:uid="{00000000-0004-0000-1200-00000E000000}"/>
    <hyperlink ref="B24" r:id="rId16" xr:uid="{00000000-0004-0000-1200-00000F000000}"/>
    <hyperlink ref="D4" r:id="rId17" xr:uid="{00000000-0004-0000-1200-000010000000}"/>
    <hyperlink ref="F3" r:id="rId18" xr:uid="{00000000-0004-0000-1200-000011000000}"/>
    <hyperlink ref="F4" r:id="rId19" xr:uid="{00000000-0004-0000-1200-000012000000}"/>
    <hyperlink ref="I3" r:id="rId20" xr:uid="{00000000-0004-0000-1200-000013000000}"/>
    <hyperlink ref="I4" r:id="rId21" xr:uid="{00000000-0004-0000-1200-000014000000}"/>
    <hyperlink ref="K3" r:id="rId22" xr:uid="{00000000-0004-0000-1200-000015000000}"/>
    <hyperlink ref="K4" r:id="rId23" xr:uid="{00000000-0004-0000-1200-000016000000}"/>
    <hyperlink ref="M4" r:id="rId24" xr:uid="{00000000-0004-0000-1200-000017000000}"/>
    <hyperlink ref="M3" r:id="rId25" xr:uid="{00000000-0004-0000-1200-000018000000}"/>
    <hyperlink ref="F5" r:id="rId26" xr:uid="{00000000-0004-0000-1200-000019000000}"/>
    <hyperlink ref="F6" r:id="rId27" xr:uid="{00000000-0004-0000-1200-00001A000000}"/>
    <hyperlink ref="F11" r:id="rId28" xr:uid="{00000000-0004-0000-1200-00001B000000}"/>
    <hyperlink ref="F7" r:id="rId29" xr:uid="{00000000-0004-0000-1200-00001C000000}"/>
    <hyperlink ref="F8" r:id="rId30" xr:uid="{00000000-0004-0000-1200-00001D000000}"/>
    <hyperlink ref="F16" r:id="rId31" xr:uid="{00000000-0004-0000-1200-00001E000000}"/>
    <hyperlink ref="F21" r:id="rId32" xr:uid="{00000000-0004-0000-1200-00001F000000}"/>
    <hyperlink ref="F19" r:id="rId33" xr:uid="{00000000-0004-0000-1200-000020000000}"/>
    <hyperlink ref="F15" r:id="rId34" xr:uid="{00000000-0004-0000-1200-000021000000}"/>
    <hyperlink ref="F17" r:id="rId35" xr:uid="{00000000-0004-0000-1200-000022000000}"/>
    <hyperlink ref="F18" r:id="rId36" xr:uid="{00000000-0004-0000-1200-000023000000}"/>
    <hyperlink ref="F20" r:id="rId37" xr:uid="{00000000-0004-0000-1200-000024000000}"/>
    <hyperlink ref="F22" r:id="rId38" xr:uid="{00000000-0004-0000-1200-000025000000}"/>
    <hyperlink ref="K5" r:id="rId39" xr:uid="{00000000-0004-0000-1200-000026000000}"/>
    <hyperlink ref="I5" r:id="rId40" xr:uid="{00000000-0004-0000-1200-000027000000}"/>
    <hyperlink ref="F9" r:id="rId41" xr:uid="{00000000-0004-0000-1200-000028000000}"/>
    <hyperlink ref="M6" r:id="rId42" xr:uid="{00000000-0004-0000-1200-000029000000}"/>
    <hyperlink ref="I6" r:id="rId43" xr:uid="{00000000-0004-0000-1200-00002A000000}"/>
    <hyperlink ref="M5" r:id="rId44" xr:uid="{00000000-0004-0000-1200-00002B000000}"/>
    <hyperlink ref="F10" r:id="rId45" xr:uid="{00000000-0004-0000-1200-00002C000000}"/>
    <hyperlink ref="K6" r:id="rId46" xr:uid="{00000000-0004-0000-1200-00002D000000}"/>
    <hyperlink ref="K7" r:id="rId47" xr:uid="{00000000-0004-0000-1200-00002E000000}"/>
    <hyperlink ref="K8" r:id="rId48" xr:uid="{00000000-0004-0000-1200-00002F000000}"/>
    <hyperlink ref="B21" r:id="rId49" xr:uid="{00000000-0004-0000-1200-000030000000}"/>
  </hyperlinks>
  <pageMargins left="0.7" right="0.7" top="0.75" bottom="0.75" header="0.3" footer="0.3"/>
  <pageSetup orientation="portrait" horizontalDpi="0" verticalDpi="0" r:id="rId5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dimension ref="B4:O26"/>
  <sheetViews>
    <sheetView workbookViewId="0">
      <selection activeCell="L6" sqref="L6"/>
    </sheetView>
  </sheetViews>
  <sheetFormatPr defaultRowHeight="14.4" x14ac:dyDescent="0.3"/>
  <cols>
    <col min="2" max="2" width="11" customWidth="1"/>
    <col min="3" max="3" width="17.88671875" bestFit="1" customWidth="1"/>
    <col min="4" max="4" width="11" customWidth="1"/>
    <col min="5" max="5" width="19.5546875" bestFit="1" customWidth="1"/>
    <col min="11" max="11" width="15.44140625" bestFit="1" customWidth="1"/>
    <col min="12" max="12" width="12.88671875" bestFit="1" customWidth="1"/>
    <col min="13" max="13" width="17.33203125" bestFit="1" customWidth="1"/>
  </cols>
  <sheetData>
    <row r="4" spans="2:15" x14ac:dyDescent="0.3">
      <c r="B4" t="s">
        <v>44</v>
      </c>
      <c r="C4" s="215" t="s">
        <v>59</v>
      </c>
      <c r="D4" s="215" t="s">
        <v>159</v>
      </c>
      <c r="E4" s="215" t="s">
        <v>160</v>
      </c>
      <c r="F4" s="215"/>
      <c r="K4" t="s">
        <v>576</v>
      </c>
      <c r="L4" t="s">
        <v>374</v>
      </c>
      <c r="M4" t="s">
        <v>366</v>
      </c>
      <c r="N4" t="s">
        <v>375</v>
      </c>
      <c r="O4" t="s">
        <v>376</v>
      </c>
    </row>
    <row r="5" spans="2:15" x14ac:dyDescent="0.3">
      <c r="C5" s="215" t="s">
        <v>360</v>
      </c>
      <c r="D5" s="215" t="s">
        <v>68</v>
      </c>
      <c r="E5" s="215" t="s">
        <v>361</v>
      </c>
      <c r="F5" s="215"/>
      <c r="G5">
        <v>3</v>
      </c>
      <c r="K5" s="221">
        <f>L5</f>
        <v>84.97999999999999</v>
      </c>
      <c r="L5" s="221">
        <f>(VLOOKUP(G5,B6:E11,3,FALSE))+C14+C21+C25-F25+M5</f>
        <v>84.97999999999999</v>
      </c>
      <c r="M5">
        <f>IF(C15=TRUE,E14,0)</f>
        <v>0</v>
      </c>
      <c r="N5">
        <v>0</v>
      </c>
      <c r="O5">
        <f>IF(C15=FALSE,349.98,0)</f>
        <v>349.98</v>
      </c>
    </row>
    <row r="6" spans="2:15" x14ac:dyDescent="0.3">
      <c r="B6">
        <v>1</v>
      </c>
      <c r="C6" s="215" t="s">
        <v>568</v>
      </c>
      <c r="D6" s="215" t="s">
        <v>362</v>
      </c>
      <c r="E6" s="215" t="s">
        <v>363</v>
      </c>
      <c r="F6" s="215"/>
    </row>
    <row r="7" spans="2:15" x14ac:dyDescent="0.3">
      <c r="B7">
        <v>2</v>
      </c>
      <c r="C7" s="215" t="s">
        <v>569</v>
      </c>
      <c r="D7" s="215" t="s">
        <v>362</v>
      </c>
      <c r="E7" s="215" t="s">
        <v>364</v>
      </c>
      <c r="F7" s="215"/>
      <c r="K7" t="s">
        <v>361</v>
      </c>
    </row>
    <row r="8" spans="2:15" x14ac:dyDescent="0.3">
      <c r="B8">
        <v>3</v>
      </c>
      <c r="C8" s="215" t="s">
        <v>570</v>
      </c>
      <c r="D8" s="215" t="s">
        <v>572</v>
      </c>
      <c r="E8" s="215" t="s">
        <v>571</v>
      </c>
      <c r="F8" s="215"/>
      <c r="K8" t="str">
        <f>VLOOKUP(G5,B6:E11,4,FALSE)</f>
        <v>30GB</v>
      </c>
    </row>
    <row r="9" spans="2:15" x14ac:dyDescent="0.3">
      <c r="B9">
        <v>4</v>
      </c>
      <c r="C9" s="215" t="s">
        <v>573</v>
      </c>
      <c r="D9" s="215" t="s">
        <v>574</v>
      </c>
      <c r="E9" s="215" t="s">
        <v>575</v>
      </c>
      <c r="F9" s="215"/>
    </row>
    <row r="10" spans="2:15" x14ac:dyDescent="0.3">
      <c r="C10" s="215"/>
      <c r="D10" s="215"/>
      <c r="E10" s="215"/>
      <c r="F10" s="215"/>
    </row>
    <row r="11" spans="2:15" x14ac:dyDescent="0.3">
      <c r="C11" s="215"/>
      <c r="D11" s="215"/>
      <c r="E11" s="215"/>
      <c r="F11" s="215"/>
    </row>
    <row r="12" spans="2:15" x14ac:dyDescent="0.3">
      <c r="C12" s="215"/>
      <c r="D12" s="215"/>
      <c r="E12" s="215"/>
      <c r="F12" s="215"/>
    </row>
    <row r="13" spans="2:15" x14ac:dyDescent="0.3">
      <c r="C13" s="215" t="s">
        <v>365</v>
      </c>
      <c r="D13" s="215"/>
      <c r="E13" s="215" t="s">
        <v>366</v>
      </c>
      <c r="F13" s="215" t="s">
        <v>369</v>
      </c>
    </row>
    <row r="14" spans="2:15" x14ac:dyDescent="0.3">
      <c r="C14">
        <v>14.99</v>
      </c>
      <c r="D14" s="215"/>
      <c r="E14" s="223">
        <v>14.99</v>
      </c>
      <c r="F14" s="215" t="s">
        <v>367</v>
      </c>
    </row>
    <row r="15" spans="2:15" x14ac:dyDescent="0.3">
      <c r="C15" s="215" t="b">
        <v>0</v>
      </c>
      <c r="D15" s="215"/>
      <c r="E15" s="215"/>
      <c r="F15" s="215"/>
    </row>
    <row r="17" spans="3:6" x14ac:dyDescent="0.3">
      <c r="E17" t="s">
        <v>368</v>
      </c>
      <c r="F17" t="s">
        <v>370</v>
      </c>
    </row>
    <row r="18" spans="3:6" x14ac:dyDescent="0.3">
      <c r="E18">
        <v>349.98</v>
      </c>
      <c r="F18">
        <v>0</v>
      </c>
    </row>
    <row r="20" spans="3:6" x14ac:dyDescent="0.3">
      <c r="C20" t="s">
        <v>24</v>
      </c>
      <c r="E20" t="s">
        <v>372</v>
      </c>
    </row>
    <row r="21" spans="3:6" x14ac:dyDescent="0.3">
      <c r="C21">
        <f>IF(C22=TRUE,29.95,0)</f>
        <v>0</v>
      </c>
      <c r="E21">
        <v>75</v>
      </c>
    </row>
    <row r="22" spans="3:6" x14ac:dyDescent="0.3">
      <c r="C22" t="b">
        <v>0</v>
      </c>
    </row>
    <row r="24" spans="3:6" x14ac:dyDescent="0.3">
      <c r="C24" t="s">
        <v>371</v>
      </c>
      <c r="F24" t="s">
        <v>381</v>
      </c>
    </row>
    <row r="25" spans="3:6" x14ac:dyDescent="0.3">
      <c r="C25">
        <f>IF(C26=TRUE,9.95,0)</f>
        <v>0</v>
      </c>
      <c r="F25">
        <f>IF(F26=TRUE,10,0)</f>
        <v>0</v>
      </c>
    </row>
    <row r="26" spans="3:6" x14ac:dyDescent="0.3">
      <c r="C26" t="b">
        <v>0</v>
      </c>
      <c r="F26" t="b">
        <v>0</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dimension ref="A1:X66"/>
  <sheetViews>
    <sheetView workbookViewId="0">
      <selection activeCell="S4" sqref="S4"/>
    </sheetView>
  </sheetViews>
  <sheetFormatPr defaultRowHeight="14.4" x14ac:dyDescent="0.3"/>
  <cols>
    <col min="2" max="2" width="11" customWidth="1"/>
    <col min="3" max="3" width="20.88671875" customWidth="1"/>
    <col min="6" max="6" width="10.88671875" customWidth="1"/>
    <col min="8" max="8" width="12.44140625" customWidth="1"/>
    <col min="11" max="11" width="15.5546875" customWidth="1"/>
    <col min="12" max="12" width="16" customWidth="1"/>
  </cols>
  <sheetData>
    <row r="1" spans="1:24" x14ac:dyDescent="0.3">
      <c r="A1" t="s">
        <v>114</v>
      </c>
    </row>
    <row r="3" spans="1:24" x14ac:dyDescent="0.3">
      <c r="K3" t="s">
        <v>44</v>
      </c>
      <c r="L3" t="s">
        <v>59</v>
      </c>
      <c r="M3" t="s">
        <v>68</v>
      </c>
      <c r="P3" t="s">
        <v>75</v>
      </c>
      <c r="S3" t="s">
        <v>67</v>
      </c>
      <c r="X3" t="s">
        <v>62</v>
      </c>
    </row>
    <row r="4" spans="1:24" x14ac:dyDescent="0.3">
      <c r="B4" s="1165" t="s">
        <v>72</v>
      </c>
      <c r="C4" s="1165"/>
      <c r="D4" s="1165"/>
      <c r="E4" s="1165"/>
      <c r="F4" s="1165"/>
      <c r="G4" s="1165"/>
      <c r="H4" s="1165"/>
      <c r="I4" s="1165"/>
      <c r="K4">
        <v>1</v>
      </c>
      <c r="L4" t="s">
        <v>25</v>
      </c>
      <c r="M4">
        <f>X4</f>
        <v>73.990000000000009</v>
      </c>
      <c r="P4">
        <v>4</v>
      </c>
      <c r="R4">
        <f>VLOOKUP(P4,Table1927[#All],3,FALSE)</f>
        <v>113.99</v>
      </c>
      <c r="S4">
        <f>IF(OR(L15=TRUE,L16=TRUE,L14=TRUE, L13=TRUE),M17,R4)</f>
        <v>113.99</v>
      </c>
      <c r="X4">
        <f>VLOOKUP(P7,TWC_TV[#All],3,FALSE)+D46+L52+L31</f>
        <v>73.990000000000009</v>
      </c>
    </row>
    <row r="5" spans="1:24" ht="15" thickBot="1" x14ac:dyDescent="0.35">
      <c r="B5" s="2" t="s">
        <v>49</v>
      </c>
      <c r="C5" s="2" t="s">
        <v>76</v>
      </c>
      <c r="D5" s="8" t="s">
        <v>124</v>
      </c>
      <c r="E5" s="8" t="s">
        <v>130</v>
      </c>
      <c r="F5" t="s">
        <v>120</v>
      </c>
      <c r="G5" t="s">
        <v>119</v>
      </c>
      <c r="H5" t="s">
        <v>121</v>
      </c>
      <c r="I5" t="s">
        <v>122</v>
      </c>
      <c r="K5">
        <v>2</v>
      </c>
      <c r="L5" t="s">
        <v>20</v>
      </c>
      <c r="M5">
        <f>X6</f>
        <v>39.99</v>
      </c>
      <c r="X5" t="s">
        <v>65</v>
      </c>
    </row>
    <row r="6" spans="1:24" ht="15" thickTop="1" x14ac:dyDescent="0.3">
      <c r="B6" s="3">
        <v>1</v>
      </c>
      <c r="C6" s="3" t="s">
        <v>115</v>
      </c>
      <c r="D6" t="s">
        <v>142</v>
      </c>
      <c r="E6">
        <v>34.99</v>
      </c>
      <c r="F6">
        <v>49.99</v>
      </c>
      <c r="G6">
        <v>64.989999999999995</v>
      </c>
      <c r="H6">
        <v>79.989999999999995</v>
      </c>
      <c r="I6">
        <v>79.989999999999995</v>
      </c>
      <c r="K6">
        <v>3</v>
      </c>
      <c r="L6" t="s">
        <v>24</v>
      </c>
      <c r="M6">
        <f>X8</f>
        <v>9.99</v>
      </c>
      <c r="P6" t="s">
        <v>8</v>
      </c>
      <c r="S6" t="s">
        <v>64</v>
      </c>
      <c r="X6">
        <f>VLOOKUP(P10,Verizon_Internet24[#All],3,FALSE)+N25+O25</f>
        <v>39.99</v>
      </c>
    </row>
    <row r="7" spans="1:24" x14ac:dyDescent="0.3">
      <c r="B7" s="4">
        <v>2</v>
      </c>
      <c r="C7" s="4" t="s">
        <v>116</v>
      </c>
      <c r="D7" t="s">
        <v>142</v>
      </c>
      <c r="E7">
        <v>79.989999999999995</v>
      </c>
      <c r="F7">
        <v>79.989999999999995</v>
      </c>
      <c r="G7">
        <v>89.99</v>
      </c>
      <c r="H7">
        <v>99.99</v>
      </c>
      <c r="I7">
        <v>109.99</v>
      </c>
      <c r="K7">
        <v>4</v>
      </c>
      <c r="L7" t="s">
        <v>21</v>
      </c>
      <c r="M7">
        <f>X10</f>
        <v>113.99</v>
      </c>
      <c r="P7">
        <v>3</v>
      </c>
      <c r="S7">
        <f>S8+S9</f>
        <v>39.99</v>
      </c>
      <c r="X7" t="s">
        <v>66</v>
      </c>
    </row>
    <row r="8" spans="1:24" x14ac:dyDescent="0.3">
      <c r="B8" s="3">
        <v>3</v>
      </c>
      <c r="C8" s="3" t="s">
        <v>117</v>
      </c>
      <c r="D8" t="s">
        <v>142</v>
      </c>
      <c r="E8">
        <v>79.989999999999995</v>
      </c>
      <c r="F8">
        <v>89.99</v>
      </c>
      <c r="G8">
        <v>99.99</v>
      </c>
      <c r="H8">
        <v>89.99</v>
      </c>
      <c r="I8">
        <v>119.99</v>
      </c>
      <c r="K8">
        <v>5</v>
      </c>
      <c r="L8" t="s">
        <v>26</v>
      </c>
      <c r="M8">
        <f>X12</f>
        <v>83.98</v>
      </c>
      <c r="S8">
        <v>39.99</v>
      </c>
      <c r="T8" t="s">
        <v>231</v>
      </c>
      <c r="X8">
        <v>9.99</v>
      </c>
    </row>
    <row r="9" spans="1:24" x14ac:dyDescent="0.3">
      <c r="B9" s="5">
        <v>4</v>
      </c>
      <c r="C9" s="5" t="s">
        <v>230</v>
      </c>
      <c r="F9">
        <v>59.99</v>
      </c>
      <c r="G9">
        <v>69.989999999999995</v>
      </c>
      <c r="H9">
        <v>79.989999999999995</v>
      </c>
      <c r="I9">
        <v>89.99</v>
      </c>
      <c r="K9">
        <v>6</v>
      </c>
      <c r="L9" t="s">
        <v>73</v>
      </c>
      <c r="M9">
        <f>X14</f>
        <v>49.99</v>
      </c>
      <c r="P9" t="s">
        <v>12</v>
      </c>
      <c r="S9">
        <f>IF(O24=TRUE,19.99,0)</f>
        <v>0</v>
      </c>
      <c r="T9" t="s">
        <v>232</v>
      </c>
      <c r="X9" t="s">
        <v>21</v>
      </c>
    </row>
    <row r="10" spans="1:24" x14ac:dyDescent="0.3">
      <c r="K10">
        <v>7</v>
      </c>
      <c r="L10" t="s">
        <v>71</v>
      </c>
      <c r="M10">
        <f>X16</f>
        <v>123.99</v>
      </c>
      <c r="P10">
        <v>3</v>
      </c>
      <c r="S10">
        <v>5.99</v>
      </c>
      <c r="T10" t="s">
        <v>233</v>
      </c>
      <c r="X10">
        <f>VLOOKUP(P7,Table1525[#All],P10+2,FALSE)+N25+O25+D46+L52+L31</f>
        <v>113.99</v>
      </c>
    </row>
    <row r="11" spans="1:24" x14ac:dyDescent="0.3">
      <c r="X11" t="s">
        <v>26</v>
      </c>
    </row>
    <row r="12" spans="1:24" x14ac:dyDescent="0.3">
      <c r="B12" s="1165" t="s">
        <v>71</v>
      </c>
      <c r="C12" s="1165"/>
      <c r="D12" s="1165"/>
      <c r="E12" s="1165"/>
      <c r="F12" s="1165"/>
      <c r="G12" s="1165"/>
      <c r="H12" s="1165"/>
      <c r="I12" s="1165"/>
      <c r="L12" t="s">
        <v>247</v>
      </c>
      <c r="X12">
        <f>VLOOKUP(P7,TWC_TV[#All],4,FALSE)+D46+L52+L31</f>
        <v>83.98</v>
      </c>
    </row>
    <row r="13" spans="1:24" ht="15" thickBot="1" x14ac:dyDescent="0.35">
      <c r="B13" s="2" t="s">
        <v>49</v>
      </c>
      <c r="C13" s="2" t="s">
        <v>77</v>
      </c>
      <c r="D13" s="45" t="s">
        <v>124</v>
      </c>
      <c r="E13" s="8" t="s">
        <v>118</v>
      </c>
      <c r="F13" t="s">
        <v>120</v>
      </c>
      <c r="G13" t="s">
        <v>119</v>
      </c>
      <c r="H13" t="s">
        <v>121</v>
      </c>
      <c r="I13" t="s">
        <v>122</v>
      </c>
      <c r="K13">
        <v>89.99</v>
      </c>
      <c r="L13" t="b">
        <v>0</v>
      </c>
      <c r="M13">
        <f>IF(L13=TRUE,K13+L52+D46+N25+O25+L31,0)</f>
        <v>0</v>
      </c>
      <c r="O13" t="s">
        <v>276</v>
      </c>
      <c r="X13" t="s">
        <v>73</v>
      </c>
    </row>
    <row r="14" spans="1:24" ht="15" thickTop="1" x14ac:dyDescent="0.3">
      <c r="B14" s="3">
        <v>1</v>
      </c>
      <c r="C14" s="3" t="s">
        <v>115</v>
      </c>
      <c r="D14" s="46" t="s">
        <v>142</v>
      </c>
      <c r="E14" t="s">
        <v>142</v>
      </c>
      <c r="F14">
        <v>59.99</v>
      </c>
      <c r="G14">
        <v>64.989999999999995</v>
      </c>
      <c r="H14">
        <v>79.989999999999995</v>
      </c>
      <c r="I14">
        <v>89.99</v>
      </c>
      <c r="K14">
        <v>49.99</v>
      </c>
      <c r="L14" t="b">
        <v>0</v>
      </c>
      <c r="M14">
        <f>IF(L14=TRUE,K14+D46+L31+N25+O25+O17,0)</f>
        <v>0</v>
      </c>
      <c r="O14">
        <f>IF(P10=4,10,0)</f>
        <v>0</v>
      </c>
      <c r="X14">
        <f>VLOOKUP(P10,Verizon_Internet24[#All],4,FALSE)+N25+O25</f>
        <v>49.99</v>
      </c>
    </row>
    <row r="15" spans="1:24" x14ac:dyDescent="0.3">
      <c r="B15" s="4">
        <v>2</v>
      </c>
      <c r="C15" s="4" t="s">
        <v>116</v>
      </c>
      <c r="D15" s="47" t="s">
        <v>142</v>
      </c>
      <c r="E15">
        <v>79.989999999999995</v>
      </c>
      <c r="F15">
        <v>89.99</v>
      </c>
      <c r="G15">
        <v>99.99</v>
      </c>
      <c r="H15">
        <v>109.99</v>
      </c>
      <c r="I15">
        <v>119.99</v>
      </c>
      <c r="K15">
        <f>(129.99-K19)</f>
        <v>117.74000000000001</v>
      </c>
      <c r="L15" t="b">
        <v>0</v>
      </c>
      <c r="M15">
        <f>IF(L15=TRUE,K15+L52+D46+N25+O25,0)</f>
        <v>0</v>
      </c>
      <c r="O15">
        <f>IF(P10=5,20,0)</f>
        <v>0</v>
      </c>
      <c r="X15" t="s">
        <v>71</v>
      </c>
    </row>
    <row r="16" spans="1:24" x14ac:dyDescent="0.3">
      <c r="B16" s="3">
        <v>3</v>
      </c>
      <c r="C16" s="3" t="s">
        <v>117</v>
      </c>
      <c r="D16" s="46" t="s">
        <v>142</v>
      </c>
      <c r="E16">
        <v>89.99</v>
      </c>
      <c r="F16">
        <v>99.99</v>
      </c>
      <c r="G16">
        <v>109.99</v>
      </c>
      <c r="H16">
        <v>89.99</v>
      </c>
      <c r="I16">
        <v>99.99</v>
      </c>
      <c r="K16">
        <f>(109.99-K19)</f>
        <v>97.74</v>
      </c>
      <c r="L16" t="b">
        <v>0</v>
      </c>
      <c r="M16">
        <f>IF(L16=TRUE,K16+L52+D46+N25+O25,0)</f>
        <v>0</v>
      </c>
      <c r="O16">
        <f>IF(P10=6,30,0)</f>
        <v>0</v>
      </c>
      <c r="X16">
        <f>VLOOKUP(P7,Table152530[#All],P10+2,FALSE)+N25+O25+D46+L52+L31</f>
        <v>123.99</v>
      </c>
    </row>
    <row r="17" spans="2:15" x14ac:dyDescent="0.3">
      <c r="B17" s="5">
        <v>4</v>
      </c>
      <c r="C17" s="5" t="s">
        <v>230</v>
      </c>
      <c r="D17" s="47"/>
      <c r="F17">
        <v>79.989999999999995</v>
      </c>
      <c r="G17">
        <v>89.99</v>
      </c>
      <c r="H17">
        <v>99.99</v>
      </c>
      <c r="I17">
        <v>109.99</v>
      </c>
      <c r="M17">
        <f>M15+M16+M14+M13</f>
        <v>0</v>
      </c>
      <c r="O17">
        <f>O14+O15+O16</f>
        <v>0</v>
      </c>
    </row>
    <row r="18" spans="2:15" x14ac:dyDescent="0.3">
      <c r="K18" t="s">
        <v>277</v>
      </c>
    </row>
    <row r="19" spans="2:15" x14ac:dyDescent="0.3">
      <c r="K19">
        <v>12.25</v>
      </c>
    </row>
    <row r="22" spans="2:15" x14ac:dyDescent="0.3">
      <c r="B22" s="1165" t="s">
        <v>62</v>
      </c>
      <c r="C22" s="1165"/>
      <c r="D22" s="1165"/>
      <c r="E22" t="s">
        <v>24</v>
      </c>
      <c r="N22">
        <v>10</v>
      </c>
      <c r="O22">
        <v>4.99</v>
      </c>
    </row>
    <row r="23" spans="2:15" x14ac:dyDescent="0.3">
      <c r="B23" t="s">
        <v>49</v>
      </c>
      <c r="C23" t="s">
        <v>0</v>
      </c>
      <c r="D23" t="s">
        <v>68</v>
      </c>
      <c r="E23" t="s">
        <v>70</v>
      </c>
      <c r="K23" t="s">
        <v>3</v>
      </c>
      <c r="L23" t="s">
        <v>204</v>
      </c>
      <c r="N23" t="s">
        <v>129</v>
      </c>
      <c r="O23" t="s">
        <v>110</v>
      </c>
    </row>
    <row r="24" spans="2:15" x14ac:dyDescent="0.3">
      <c r="B24">
        <v>1</v>
      </c>
      <c r="C24" t="s">
        <v>271</v>
      </c>
      <c r="D24">
        <v>19.989999999999998</v>
      </c>
      <c r="E24">
        <f>TWC_TV[[#This Row],[Price]]+9.99</f>
        <v>29.979999999999997</v>
      </c>
      <c r="K24" t="s">
        <v>28</v>
      </c>
      <c r="L24">
        <v>0</v>
      </c>
      <c r="N24" t="b">
        <v>0</v>
      </c>
      <c r="O24" t="b">
        <v>0</v>
      </c>
    </row>
    <row r="25" spans="2:15" x14ac:dyDescent="0.3">
      <c r="B25">
        <v>2</v>
      </c>
      <c r="C25" t="s">
        <v>270</v>
      </c>
      <c r="D25">
        <v>39.99</v>
      </c>
      <c r="E25">
        <f>TWC_TV[[#This Row],[Price]]+9.99</f>
        <v>49.980000000000004</v>
      </c>
      <c r="K25" t="s">
        <v>205</v>
      </c>
      <c r="L25">
        <v>13</v>
      </c>
      <c r="N25">
        <f>IF(N24=TRUE,N22,0)</f>
        <v>0</v>
      </c>
      <c r="O25">
        <f>IF(O24=TRUE,O22,0)</f>
        <v>0</v>
      </c>
    </row>
    <row r="26" spans="2:15" x14ac:dyDescent="0.3">
      <c r="B26">
        <v>3</v>
      </c>
      <c r="C26" t="s">
        <v>269</v>
      </c>
      <c r="D26">
        <v>49.99</v>
      </c>
      <c r="E26">
        <f>TWC_TV[[#This Row],[Price]]+9.99</f>
        <v>59.980000000000004</v>
      </c>
      <c r="K26" t="s">
        <v>123</v>
      </c>
      <c r="L26">
        <v>30</v>
      </c>
    </row>
    <row r="27" spans="2:15" x14ac:dyDescent="0.3">
      <c r="B27">
        <v>4</v>
      </c>
      <c r="C27" s="5" t="s">
        <v>230</v>
      </c>
      <c r="D27">
        <v>29.99</v>
      </c>
      <c r="E27">
        <v>39.979999999999997</v>
      </c>
    </row>
    <row r="28" spans="2:15" x14ac:dyDescent="0.3">
      <c r="K28">
        <v>1</v>
      </c>
      <c r="L28" s="27">
        <f>IF(K28=3,30,0)</f>
        <v>0</v>
      </c>
    </row>
    <row r="29" spans="2:15" x14ac:dyDescent="0.3">
      <c r="K29" t="s">
        <v>181</v>
      </c>
      <c r="L29">
        <f>IF(K28=2,13,0)</f>
        <v>0</v>
      </c>
    </row>
    <row r="30" spans="2:15" x14ac:dyDescent="0.3">
      <c r="L30">
        <f>IF(K28=1,0,0)</f>
        <v>0</v>
      </c>
    </row>
    <row r="31" spans="2:15" x14ac:dyDescent="0.3">
      <c r="B31" s="1165" t="s">
        <v>65</v>
      </c>
      <c r="C31" s="1165"/>
      <c r="D31" s="1165"/>
      <c r="E31" t="s">
        <v>24</v>
      </c>
      <c r="K31" t="s">
        <v>206</v>
      </c>
      <c r="L31">
        <f>SUM(L28+L29+L30)</f>
        <v>0</v>
      </c>
    </row>
    <row r="32" spans="2:15" x14ac:dyDescent="0.3">
      <c r="B32" t="s">
        <v>49</v>
      </c>
      <c r="C32" t="s">
        <v>0</v>
      </c>
      <c r="D32" t="s">
        <v>39</v>
      </c>
      <c r="E32" t="s">
        <v>74</v>
      </c>
    </row>
    <row r="33" spans="1:12" x14ac:dyDescent="0.3">
      <c r="B33">
        <v>1</v>
      </c>
      <c r="C33" s="8" t="s">
        <v>264</v>
      </c>
      <c r="D33">
        <v>14.95</v>
      </c>
      <c r="E33">
        <v>24.95</v>
      </c>
    </row>
    <row r="34" spans="1:12" x14ac:dyDescent="0.3">
      <c r="B34">
        <v>2</v>
      </c>
      <c r="C34" s="8" t="s">
        <v>229</v>
      </c>
      <c r="D34">
        <v>34.99</v>
      </c>
      <c r="E34">
        <v>44.99</v>
      </c>
    </row>
    <row r="35" spans="1:12" x14ac:dyDescent="0.3">
      <c r="B35">
        <v>3</v>
      </c>
      <c r="C35" t="s">
        <v>265</v>
      </c>
      <c r="D35">
        <v>39.99</v>
      </c>
      <c r="E35">
        <v>49.99</v>
      </c>
    </row>
    <row r="36" spans="1:12" x14ac:dyDescent="0.3">
      <c r="B36">
        <v>4</v>
      </c>
      <c r="C36" t="s">
        <v>266</v>
      </c>
      <c r="D36">
        <v>49.99</v>
      </c>
      <c r="E36">
        <v>59.99</v>
      </c>
    </row>
    <row r="37" spans="1:12" x14ac:dyDescent="0.3">
      <c r="B37">
        <v>5</v>
      </c>
      <c r="C37" t="s">
        <v>267</v>
      </c>
      <c r="D37">
        <v>59.99</v>
      </c>
      <c r="E37">
        <v>69.989999999999995</v>
      </c>
    </row>
    <row r="38" spans="1:12" x14ac:dyDescent="0.3">
      <c r="B38">
        <v>6</v>
      </c>
      <c r="C38" t="s">
        <v>268</v>
      </c>
      <c r="D38">
        <v>69.989999999999995</v>
      </c>
      <c r="E38">
        <v>79.989999999999995</v>
      </c>
    </row>
    <row r="39" spans="1:12" x14ac:dyDescent="0.3">
      <c r="B39">
        <v>7</v>
      </c>
    </row>
    <row r="40" spans="1:12" x14ac:dyDescent="0.3">
      <c r="C40" t="s">
        <v>66</v>
      </c>
    </row>
    <row r="41" spans="1:12" x14ac:dyDescent="0.3">
      <c r="C41">
        <v>39.99</v>
      </c>
      <c r="D41">
        <f>C41</f>
        <v>39.99</v>
      </c>
    </row>
    <row r="43" spans="1:12" x14ac:dyDescent="0.3">
      <c r="B43" s="26" t="s">
        <v>82</v>
      </c>
      <c r="C43" s="26"/>
    </row>
    <row r="44" spans="1:12" x14ac:dyDescent="0.3">
      <c r="A44" s="35" t="s">
        <v>94</v>
      </c>
      <c r="B44" s="28" t="s">
        <v>92</v>
      </c>
      <c r="C44" s="29" t="s">
        <v>68</v>
      </c>
      <c r="D44">
        <v>3</v>
      </c>
      <c r="H44" s="39" t="s">
        <v>96</v>
      </c>
      <c r="I44" s="40" t="s">
        <v>91</v>
      </c>
      <c r="J44" s="40" t="s">
        <v>104</v>
      </c>
      <c r="L44" t="s">
        <v>105</v>
      </c>
    </row>
    <row r="45" spans="1:12" x14ac:dyDescent="0.3">
      <c r="A45" s="34">
        <v>1</v>
      </c>
      <c r="B45" s="30">
        <v>0</v>
      </c>
      <c r="C45" s="31">
        <v>0</v>
      </c>
      <c r="D45" t="s">
        <v>93</v>
      </c>
      <c r="H45" s="37" t="s">
        <v>36</v>
      </c>
      <c r="I45" s="36">
        <v>15.99</v>
      </c>
      <c r="J45" t="b">
        <v>0</v>
      </c>
      <c r="L45">
        <f>IF(Table829[[#This Row],[Checked?]]=TRUE,Table829[[#This Row],[Cost]],0)</f>
        <v>0</v>
      </c>
    </row>
    <row r="46" spans="1:12" x14ac:dyDescent="0.3">
      <c r="A46" s="34">
        <v>2</v>
      </c>
      <c r="B46" s="30">
        <v>1</v>
      </c>
      <c r="C46" s="31">
        <v>11.25</v>
      </c>
      <c r="D46">
        <f>VLOOKUP(D44,Table528[[#All],[Equipment '#]:[Price]],3,FALSE)+D48+E61+D50</f>
        <v>24</v>
      </c>
      <c r="H46" s="37" t="s">
        <v>125</v>
      </c>
      <c r="I46" s="36">
        <v>9.99</v>
      </c>
      <c r="J46" t="b">
        <v>0</v>
      </c>
      <c r="L46">
        <f>IF(Table829[[#This Row],[Checked?]]=TRUE,Table829[[#This Row],[Cost]],0)</f>
        <v>0</v>
      </c>
    </row>
    <row r="47" spans="1:12" x14ac:dyDescent="0.3">
      <c r="A47" s="34">
        <v>3</v>
      </c>
      <c r="B47" s="30">
        <v>2</v>
      </c>
      <c r="C47" s="31">
        <v>24</v>
      </c>
      <c r="D47" t="s">
        <v>209</v>
      </c>
      <c r="H47" s="37" t="s">
        <v>101</v>
      </c>
      <c r="I47" s="36">
        <v>9.99</v>
      </c>
      <c r="J47" t="b">
        <v>0</v>
      </c>
      <c r="L47">
        <f>IF(Table829[[#This Row],[Checked?]]=TRUE,Table829[[#This Row],[Cost]],0)</f>
        <v>0</v>
      </c>
    </row>
    <row r="48" spans="1:12" x14ac:dyDescent="0.3">
      <c r="A48" s="34">
        <v>4</v>
      </c>
      <c r="B48" s="30">
        <v>3</v>
      </c>
      <c r="C48" s="31">
        <v>36.75</v>
      </c>
      <c r="H48" s="42" t="s">
        <v>102</v>
      </c>
      <c r="I48" s="36">
        <v>9.99</v>
      </c>
      <c r="J48" t="b">
        <v>0</v>
      </c>
      <c r="L48">
        <f>IF(Table829[[#This Row],[Checked?]]=TRUE,Table829[[#This Row],[Cost]],0)</f>
        <v>0</v>
      </c>
    </row>
    <row r="49" spans="1:12" x14ac:dyDescent="0.3">
      <c r="A49" s="34">
        <v>5</v>
      </c>
      <c r="B49" s="30">
        <v>4</v>
      </c>
      <c r="C49" s="31">
        <v>49.5</v>
      </c>
      <c r="D49" t="s">
        <v>285</v>
      </c>
      <c r="H49" s="37" t="s">
        <v>126</v>
      </c>
      <c r="I49" s="36">
        <v>8.99</v>
      </c>
      <c r="J49" t="b">
        <v>0</v>
      </c>
      <c r="L49">
        <f>IF(Table829[[#This Row],[Checked?]]=TRUE,Table829[[#This Row],[Cost]],0)</f>
        <v>0</v>
      </c>
    </row>
    <row r="50" spans="1:12" x14ac:dyDescent="0.3">
      <c r="A50" s="34">
        <v>6</v>
      </c>
      <c r="B50" s="30">
        <v>5</v>
      </c>
      <c r="C50" s="31">
        <v>62.25</v>
      </c>
      <c r="H50" s="37" t="s">
        <v>127</v>
      </c>
      <c r="I50" s="36">
        <v>9</v>
      </c>
      <c r="J50" t="b">
        <v>0</v>
      </c>
      <c r="L50">
        <f>IF(Table829[[#This Row],[Checked?]]=TRUE,Table829[[#This Row],[Cost]],0)</f>
        <v>0</v>
      </c>
    </row>
    <row r="51" spans="1:12" x14ac:dyDescent="0.3">
      <c r="A51" s="34">
        <v>7</v>
      </c>
      <c r="B51" s="30">
        <v>6</v>
      </c>
      <c r="C51" s="31">
        <v>75</v>
      </c>
      <c r="H51" s="42" t="s">
        <v>128</v>
      </c>
      <c r="I51" s="43">
        <v>8</v>
      </c>
      <c r="J51" t="b">
        <v>0</v>
      </c>
      <c r="L51">
        <f>IF(Table829[[#This Row],[Checked?]]=TRUE,Table829[[#This Row],[Cost]],0)</f>
        <v>0</v>
      </c>
    </row>
    <row r="52" spans="1:12" x14ac:dyDescent="0.3">
      <c r="A52" s="34">
        <v>8</v>
      </c>
      <c r="B52" s="30">
        <v>7</v>
      </c>
      <c r="C52" s="33">
        <v>87.75</v>
      </c>
      <c r="L52">
        <f>SUM(L45:L51)+L54+L55</f>
        <v>0</v>
      </c>
    </row>
    <row r="53" spans="1:12" x14ac:dyDescent="0.3">
      <c r="A53" s="34">
        <v>9</v>
      </c>
      <c r="B53" s="32">
        <v>8</v>
      </c>
      <c r="C53" s="33">
        <v>100.5</v>
      </c>
    </row>
    <row r="54" spans="1:12" x14ac:dyDescent="0.3">
      <c r="H54" t="s">
        <v>234</v>
      </c>
      <c r="I54">
        <v>6.99</v>
      </c>
      <c r="J54" t="b">
        <v>0</v>
      </c>
      <c r="L54">
        <f>IF(J54=TRUE,I54,0)</f>
        <v>0</v>
      </c>
    </row>
    <row r="55" spans="1:12" x14ac:dyDescent="0.3">
      <c r="H55" t="s">
        <v>235</v>
      </c>
      <c r="I55">
        <v>13.99</v>
      </c>
      <c r="J55" t="b">
        <v>0</v>
      </c>
      <c r="L55">
        <f>IF(J55=TRUE,I55,0)</f>
        <v>0</v>
      </c>
    </row>
    <row r="56" spans="1:12" x14ac:dyDescent="0.3">
      <c r="B56" t="s">
        <v>228</v>
      </c>
    </row>
    <row r="57" spans="1:12" x14ac:dyDescent="0.3">
      <c r="B57" t="s">
        <v>44</v>
      </c>
      <c r="C57" t="s">
        <v>59</v>
      </c>
    </row>
    <row r="58" spans="1:12" x14ac:dyDescent="0.3">
      <c r="B58">
        <v>-1</v>
      </c>
      <c r="C58">
        <v>0</v>
      </c>
    </row>
    <row r="59" spans="1:12" x14ac:dyDescent="0.3">
      <c r="B59">
        <v>0</v>
      </c>
      <c r="C59">
        <v>0</v>
      </c>
      <c r="E59">
        <v>1</v>
      </c>
    </row>
    <row r="60" spans="1:12" x14ac:dyDescent="0.3">
      <c r="B60">
        <v>1</v>
      </c>
      <c r="C60">
        <v>3.75</v>
      </c>
      <c r="E60">
        <f>VLOOKUP(E59-1,Table46[],2,FALSE)</f>
        <v>0</v>
      </c>
    </row>
    <row r="61" spans="1:12" x14ac:dyDescent="0.3">
      <c r="B61">
        <v>2</v>
      </c>
      <c r="C61">
        <v>7.5</v>
      </c>
      <c r="E61">
        <f>IF(P7=1,VLOOKUP(E59-2,Table46[],2,FALSE),E60)</f>
        <v>0</v>
      </c>
    </row>
    <row r="62" spans="1:12" x14ac:dyDescent="0.3">
      <c r="B62">
        <v>3</v>
      </c>
      <c r="C62">
        <v>11.25</v>
      </c>
    </row>
    <row r="63" spans="1:12" x14ac:dyDescent="0.3">
      <c r="B63">
        <v>4</v>
      </c>
      <c r="C63">
        <v>15</v>
      </c>
    </row>
    <row r="64" spans="1:12" x14ac:dyDescent="0.3">
      <c r="B64">
        <v>5</v>
      </c>
      <c r="C64">
        <v>18.75</v>
      </c>
    </row>
    <row r="65" spans="2:3" x14ac:dyDescent="0.3">
      <c r="B65">
        <v>6</v>
      </c>
      <c r="C65">
        <v>22.5</v>
      </c>
    </row>
    <row r="66" spans="2:3" x14ac:dyDescent="0.3">
      <c r="B66">
        <v>7</v>
      </c>
      <c r="C66">
        <v>26.25</v>
      </c>
    </row>
  </sheetData>
  <mergeCells count="4">
    <mergeCell ref="B22:D22"/>
    <mergeCell ref="B31:D31"/>
    <mergeCell ref="B4:I4"/>
    <mergeCell ref="B12:I12"/>
  </mergeCells>
  <pageMargins left="0.7" right="0.7" top="0.75" bottom="0.75" header="0.3" footer="0.3"/>
  <tableParts count="8">
    <tablePart r:id="rId1"/>
    <tablePart r:id="rId2"/>
    <tablePart r:id="rId3"/>
    <tablePart r:id="rId4"/>
    <tablePart r:id="rId5"/>
    <tablePart r:id="rId6"/>
    <tablePart r:id="rId7"/>
    <tablePart r:id="rId8"/>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2:R70"/>
  <sheetViews>
    <sheetView topLeftCell="B1" workbookViewId="0">
      <selection activeCell="N9" sqref="N9"/>
    </sheetView>
  </sheetViews>
  <sheetFormatPr defaultRowHeight="14.4" x14ac:dyDescent="0.3"/>
  <cols>
    <col min="1" max="1" width="17.44140625" customWidth="1"/>
    <col min="2" max="2" width="16" bestFit="1" customWidth="1"/>
    <col min="3" max="3" width="14.88671875" bestFit="1" customWidth="1"/>
    <col min="4" max="4" width="14.109375" bestFit="1" customWidth="1"/>
    <col min="5" max="5" width="15.109375" bestFit="1" customWidth="1"/>
    <col min="6" max="6" width="18.44140625" bestFit="1" customWidth="1"/>
    <col min="7" max="7" width="17" bestFit="1" customWidth="1"/>
    <col min="8" max="8" width="20" bestFit="1" customWidth="1"/>
    <col min="9" max="9" width="14.109375" bestFit="1" customWidth="1"/>
    <col min="10" max="10" width="18.44140625" bestFit="1" customWidth="1"/>
    <col min="11" max="11" width="11.88671875" bestFit="1" customWidth="1"/>
  </cols>
  <sheetData>
    <row r="2" spans="2:18" x14ac:dyDescent="0.3">
      <c r="B2" t="s">
        <v>72</v>
      </c>
      <c r="I2" t="s">
        <v>44</v>
      </c>
      <c r="J2" t="s">
        <v>59</v>
      </c>
      <c r="K2" t="s">
        <v>51</v>
      </c>
      <c r="L2" t="s">
        <v>5</v>
      </c>
      <c r="N2" t="s">
        <v>75</v>
      </c>
      <c r="Q2" t="s">
        <v>67</v>
      </c>
      <c r="R2" t="s">
        <v>38</v>
      </c>
    </row>
    <row r="3" spans="2:18" x14ac:dyDescent="0.3">
      <c r="B3">
        <f>(VLOOKUP(N6,Table1558[#All],N9+2,FALSE))+K27+E44+M50</f>
        <v>77.48</v>
      </c>
      <c r="C3">
        <f>B3+10</f>
        <v>87.48</v>
      </c>
      <c r="I3">
        <v>0</v>
      </c>
      <c r="J3" t="s">
        <v>25</v>
      </c>
      <c r="K3">
        <f>IF(K33=FALSE,B20,A105)</f>
        <v>28.49</v>
      </c>
      <c r="L3">
        <f>IF(K33=FALSE,C20,B105)</f>
        <v>28.49</v>
      </c>
      <c r="N3">
        <v>4</v>
      </c>
      <c r="Q3">
        <f>VLOOKUP(N3,Table1960[#All],3,FALSE)</f>
        <v>77.48</v>
      </c>
      <c r="R3">
        <f>VLOOKUP(N3,Table1960[#All],4,FALSE)</f>
        <v>87.48</v>
      </c>
    </row>
    <row r="4" spans="2:18" ht="15" thickBot="1" x14ac:dyDescent="0.35">
      <c r="B4" s="2" t="s">
        <v>49</v>
      </c>
      <c r="C4" s="2" t="s">
        <v>76</v>
      </c>
      <c r="D4" t="s">
        <v>186</v>
      </c>
      <c r="E4" t="s">
        <v>187</v>
      </c>
      <c r="F4" t="s">
        <v>250</v>
      </c>
      <c r="G4" t="s">
        <v>251</v>
      </c>
      <c r="H4" t="s">
        <v>252</v>
      </c>
      <c r="I4">
        <v>2</v>
      </c>
      <c r="J4" t="s">
        <v>20</v>
      </c>
      <c r="K4">
        <f>IF(K33=FALSE,B29,A114)</f>
        <v>49.99</v>
      </c>
      <c r="L4">
        <f>IF(K33=FALSE,C29,B114)</f>
        <v>54.99</v>
      </c>
    </row>
    <row r="5" spans="2:18" ht="15" thickTop="1" x14ac:dyDescent="0.3">
      <c r="B5" s="3">
        <v>1</v>
      </c>
      <c r="C5" s="3" t="s">
        <v>184</v>
      </c>
      <c r="D5">
        <v>57.48</v>
      </c>
      <c r="E5">
        <v>67.48</v>
      </c>
      <c r="F5">
        <v>77.48</v>
      </c>
      <c r="G5">
        <v>87.48</v>
      </c>
      <c r="H5">
        <v>97.48</v>
      </c>
      <c r="I5">
        <v>3</v>
      </c>
      <c r="J5" t="s">
        <v>24</v>
      </c>
      <c r="K5">
        <f>C39</f>
        <v>20.99</v>
      </c>
      <c r="L5">
        <f>D39</f>
        <v>20.99</v>
      </c>
      <c r="N5" t="s">
        <v>8</v>
      </c>
      <c r="Q5" t="s">
        <v>64</v>
      </c>
    </row>
    <row r="6" spans="2:18" x14ac:dyDescent="0.3">
      <c r="B6" s="4">
        <v>2</v>
      </c>
      <c r="C6" s="4" t="s">
        <v>182</v>
      </c>
      <c r="D6">
        <v>84.98</v>
      </c>
      <c r="E6">
        <v>94.98</v>
      </c>
      <c r="F6">
        <v>104.98</v>
      </c>
      <c r="G6">
        <v>114.98</v>
      </c>
      <c r="H6">
        <v>124.98</v>
      </c>
      <c r="I6">
        <v>4</v>
      </c>
      <c r="J6" t="s">
        <v>21</v>
      </c>
      <c r="K6">
        <f>IF(K33=FALSE,B3,B74)</f>
        <v>77.48</v>
      </c>
      <c r="L6">
        <f>IF(K33=FALSE,C3,B81)</f>
        <v>87.48</v>
      </c>
      <c r="N6">
        <v>1</v>
      </c>
      <c r="Q6">
        <v>35</v>
      </c>
    </row>
    <row r="7" spans="2:18" x14ac:dyDescent="0.3">
      <c r="B7" s="3">
        <v>3</v>
      </c>
      <c r="C7" s="3" t="s">
        <v>185</v>
      </c>
      <c r="D7">
        <v>102.97</v>
      </c>
      <c r="E7">
        <v>112.97</v>
      </c>
      <c r="F7">
        <v>122.97</v>
      </c>
      <c r="G7">
        <v>132.97</v>
      </c>
      <c r="H7">
        <v>142.97</v>
      </c>
      <c r="I7">
        <v>5</v>
      </c>
      <c r="J7" t="s">
        <v>26</v>
      </c>
      <c r="K7">
        <f>IF(K33=FALSE,E20,D105)</f>
        <v>47.49</v>
      </c>
      <c r="L7">
        <f>IF(K33=FALSE,F20,B105)</f>
        <v>57.49</v>
      </c>
    </row>
    <row r="8" spans="2:18" x14ac:dyDescent="0.3">
      <c r="B8" s="5">
        <v>4</v>
      </c>
      <c r="C8" s="5"/>
      <c r="I8">
        <v>6</v>
      </c>
      <c r="J8" t="s">
        <v>73</v>
      </c>
      <c r="K8">
        <f>IF(K33=FALSE,F30,E114)</f>
        <v>89.99</v>
      </c>
      <c r="L8">
        <f>IF(K33=FALSE,G30,F114)</f>
        <v>94.99</v>
      </c>
      <c r="N8" t="s">
        <v>12</v>
      </c>
    </row>
    <row r="9" spans="2:18" x14ac:dyDescent="0.3">
      <c r="I9">
        <v>7</v>
      </c>
      <c r="J9" t="s">
        <v>71</v>
      </c>
      <c r="K9">
        <f>IF(K33=FALSE,B11,B89)</f>
        <v>97.48</v>
      </c>
      <c r="L9">
        <f>IF(K33=FALSE,C11,B96)</f>
        <v>107.48</v>
      </c>
      <c r="N9">
        <v>3</v>
      </c>
    </row>
    <row r="10" spans="2:18" x14ac:dyDescent="0.3">
      <c r="B10" t="s">
        <v>78</v>
      </c>
      <c r="C10" t="s">
        <v>79</v>
      </c>
    </row>
    <row r="11" spans="2:18" x14ac:dyDescent="0.3">
      <c r="B11">
        <f>VLOOKUP(N6,Table151759[#All],N9+2,FALSE)+K27+E44+K36+M50</f>
        <v>97.48</v>
      </c>
      <c r="C11">
        <f>B11+10</f>
        <v>107.48</v>
      </c>
    </row>
    <row r="12" spans="2:18" ht="15" thickBot="1" x14ac:dyDescent="0.35">
      <c r="B12" s="2" t="s">
        <v>49</v>
      </c>
      <c r="C12" s="2" t="s">
        <v>77</v>
      </c>
      <c r="D12" t="s">
        <v>186</v>
      </c>
      <c r="E12" t="s">
        <v>187</v>
      </c>
      <c r="F12" t="s">
        <v>250</v>
      </c>
      <c r="G12" t="s">
        <v>251</v>
      </c>
      <c r="H12" t="s">
        <v>252</v>
      </c>
    </row>
    <row r="13" spans="2:18" ht="15" thickTop="1" x14ac:dyDescent="0.3">
      <c r="B13" s="3">
        <v>1</v>
      </c>
      <c r="C13" s="3" t="s">
        <v>184</v>
      </c>
      <c r="D13">
        <v>77.48</v>
      </c>
      <c r="E13">
        <v>87.48</v>
      </c>
      <c r="F13">
        <v>97.48</v>
      </c>
      <c r="G13">
        <v>107.48</v>
      </c>
      <c r="H13">
        <v>117.48</v>
      </c>
    </row>
    <row r="14" spans="2:18" x14ac:dyDescent="0.3">
      <c r="B14" s="4">
        <v>2</v>
      </c>
      <c r="C14" s="4" t="s">
        <v>182</v>
      </c>
      <c r="D14">
        <v>104.98</v>
      </c>
      <c r="E14">
        <v>114.98</v>
      </c>
      <c r="F14">
        <v>124.98</v>
      </c>
      <c r="G14">
        <v>134.97999999999999</v>
      </c>
      <c r="H14">
        <v>144.97999999999999</v>
      </c>
    </row>
    <row r="15" spans="2:18" x14ac:dyDescent="0.3">
      <c r="B15" s="3">
        <v>3</v>
      </c>
      <c r="C15" s="3" t="s">
        <v>185</v>
      </c>
      <c r="D15">
        <v>122.97</v>
      </c>
      <c r="E15">
        <v>132.97</v>
      </c>
      <c r="F15">
        <v>142.97</v>
      </c>
      <c r="G15">
        <v>152.97</v>
      </c>
      <c r="H15">
        <v>162.97</v>
      </c>
    </row>
    <row r="16" spans="2:18" x14ac:dyDescent="0.3">
      <c r="B16" s="5">
        <v>4</v>
      </c>
      <c r="C16" s="5"/>
    </row>
    <row r="19" spans="2:11" x14ac:dyDescent="0.3">
      <c r="B19" t="s">
        <v>62</v>
      </c>
      <c r="C19" t="s">
        <v>157</v>
      </c>
      <c r="E19" t="s">
        <v>26</v>
      </c>
      <c r="F19" t="s">
        <v>157</v>
      </c>
    </row>
    <row r="20" spans="2:11" x14ac:dyDescent="0.3">
      <c r="B20">
        <f>VLOOKUP(N6,Verizon_TV56[#All],3,FALSE)+K27+E44+K36+M50</f>
        <v>28.49</v>
      </c>
      <c r="C20">
        <f>B20+N50</f>
        <v>28.49</v>
      </c>
      <c r="E20">
        <f>VLOOKUP(N6,Verizon_TV56[#All],4,FALSE)+K27+E44+K36+M50</f>
        <v>47.49</v>
      </c>
      <c r="F20">
        <f>E20+10</f>
        <v>57.49</v>
      </c>
    </row>
    <row r="21" spans="2:11" x14ac:dyDescent="0.3">
      <c r="B21" s="1165" t="s">
        <v>62</v>
      </c>
      <c r="C21" s="1165"/>
      <c r="D21" s="1165"/>
      <c r="E21" t="s">
        <v>24</v>
      </c>
    </row>
    <row r="22" spans="2:11" x14ac:dyDescent="0.3">
      <c r="B22" t="s">
        <v>49</v>
      </c>
      <c r="C22" t="s">
        <v>0</v>
      </c>
      <c r="D22" t="s">
        <v>68</v>
      </c>
      <c r="E22" t="s">
        <v>70</v>
      </c>
      <c r="F22" t="s">
        <v>134</v>
      </c>
      <c r="H22" t="s">
        <v>69</v>
      </c>
      <c r="J22" t="s">
        <v>3</v>
      </c>
    </row>
    <row r="23" spans="2:11" x14ac:dyDescent="0.3">
      <c r="B23">
        <v>1</v>
      </c>
      <c r="C23" s="3" t="s">
        <v>184</v>
      </c>
      <c r="D23">
        <v>28.49</v>
      </c>
      <c r="E23">
        <v>47.49</v>
      </c>
      <c r="F23">
        <v>57.49</v>
      </c>
    </row>
    <row r="24" spans="2:11" x14ac:dyDescent="0.3">
      <c r="B24">
        <v>2</v>
      </c>
      <c r="C24" s="4" t="s">
        <v>182</v>
      </c>
      <c r="D24">
        <v>54.99</v>
      </c>
      <c r="E24">
        <v>74.989999999999995</v>
      </c>
      <c r="F24">
        <v>84.99</v>
      </c>
      <c r="J24" t="s">
        <v>29</v>
      </c>
    </row>
    <row r="25" spans="2:11" x14ac:dyDescent="0.3">
      <c r="B25">
        <v>3</v>
      </c>
      <c r="C25" s="3" t="s">
        <v>185</v>
      </c>
      <c r="D25">
        <v>72.98</v>
      </c>
      <c r="E25">
        <v>92.98</v>
      </c>
      <c r="F25">
        <v>102.98</v>
      </c>
      <c r="J25" t="s">
        <v>28</v>
      </c>
    </row>
    <row r="26" spans="2:11" x14ac:dyDescent="0.3">
      <c r="B26">
        <v>4</v>
      </c>
    </row>
    <row r="27" spans="2:11" x14ac:dyDescent="0.3">
      <c r="J27">
        <v>2</v>
      </c>
      <c r="K27" s="27"/>
    </row>
    <row r="28" spans="2:11" x14ac:dyDescent="0.3">
      <c r="B28" t="s">
        <v>81</v>
      </c>
      <c r="C28" t="s">
        <v>79</v>
      </c>
    </row>
    <row r="29" spans="2:11" x14ac:dyDescent="0.3">
      <c r="B29">
        <f>VLOOKUP(N9,Verizon_Internet57[#All],3,FALSE)+K36+M48+M49</f>
        <v>49.99</v>
      </c>
      <c r="C29">
        <f>VLOOKUP(N9,Verizon_Internet57[#All],4,FALSE)+L36+N48+N49</f>
        <v>54.99</v>
      </c>
      <c r="F29" t="s">
        <v>80</v>
      </c>
      <c r="G29" t="s">
        <v>143</v>
      </c>
    </row>
    <row r="30" spans="2:11" x14ac:dyDescent="0.3">
      <c r="B30" s="1165" t="s">
        <v>65</v>
      </c>
      <c r="C30" s="1165"/>
      <c r="D30" s="1165"/>
      <c r="E30" s="1165"/>
      <c r="F30">
        <f>VLOOKUP(N9,Verizon_Internet57[#All],5,FALSE)+K36+M48+M49</f>
        <v>89.99</v>
      </c>
      <c r="G30">
        <f>VLOOKUP(N9,Verizon_Internet57[#All],6,FALSE)+K36+G20+N48+N49</f>
        <v>94.99</v>
      </c>
    </row>
    <row r="31" spans="2:11" x14ac:dyDescent="0.3">
      <c r="B31" t="s">
        <v>49</v>
      </c>
      <c r="C31" t="s">
        <v>0</v>
      </c>
      <c r="D31" t="s">
        <v>39</v>
      </c>
      <c r="E31" t="s">
        <v>38</v>
      </c>
      <c r="F31" t="s">
        <v>70</v>
      </c>
      <c r="G31" t="s">
        <v>134</v>
      </c>
    </row>
    <row r="32" spans="2:11" x14ac:dyDescent="0.3">
      <c r="B32">
        <v>1</v>
      </c>
      <c r="C32" t="s">
        <v>188</v>
      </c>
      <c r="D32">
        <v>29.99</v>
      </c>
      <c r="E32">
        <v>34.99</v>
      </c>
      <c r="F32">
        <v>59.99</v>
      </c>
      <c r="G32">
        <v>64.989999999999995</v>
      </c>
      <c r="K32" s="87"/>
    </row>
    <row r="33" spans="1:14" x14ac:dyDescent="0.3">
      <c r="B33">
        <v>2</v>
      </c>
      <c r="C33" t="s">
        <v>248</v>
      </c>
      <c r="D33">
        <v>39.99</v>
      </c>
      <c r="E33">
        <v>44.99</v>
      </c>
      <c r="F33">
        <v>69.989999999999995</v>
      </c>
      <c r="G33">
        <v>74.989999999999995</v>
      </c>
      <c r="K33" s="87"/>
    </row>
    <row r="34" spans="1:14" x14ac:dyDescent="0.3">
      <c r="B34">
        <v>3</v>
      </c>
      <c r="C34" t="s">
        <v>249</v>
      </c>
      <c r="D34">
        <v>49.99</v>
      </c>
      <c r="E34">
        <v>54.99</v>
      </c>
      <c r="F34">
        <v>89.99</v>
      </c>
      <c r="G34">
        <v>94.99</v>
      </c>
    </row>
    <row r="35" spans="1:14" x14ac:dyDescent="0.3">
      <c r="B35">
        <v>4</v>
      </c>
      <c r="C35" t="s">
        <v>555</v>
      </c>
      <c r="D35">
        <v>69.989999999999995</v>
      </c>
      <c r="E35">
        <v>74.989999999999995</v>
      </c>
      <c r="F35">
        <v>89.99</v>
      </c>
      <c r="G35">
        <v>94.99</v>
      </c>
    </row>
    <row r="38" spans="1:14" x14ac:dyDescent="0.3">
      <c r="C38" t="s">
        <v>66</v>
      </c>
    </row>
    <row r="39" spans="1:14" x14ac:dyDescent="0.3">
      <c r="C39">
        <v>20.99</v>
      </c>
      <c r="D39">
        <f>C39</f>
        <v>20.99</v>
      </c>
    </row>
    <row r="41" spans="1:14" x14ac:dyDescent="0.3">
      <c r="B41" s="26" t="s">
        <v>82</v>
      </c>
      <c r="C41" s="26"/>
    </row>
    <row r="42" spans="1:14" x14ac:dyDescent="0.3">
      <c r="A42" s="35" t="s">
        <v>94</v>
      </c>
      <c r="B42" s="28" t="s">
        <v>92</v>
      </c>
      <c r="C42" s="29" t="s">
        <v>68</v>
      </c>
      <c r="D42" s="35" t="s">
        <v>3</v>
      </c>
      <c r="E42">
        <v>1</v>
      </c>
      <c r="H42" s="39" t="s">
        <v>189</v>
      </c>
      <c r="I42" s="40" t="s">
        <v>97</v>
      </c>
      <c r="J42" s="41" t="s">
        <v>98</v>
      </c>
      <c r="K42" s="40" t="s">
        <v>104</v>
      </c>
      <c r="M42" t="s">
        <v>105</v>
      </c>
      <c r="N42" t="s">
        <v>106</v>
      </c>
    </row>
    <row r="43" spans="1:14" x14ac:dyDescent="0.3">
      <c r="A43" s="34">
        <v>1</v>
      </c>
      <c r="B43" s="30">
        <v>0</v>
      </c>
      <c r="C43" s="31">
        <v>0</v>
      </c>
      <c r="D43" s="34" t="s">
        <v>103</v>
      </c>
      <c r="E43" t="s">
        <v>93</v>
      </c>
      <c r="H43" s="37" t="s">
        <v>131</v>
      </c>
      <c r="I43" s="36">
        <v>9.99</v>
      </c>
      <c r="J43" s="36">
        <v>9.99</v>
      </c>
      <c r="K43" t="b">
        <v>0</v>
      </c>
      <c r="M43">
        <f>IF(Table862[[#This Row],[Checked?]]=TRUE,Table862[[#This Row],[months 1-12]],0)</f>
        <v>0</v>
      </c>
      <c r="N43">
        <f>IF(Table862[[#This Row],[Checked?]]=TRUE,Table862[[#This Row],[months 13-14]],0)</f>
        <v>0</v>
      </c>
    </row>
    <row r="44" spans="1:14" x14ac:dyDescent="0.3">
      <c r="A44" s="34">
        <v>2</v>
      </c>
      <c r="B44" s="30">
        <v>1</v>
      </c>
      <c r="C44" s="31">
        <v>0</v>
      </c>
      <c r="D44" s="34">
        <v>13.98</v>
      </c>
      <c r="E44">
        <f>IF(J27=1,VLOOKUP(E42,Table561[#All],4,FALSE),VLOOKUP(E42,Table561[#All],3,FALSE)) +C53</f>
        <v>0</v>
      </c>
      <c r="H44" s="37" t="s">
        <v>135</v>
      </c>
      <c r="I44" s="36">
        <v>6.95</v>
      </c>
      <c r="J44" s="36">
        <v>6.95</v>
      </c>
      <c r="K44" t="b">
        <v>0</v>
      </c>
      <c r="M44">
        <f>IF(Table862[[#This Row],[Checked?]]=TRUE,Table862[[#This Row],[months 1-12]],0)</f>
        <v>0</v>
      </c>
      <c r="N44">
        <f>IF(Table862[[#This Row],[Checked?]]=TRUE,Table862[[#This Row],[months 13-14]],0)</f>
        <v>0</v>
      </c>
    </row>
    <row r="45" spans="1:14" x14ac:dyDescent="0.3">
      <c r="A45" s="34">
        <v>3</v>
      </c>
      <c r="B45" s="30">
        <v>2</v>
      </c>
      <c r="C45" s="31">
        <v>11</v>
      </c>
      <c r="D45" s="34">
        <v>25</v>
      </c>
      <c r="E45" s="95"/>
      <c r="H45" s="37" t="s">
        <v>190</v>
      </c>
      <c r="I45" s="36">
        <v>9.99</v>
      </c>
      <c r="J45" s="36">
        <v>9.99</v>
      </c>
      <c r="K45" t="b">
        <v>0</v>
      </c>
      <c r="M45">
        <f>IF(Table862[[#This Row],[Checked?]]=TRUE,Table862[[#This Row],[months 1-12]],0)</f>
        <v>0</v>
      </c>
      <c r="N45">
        <f>IF(Table862[[#This Row],[Checked?]]=TRUE,Table862[[#This Row],[months 13-14]],0)</f>
        <v>0</v>
      </c>
    </row>
    <row r="46" spans="1:14" x14ac:dyDescent="0.3">
      <c r="A46" s="34">
        <v>4</v>
      </c>
      <c r="B46" s="30">
        <v>3</v>
      </c>
      <c r="C46" s="31">
        <v>22</v>
      </c>
      <c r="D46" s="34">
        <v>36</v>
      </c>
      <c r="H46" s="37" t="s">
        <v>191</v>
      </c>
      <c r="I46" s="36">
        <v>17.989999999999998</v>
      </c>
      <c r="J46" s="36">
        <v>17.989999999999998</v>
      </c>
      <c r="K46" t="b">
        <v>0</v>
      </c>
      <c r="M46">
        <f>IF(Table862[[#This Row],[Checked?]]=TRUE,Table862[[#This Row],[months 1-12]],0)</f>
        <v>0</v>
      </c>
      <c r="N46">
        <f>IF(Table862[[#This Row],[Checked?]]=TRUE,Table862[[#This Row],[months 13-14]],0)</f>
        <v>0</v>
      </c>
    </row>
    <row r="47" spans="1:14" x14ac:dyDescent="0.3">
      <c r="A47" s="34">
        <v>5</v>
      </c>
      <c r="B47" s="30">
        <v>4</v>
      </c>
      <c r="C47" s="31">
        <v>33</v>
      </c>
      <c r="D47" s="34">
        <v>47</v>
      </c>
      <c r="H47" s="37" t="s">
        <v>192</v>
      </c>
      <c r="I47" s="36">
        <v>4.99</v>
      </c>
      <c r="J47" s="36">
        <v>4.99</v>
      </c>
      <c r="K47" t="b">
        <v>0</v>
      </c>
      <c r="M47">
        <f>IF(Table862[[#This Row],[Checked?]]=TRUE,Table862[[#This Row],[months 1-12]],0)</f>
        <v>0</v>
      </c>
      <c r="N47">
        <f>IF(Table862[[#This Row],[Checked?]]=TRUE,Table862[[#This Row],[months 13-14]],0)</f>
        <v>0</v>
      </c>
    </row>
    <row r="48" spans="1:14" x14ac:dyDescent="0.3">
      <c r="A48" s="34">
        <v>6</v>
      </c>
      <c r="B48" s="30">
        <v>5</v>
      </c>
      <c r="C48" s="31">
        <v>44</v>
      </c>
      <c r="D48" s="34">
        <v>58</v>
      </c>
      <c r="H48" s="37" t="s">
        <v>174</v>
      </c>
      <c r="I48" s="36">
        <v>6.99</v>
      </c>
      <c r="J48" s="38">
        <v>6.99</v>
      </c>
      <c r="K48" t="b">
        <v>0</v>
      </c>
      <c r="M48">
        <f>IF(Table862[[#This Row],[Checked?]]=TRUE,Table862[[#This Row],[months 1-12]],0)</f>
        <v>0</v>
      </c>
      <c r="N48">
        <f>IF(Table862[[#This Row],[Checked?]]=TRUE,Table862[[#This Row],[months 13-14]],0)</f>
        <v>0</v>
      </c>
    </row>
    <row r="49" spans="1:14" x14ac:dyDescent="0.3">
      <c r="A49" s="34">
        <v>7</v>
      </c>
      <c r="B49" s="30">
        <v>6</v>
      </c>
      <c r="C49" s="31">
        <v>55</v>
      </c>
      <c r="D49" s="34">
        <v>69</v>
      </c>
      <c r="H49" s="42" t="s">
        <v>202</v>
      </c>
      <c r="I49" s="43">
        <v>5</v>
      </c>
      <c r="J49" s="44">
        <v>5</v>
      </c>
      <c r="K49" t="b">
        <v>0</v>
      </c>
      <c r="M49">
        <f>IF(Table862[[#This Row],[Checked?]],5,0)</f>
        <v>0</v>
      </c>
      <c r="N49">
        <f>IF(Table862[[#This Row],[Checked?]],5,0)</f>
        <v>0</v>
      </c>
    </row>
    <row r="50" spans="1:14" x14ac:dyDescent="0.3">
      <c r="A50" s="34">
        <v>8</v>
      </c>
      <c r="B50" s="32">
        <v>7</v>
      </c>
      <c r="C50" s="33">
        <v>66</v>
      </c>
      <c r="D50" s="34">
        <v>80</v>
      </c>
      <c r="M50">
        <f>SUM(M43:M49)+M51+M52+M53+M54</f>
        <v>0</v>
      </c>
      <c r="N50">
        <f>SUM(N43:N49)+N51+N52+N53+N54</f>
        <v>0</v>
      </c>
    </row>
    <row r="51" spans="1:14" x14ac:dyDescent="0.3">
      <c r="A51" s="34">
        <v>9</v>
      </c>
      <c r="B51" s="32">
        <v>8</v>
      </c>
      <c r="C51" s="33">
        <v>77</v>
      </c>
      <c r="D51" s="34">
        <v>91</v>
      </c>
      <c r="H51" t="s">
        <v>36</v>
      </c>
      <c r="I51">
        <v>14.99</v>
      </c>
      <c r="K51" t="b">
        <v>0</v>
      </c>
      <c r="M51">
        <f>+IF(K51=TRUE,I51,0)</f>
        <v>0</v>
      </c>
      <c r="N51">
        <f>M51</f>
        <v>0</v>
      </c>
    </row>
    <row r="52" spans="1:14" x14ac:dyDescent="0.3">
      <c r="A52" s="34"/>
      <c r="B52" s="32" t="s">
        <v>158</v>
      </c>
      <c r="C52" s="33" t="b">
        <v>0</v>
      </c>
      <c r="D52" s="34"/>
      <c r="H52" t="s">
        <v>102</v>
      </c>
      <c r="I52">
        <v>9.99</v>
      </c>
      <c r="K52" t="b">
        <v>0</v>
      </c>
      <c r="M52">
        <f>+IF(K52=TRUE,I52,0)</f>
        <v>0</v>
      </c>
      <c r="N52">
        <f>M52</f>
        <v>0</v>
      </c>
    </row>
    <row r="53" spans="1:14" x14ac:dyDescent="0.3">
      <c r="A53" s="34"/>
      <c r="B53" s="32"/>
      <c r="C53" s="33">
        <f>IF(C52=TRUE,4.99,0)</f>
        <v>0</v>
      </c>
      <c r="D53" s="34"/>
      <c r="H53" t="s">
        <v>101</v>
      </c>
      <c r="I53">
        <v>14.99</v>
      </c>
      <c r="K53" t="b">
        <v>0</v>
      </c>
      <c r="M53">
        <f>+IF(K53=TRUE,I53,0)</f>
        <v>0</v>
      </c>
      <c r="N53">
        <f>M53</f>
        <v>0</v>
      </c>
    </row>
    <row r="54" spans="1:14" x14ac:dyDescent="0.3">
      <c r="H54" t="s">
        <v>125</v>
      </c>
      <c r="I54">
        <v>14.99</v>
      </c>
      <c r="K54" t="b">
        <v>0</v>
      </c>
      <c r="M54">
        <f>+IF(K54=TRUE,I54,0)</f>
        <v>0</v>
      </c>
      <c r="N54">
        <f>M54</f>
        <v>0</v>
      </c>
    </row>
    <row r="57" spans="1:14" ht="15" thickBot="1" x14ac:dyDescent="0.35">
      <c r="A57" s="2" t="s">
        <v>113</v>
      </c>
      <c r="B57" s="109" t="s">
        <v>68</v>
      </c>
      <c r="F57" s="2"/>
      <c r="G57" s="51"/>
      <c r="H57" s="52"/>
    </row>
    <row r="58" spans="1:14" ht="15" thickTop="1" x14ac:dyDescent="0.3">
      <c r="A58" s="3">
        <v>0</v>
      </c>
      <c r="B58" s="110">
        <v>0</v>
      </c>
      <c r="F58" s="3"/>
      <c r="G58" s="53"/>
      <c r="H58" s="54"/>
    </row>
    <row r="59" spans="1:14" x14ac:dyDescent="0.3">
      <c r="A59" s="4" t="s">
        <v>193</v>
      </c>
      <c r="B59" s="111">
        <v>19.989999999999998</v>
      </c>
      <c r="F59" s="4"/>
      <c r="G59" s="49"/>
      <c r="H59" s="50"/>
    </row>
    <row r="60" spans="1:14" x14ac:dyDescent="0.3">
      <c r="A60" s="3" t="s">
        <v>194</v>
      </c>
      <c r="B60" s="110">
        <v>33.99</v>
      </c>
      <c r="F60" s="3"/>
      <c r="G60" s="53"/>
      <c r="H60" s="54"/>
    </row>
    <row r="61" spans="1:14" x14ac:dyDescent="0.3">
      <c r="A61" s="5" t="s">
        <v>196</v>
      </c>
      <c r="B61" s="112">
        <v>44.99</v>
      </c>
      <c r="F61" s="5"/>
      <c r="G61" s="115"/>
      <c r="H61" s="116"/>
    </row>
    <row r="62" spans="1:14" x14ac:dyDescent="0.3">
      <c r="A62" s="108" t="s">
        <v>195</v>
      </c>
      <c r="B62" s="113">
        <v>55.99</v>
      </c>
      <c r="F62" s="108"/>
      <c r="G62" s="117"/>
      <c r="H62" s="114"/>
    </row>
    <row r="66" spans="1:2" ht="15" thickBot="1" x14ac:dyDescent="0.35">
      <c r="A66" s="2"/>
      <c r="B66" s="2"/>
    </row>
    <row r="67" spans="1:2" ht="15" thickTop="1" x14ac:dyDescent="0.3">
      <c r="A67" s="3"/>
      <c r="B67" s="3"/>
    </row>
    <row r="68" spans="1:2" x14ac:dyDescent="0.3">
      <c r="A68" s="4"/>
      <c r="B68" s="4"/>
    </row>
    <row r="69" spans="1:2" x14ac:dyDescent="0.3">
      <c r="A69" s="3"/>
      <c r="B69" s="3"/>
    </row>
    <row r="70" spans="1:2" x14ac:dyDescent="0.3">
      <c r="A70" s="5"/>
      <c r="B70" s="5"/>
    </row>
  </sheetData>
  <mergeCells count="2">
    <mergeCell ref="B21:D21"/>
    <mergeCell ref="B30:E30"/>
  </mergeCells>
  <pageMargins left="0.7" right="0.7" top="0.75" bottom="0.75" header="0.3" footer="0.3"/>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5A21-1090-43FE-85DB-797E2D65EDC0}">
  <sheetPr codeName="Sheet23"/>
  <dimension ref="A1"/>
  <sheetViews>
    <sheetView topLeftCell="A4"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C0D92-29DC-4848-AFD9-FB96A9C3816F}">
  <sheetPr codeName="Sheet24"/>
  <dimension ref="A1:E19"/>
  <sheetViews>
    <sheetView workbookViewId="0">
      <selection activeCell="A19" sqref="A19"/>
    </sheetView>
  </sheetViews>
  <sheetFormatPr defaultRowHeight="14.4" x14ac:dyDescent="0.3"/>
  <cols>
    <col min="1" max="1" width="22.33203125" bestFit="1" customWidth="1"/>
  </cols>
  <sheetData>
    <row r="1" spans="1:5" x14ac:dyDescent="0.3">
      <c r="A1" s="434" t="s">
        <v>819</v>
      </c>
      <c r="B1" s="434"/>
      <c r="C1" s="434"/>
      <c r="D1" s="434"/>
      <c r="E1" s="434"/>
    </row>
    <row r="2" spans="1:5" x14ac:dyDescent="0.3">
      <c r="A2" s="225"/>
      <c r="B2" s="436" t="s">
        <v>826</v>
      </c>
      <c r="C2" s="225"/>
      <c r="D2" s="225"/>
      <c r="E2" s="225"/>
    </row>
    <row r="3" spans="1:5" x14ac:dyDescent="0.3">
      <c r="A3" s="225"/>
      <c r="B3" s="436" t="s">
        <v>310</v>
      </c>
      <c r="C3" s="225"/>
      <c r="D3" s="225"/>
      <c r="E3" s="225"/>
    </row>
    <row r="4" spans="1:5" x14ac:dyDescent="0.3">
      <c r="A4" s="225"/>
      <c r="B4" s="436" t="s">
        <v>821</v>
      </c>
      <c r="C4" s="225"/>
      <c r="D4" s="225"/>
      <c r="E4" s="225"/>
    </row>
    <row r="5" spans="1:5" x14ac:dyDescent="0.3">
      <c r="A5" s="225"/>
      <c r="B5" s="436" t="s">
        <v>820</v>
      </c>
      <c r="C5" s="225"/>
      <c r="D5" s="225"/>
      <c r="E5" s="225"/>
    </row>
    <row r="6" spans="1:5" x14ac:dyDescent="0.3">
      <c r="A6" s="225"/>
      <c r="B6" s="436" t="s">
        <v>272</v>
      </c>
      <c r="C6" s="225"/>
      <c r="D6" s="225"/>
      <c r="E6" s="225"/>
    </row>
    <row r="7" spans="1:5" x14ac:dyDescent="0.3">
      <c r="A7" s="225"/>
      <c r="B7" s="436" t="s">
        <v>825</v>
      </c>
      <c r="C7" s="225"/>
      <c r="D7" s="225"/>
      <c r="E7" s="225"/>
    </row>
    <row r="8" spans="1:5" x14ac:dyDescent="0.3">
      <c r="A8" s="225"/>
      <c r="B8" s="436" t="s">
        <v>351</v>
      </c>
      <c r="C8" s="225"/>
      <c r="D8" s="225"/>
      <c r="E8" s="225"/>
    </row>
    <row r="9" spans="1:5" x14ac:dyDescent="0.3">
      <c r="A9" s="225"/>
      <c r="B9" s="436" t="s">
        <v>321</v>
      </c>
      <c r="C9" s="225"/>
      <c r="D9" s="225"/>
      <c r="E9" s="225"/>
    </row>
    <row r="10" spans="1:5" x14ac:dyDescent="0.3">
      <c r="A10" s="225"/>
      <c r="B10" s="436" t="s">
        <v>830</v>
      </c>
      <c r="C10" s="225"/>
      <c r="D10" s="225"/>
      <c r="E10" s="225"/>
    </row>
    <row r="11" spans="1:5" x14ac:dyDescent="0.3">
      <c r="A11" s="225"/>
      <c r="B11" s="436" t="s">
        <v>828</v>
      </c>
      <c r="C11" s="225"/>
      <c r="D11" s="225"/>
      <c r="E11" s="225"/>
    </row>
    <row r="12" spans="1:5" x14ac:dyDescent="0.3">
      <c r="A12" s="225"/>
      <c r="B12" s="436" t="s">
        <v>824</v>
      </c>
      <c r="C12" s="225"/>
      <c r="D12" s="225"/>
      <c r="E12" s="225"/>
    </row>
    <row r="13" spans="1:5" x14ac:dyDescent="0.3">
      <c r="A13" s="225"/>
      <c r="B13" s="436" t="s">
        <v>822</v>
      </c>
      <c r="C13" s="225"/>
      <c r="D13" s="225"/>
      <c r="E13" s="225"/>
    </row>
    <row r="14" spans="1:5" x14ac:dyDescent="0.3">
      <c r="A14" s="225"/>
      <c r="B14" s="436" t="s">
        <v>829</v>
      </c>
      <c r="C14" s="225"/>
      <c r="D14" s="225"/>
      <c r="E14" s="225"/>
    </row>
    <row r="15" spans="1:5" x14ac:dyDescent="0.3">
      <c r="A15" s="225"/>
      <c r="B15" s="436" t="s">
        <v>823</v>
      </c>
      <c r="C15" s="225"/>
      <c r="D15" s="225"/>
      <c r="E15" s="225"/>
    </row>
    <row r="16" spans="1:5" x14ac:dyDescent="0.3">
      <c r="A16" s="225"/>
      <c r="B16" s="436" t="s">
        <v>350</v>
      </c>
      <c r="C16" s="225"/>
      <c r="D16" s="225"/>
      <c r="E16" s="225"/>
    </row>
    <row r="17" spans="1:5" x14ac:dyDescent="0.3">
      <c r="A17" s="225"/>
      <c r="B17" s="436" t="s">
        <v>827</v>
      </c>
      <c r="C17" s="225"/>
      <c r="D17" s="225"/>
      <c r="E17" s="225"/>
    </row>
    <row r="18" spans="1:5" x14ac:dyDescent="0.3">
      <c r="A18" s="225"/>
      <c r="B18" s="225"/>
      <c r="C18" s="225"/>
      <c r="D18" s="225"/>
      <c r="E18" s="225"/>
    </row>
    <row r="19" spans="1:5" x14ac:dyDescent="0.3">
      <c r="A19" s="435" t="s">
        <v>831</v>
      </c>
      <c r="C19" t="s">
        <v>832</v>
      </c>
    </row>
  </sheetData>
  <sortState xmlns:xlrd2="http://schemas.microsoft.com/office/spreadsheetml/2017/richdata2" ref="B2:B17">
    <sortCondition ref="B17"/>
  </sortState>
  <hyperlinks>
    <hyperlink ref="A19" r:id="rId1" xr:uid="{87870D17-5188-4F17-B2E5-722F6739C2A0}"/>
  </hyperlink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Q88"/>
  <sheetViews>
    <sheetView zoomScaleNormal="100" workbookViewId="0">
      <selection activeCell="AA26" sqref="AA26"/>
    </sheetView>
  </sheetViews>
  <sheetFormatPr defaultRowHeight="14.4" x14ac:dyDescent="0.3"/>
  <sheetData>
    <row r="1" spans="1:69" ht="26.1" customHeight="1" thickBot="1" x14ac:dyDescent="0.35">
      <c r="A1" s="99"/>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row>
    <row r="2" spans="1:69" ht="26.1" customHeight="1" x14ac:dyDescent="0.3">
      <c r="A2" s="99"/>
      <c r="B2" s="1159" t="s">
        <v>653</v>
      </c>
      <c r="C2" s="1160"/>
      <c r="D2" s="1160"/>
      <c r="E2" s="1160"/>
      <c r="F2" s="1160"/>
      <c r="G2" s="1160"/>
      <c r="H2" s="1161"/>
      <c r="I2" s="99"/>
      <c r="J2" s="1159" t="s">
        <v>654</v>
      </c>
      <c r="K2" s="1160"/>
      <c r="L2" s="1160"/>
      <c r="M2" s="1160"/>
      <c r="N2" s="1160"/>
      <c r="O2" s="1160"/>
      <c r="P2" s="1161"/>
      <c r="Q2" s="99"/>
      <c r="R2" s="1159" t="s">
        <v>655</v>
      </c>
      <c r="S2" s="1160"/>
      <c r="T2" s="1160"/>
      <c r="U2" s="1160"/>
      <c r="V2" s="1160"/>
      <c r="W2" s="1160"/>
      <c r="X2" s="1161"/>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row>
    <row r="3" spans="1:69" ht="26.1" customHeight="1" thickBot="1" x14ac:dyDescent="0.35">
      <c r="A3" s="99"/>
      <c r="B3" s="1162"/>
      <c r="C3" s="1163"/>
      <c r="D3" s="1163"/>
      <c r="E3" s="1163"/>
      <c r="F3" s="1163"/>
      <c r="G3" s="1163"/>
      <c r="H3" s="1164"/>
      <c r="I3" s="99"/>
      <c r="J3" s="1162"/>
      <c r="K3" s="1163"/>
      <c r="L3" s="1163"/>
      <c r="M3" s="1163"/>
      <c r="N3" s="1163"/>
      <c r="O3" s="1163"/>
      <c r="P3" s="1164"/>
      <c r="Q3" s="99"/>
      <c r="R3" s="1162"/>
      <c r="S3" s="1163"/>
      <c r="T3" s="1163"/>
      <c r="U3" s="1163"/>
      <c r="V3" s="1163"/>
      <c r="W3" s="1163"/>
      <c r="X3" s="1164"/>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row>
    <row r="4" spans="1:69" ht="26.1" customHeight="1" x14ac:dyDescent="0.3">
      <c r="A4" s="99"/>
      <c r="B4" s="1157" t="s">
        <v>176</v>
      </c>
      <c r="C4" s="1158"/>
      <c r="D4" s="1130" t="s">
        <v>747</v>
      </c>
      <c r="E4" s="1131"/>
      <c r="F4" s="1131"/>
      <c r="G4" s="1131"/>
      <c r="H4" s="1132"/>
      <c r="I4" s="99"/>
      <c r="J4" s="1157" t="s">
        <v>176</v>
      </c>
      <c r="K4" s="1158"/>
      <c r="L4" s="1130" t="s">
        <v>748</v>
      </c>
      <c r="M4" s="1131"/>
      <c r="N4" s="1131"/>
      <c r="O4" s="1131"/>
      <c r="P4" s="1132"/>
      <c r="Q4" s="99"/>
      <c r="R4" s="1157" t="s">
        <v>176</v>
      </c>
      <c r="S4" s="1158"/>
      <c r="T4" s="1130" t="s">
        <v>749</v>
      </c>
      <c r="U4" s="1131"/>
      <c r="V4" s="1131"/>
      <c r="W4" s="1131"/>
      <c r="X4" s="1132"/>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row>
    <row r="5" spans="1:69" ht="26.1" customHeight="1" x14ac:dyDescent="0.3">
      <c r="A5" s="99"/>
      <c r="B5" s="1141"/>
      <c r="C5" s="1142"/>
      <c r="D5" s="1133"/>
      <c r="E5" s="1134"/>
      <c r="F5" s="1134"/>
      <c r="G5" s="1134"/>
      <c r="H5" s="1135"/>
      <c r="I5" s="99"/>
      <c r="J5" s="1141"/>
      <c r="K5" s="1142"/>
      <c r="L5" s="1133"/>
      <c r="M5" s="1134"/>
      <c r="N5" s="1134"/>
      <c r="O5" s="1134"/>
      <c r="P5" s="1135"/>
      <c r="Q5" s="99"/>
      <c r="R5" s="1141"/>
      <c r="S5" s="1142"/>
      <c r="T5" s="1133"/>
      <c r="U5" s="1134"/>
      <c r="V5" s="1134"/>
      <c r="W5" s="1134"/>
      <c r="X5" s="1135"/>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row>
    <row r="6" spans="1:69" ht="26.1" customHeight="1" x14ac:dyDescent="0.3">
      <c r="A6" s="99"/>
      <c r="B6" s="1141"/>
      <c r="C6" s="1142"/>
      <c r="D6" s="1133"/>
      <c r="E6" s="1134"/>
      <c r="F6" s="1134"/>
      <c r="G6" s="1134"/>
      <c r="H6" s="1135"/>
      <c r="I6" s="99"/>
      <c r="J6" s="1141"/>
      <c r="K6" s="1142"/>
      <c r="L6" s="1133"/>
      <c r="M6" s="1134"/>
      <c r="N6" s="1134"/>
      <c r="O6" s="1134"/>
      <c r="P6" s="1135"/>
      <c r="Q6" s="99"/>
      <c r="R6" s="1141"/>
      <c r="S6" s="1142"/>
      <c r="T6" s="1133"/>
      <c r="U6" s="1134"/>
      <c r="V6" s="1134"/>
      <c r="W6" s="1134"/>
      <c r="X6" s="1135"/>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row>
    <row r="7" spans="1:69" ht="26.1" customHeight="1" x14ac:dyDescent="0.3">
      <c r="A7" s="99"/>
      <c r="B7" s="1141"/>
      <c r="C7" s="1142"/>
      <c r="D7" s="1133"/>
      <c r="E7" s="1134"/>
      <c r="F7" s="1134"/>
      <c r="G7" s="1134"/>
      <c r="H7" s="1135"/>
      <c r="I7" s="99"/>
      <c r="J7" s="1141"/>
      <c r="K7" s="1142"/>
      <c r="L7" s="1133"/>
      <c r="M7" s="1134"/>
      <c r="N7" s="1134"/>
      <c r="O7" s="1134"/>
      <c r="P7" s="1135"/>
      <c r="Q7" s="99"/>
      <c r="R7" s="1141"/>
      <c r="S7" s="1142"/>
      <c r="T7" s="1133"/>
      <c r="U7" s="1134"/>
      <c r="V7" s="1134"/>
      <c r="W7" s="1134"/>
      <c r="X7" s="1135"/>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row>
    <row r="8" spans="1:69" ht="26.1" customHeight="1" x14ac:dyDescent="0.3">
      <c r="A8" s="99"/>
      <c r="B8" s="1141"/>
      <c r="C8" s="1142"/>
      <c r="D8" s="1133"/>
      <c r="E8" s="1134"/>
      <c r="F8" s="1134"/>
      <c r="G8" s="1134"/>
      <c r="H8" s="1135"/>
      <c r="I8" s="99"/>
      <c r="J8" s="1141"/>
      <c r="K8" s="1142"/>
      <c r="L8" s="1133"/>
      <c r="M8" s="1134"/>
      <c r="N8" s="1134"/>
      <c r="O8" s="1134"/>
      <c r="P8" s="1135"/>
      <c r="Q8" s="99"/>
      <c r="R8" s="1141"/>
      <c r="S8" s="1142"/>
      <c r="T8" s="1133"/>
      <c r="U8" s="1134"/>
      <c r="V8" s="1134"/>
      <c r="W8" s="1134"/>
      <c r="X8" s="1135"/>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row>
    <row r="9" spans="1:69" ht="26.1" customHeight="1" x14ac:dyDescent="0.3">
      <c r="A9" s="99"/>
      <c r="B9" s="1141"/>
      <c r="C9" s="1142"/>
      <c r="D9" s="1133"/>
      <c r="E9" s="1134"/>
      <c r="F9" s="1134"/>
      <c r="G9" s="1134"/>
      <c r="H9" s="1135"/>
      <c r="I9" s="99"/>
      <c r="J9" s="1141"/>
      <c r="K9" s="1142"/>
      <c r="L9" s="1133"/>
      <c r="M9" s="1134"/>
      <c r="N9" s="1134"/>
      <c r="O9" s="1134"/>
      <c r="P9" s="1135"/>
      <c r="Q9" s="99"/>
      <c r="R9" s="1141"/>
      <c r="S9" s="1142"/>
      <c r="T9" s="1133"/>
      <c r="U9" s="1134"/>
      <c r="V9" s="1134"/>
      <c r="W9" s="1134"/>
      <c r="X9" s="1135"/>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row>
    <row r="10" spans="1:69" ht="26.1" customHeight="1" x14ac:dyDescent="0.3">
      <c r="A10" s="99"/>
      <c r="B10" s="1141"/>
      <c r="C10" s="1142"/>
      <c r="D10" s="1133"/>
      <c r="E10" s="1134"/>
      <c r="F10" s="1134"/>
      <c r="G10" s="1134"/>
      <c r="H10" s="1135"/>
      <c r="I10" s="99"/>
      <c r="J10" s="1141"/>
      <c r="K10" s="1142"/>
      <c r="L10" s="1133"/>
      <c r="M10" s="1134"/>
      <c r="N10" s="1134"/>
      <c r="O10" s="1134"/>
      <c r="P10" s="1135"/>
      <c r="Q10" s="99"/>
      <c r="R10" s="1141"/>
      <c r="S10" s="1142"/>
      <c r="T10" s="1133"/>
      <c r="U10" s="1134"/>
      <c r="V10" s="1134"/>
      <c r="W10" s="1134"/>
      <c r="X10" s="1135"/>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row>
    <row r="11" spans="1:69" ht="26.1" customHeight="1" thickBot="1" x14ac:dyDescent="0.35">
      <c r="A11" s="99"/>
      <c r="B11" s="1143"/>
      <c r="C11" s="1144"/>
      <c r="D11" s="1136"/>
      <c r="E11" s="1137"/>
      <c r="F11" s="1137"/>
      <c r="G11" s="1137"/>
      <c r="H11" s="1138"/>
      <c r="I11" s="99"/>
      <c r="J11" s="1143"/>
      <c r="K11" s="1144"/>
      <c r="L11" s="1136"/>
      <c r="M11" s="1137"/>
      <c r="N11" s="1137"/>
      <c r="O11" s="1137"/>
      <c r="P11" s="1138"/>
      <c r="Q11" s="99"/>
      <c r="R11" s="1143"/>
      <c r="S11" s="1144"/>
      <c r="T11" s="1136"/>
      <c r="U11" s="1137"/>
      <c r="V11" s="1137"/>
      <c r="W11" s="1137"/>
      <c r="X11" s="1138"/>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row>
    <row r="12" spans="1:69" ht="26.1" customHeight="1" x14ac:dyDescent="0.3">
      <c r="A12" s="99"/>
      <c r="B12" s="1151" t="s">
        <v>650</v>
      </c>
      <c r="C12" s="1152"/>
      <c r="D12" s="1130" t="s">
        <v>750</v>
      </c>
      <c r="E12" s="1131"/>
      <c r="F12" s="1131"/>
      <c r="G12" s="1131"/>
      <c r="H12" s="1132"/>
      <c r="I12" s="99"/>
      <c r="J12" s="1151" t="s">
        <v>650</v>
      </c>
      <c r="K12" s="1152"/>
      <c r="L12" s="1130" t="s">
        <v>751</v>
      </c>
      <c r="M12" s="1131"/>
      <c r="N12" s="1131"/>
      <c r="O12" s="1131"/>
      <c r="P12" s="1132"/>
      <c r="Q12" s="99"/>
      <c r="R12" s="1151" t="s">
        <v>650</v>
      </c>
      <c r="S12" s="1152"/>
      <c r="T12" s="1130" t="s">
        <v>752</v>
      </c>
      <c r="U12" s="1131"/>
      <c r="V12" s="1131"/>
      <c r="W12" s="1131"/>
      <c r="X12" s="1132"/>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row>
    <row r="13" spans="1:69" ht="26.1" customHeight="1" x14ac:dyDescent="0.3">
      <c r="A13" s="99"/>
      <c r="B13" s="1153"/>
      <c r="C13" s="1154"/>
      <c r="D13" s="1133"/>
      <c r="E13" s="1134"/>
      <c r="F13" s="1134"/>
      <c r="G13" s="1134"/>
      <c r="H13" s="1135"/>
      <c r="I13" s="99"/>
      <c r="J13" s="1153"/>
      <c r="K13" s="1154"/>
      <c r="L13" s="1133"/>
      <c r="M13" s="1134"/>
      <c r="N13" s="1134"/>
      <c r="O13" s="1134"/>
      <c r="P13" s="1135"/>
      <c r="Q13" s="99"/>
      <c r="R13" s="1153"/>
      <c r="S13" s="1154"/>
      <c r="T13" s="1133"/>
      <c r="U13" s="1134"/>
      <c r="V13" s="1134"/>
      <c r="W13" s="1134"/>
      <c r="X13" s="1135"/>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row>
    <row r="14" spans="1:69" ht="26.1" customHeight="1" x14ac:dyDescent="0.3">
      <c r="A14" s="99"/>
      <c r="B14" s="1153"/>
      <c r="C14" s="1154"/>
      <c r="D14" s="1133"/>
      <c r="E14" s="1134"/>
      <c r="F14" s="1134"/>
      <c r="G14" s="1134"/>
      <c r="H14" s="1135"/>
      <c r="I14" s="99"/>
      <c r="J14" s="1153"/>
      <c r="K14" s="1154"/>
      <c r="L14" s="1133"/>
      <c r="M14" s="1134"/>
      <c r="N14" s="1134"/>
      <c r="O14" s="1134"/>
      <c r="P14" s="1135"/>
      <c r="Q14" s="99"/>
      <c r="R14" s="1153"/>
      <c r="S14" s="1154"/>
      <c r="T14" s="1133"/>
      <c r="U14" s="1134"/>
      <c r="V14" s="1134"/>
      <c r="W14" s="1134"/>
      <c r="X14" s="1135"/>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row>
    <row r="15" spans="1:69" ht="26.1" customHeight="1" x14ac:dyDescent="0.3">
      <c r="A15" s="99"/>
      <c r="B15" s="1153"/>
      <c r="C15" s="1154"/>
      <c r="D15" s="1133"/>
      <c r="E15" s="1134"/>
      <c r="F15" s="1134"/>
      <c r="G15" s="1134"/>
      <c r="H15" s="1135"/>
      <c r="I15" s="99"/>
      <c r="J15" s="1153"/>
      <c r="K15" s="1154"/>
      <c r="L15" s="1133"/>
      <c r="M15" s="1134"/>
      <c r="N15" s="1134"/>
      <c r="O15" s="1134"/>
      <c r="P15" s="1135"/>
      <c r="Q15" s="99"/>
      <c r="R15" s="1153"/>
      <c r="S15" s="1154"/>
      <c r="T15" s="1133"/>
      <c r="U15" s="1134"/>
      <c r="V15" s="1134"/>
      <c r="W15" s="1134"/>
      <c r="X15" s="1135"/>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row>
    <row r="16" spans="1:69" ht="26.1" customHeight="1" x14ac:dyDescent="0.3">
      <c r="A16" s="99"/>
      <c r="B16" s="1153"/>
      <c r="C16" s="1154"/>
      <c r="D16" s="1133"/>
      <c r="E16" s="1134"/>
      <c r="F16" s="1134"/>
      <c r="G16" s="1134"/>
      <c r="H16" s="1135"/>
      <c r="I16" s="99"/>
      <c r="J16" s="1153"/>
      <c r="K16" s="1154"/>
      <c r="L16" s="1133"/>
      <c r="M16" s="1134"/>
      <c r="N16" s="1134"/>
      <c r="O16" s="1134"/>
      <c r="P16" s="1135"/>
      <c r="Q16" s="99"/>
      <c r="R16" s="1153"/>
      <c r="S16" s="1154"/>
      <c r="T16" s="1133"/>
      <c r="U16" s="1134"/>
      <c r="V16" s="1134"/>
      <c r="W16" s="1134"/>
      <c r="X16" s="1135"/>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row>
    <row r="17" spans="1:69" ht="26.1" customHeight="1" x14ac:dyDescent="0.3">
      <c r="A17" s="99"/>
      <c r="B17" s="1153"/>
      <c r="C17" s="1154"/>
      <c r="D17" s="1133"/>
      <c r="E17" s="1134"/>
      <c r="F17" s="1134"/>
      <c r="G17" s="1134"/>
      <c r="H17" s="1135"/>
      <c r="I17" s="99"/>
      <c r="J17" s="1153"/>
      <c r="K17" s="1154"/>
      <c r="L17" s="1133"/>
      <c r="M17" s="1134"/>
      <c r="N17" s="1134"/>
      <c r="O17" s="1134"/>
      <c r="P17" s="1135"/>
      <c r="Q17" s="99"/>
      <c r="R17" s="1153"/>
      <c r="S17" s="1154"/>
      <c r="T17" s="1133"/>
      <c r="U17" s="1134"/>
      <c r="V17" s="1134"/>
      <c r="W17" s="1134"/>
      <c r="X17" s="1135"/>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row>
    <row r="18" spans="1:69" ht="26.1" customHeight="1" x14ac:dyDescent="0.3">
      <c r="A18" s="99"/>
      <c r="B18" s="1153"/>
      <c r="C18" s="1154"/>
      <c r="D18" s="1133"/>
      <c r="E18" s="1134"/>
      <c r="F18" s="1134"/>
      <c r="G18" s="1134"/>
      <c r="H18" s="1135"/>
      <c r="I18" s="99"/>
      <c r="J18" s="1153"/>
      <c r="K18" s="1154"/>
      <c r="L18" s="1133"/>
      <c r="M18" s="1134"/>
      <c r="N18" s="1134"/>
      <c r="O18" s="1134"/>
      <c r="P18" s="1135"/>
      <c r="Q18" s="99"/>
      <c r="R18" s="1153"/>
      <c r="S18" s="1154"/>
      <c r="T18" s="1133"/>
      <c r="U18" s="1134"/>
      <c r="V18" s="1134"/>
      <c r="W18" s="1134"/>
      <c r="X18" s="1135"/>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row>
    <row r="19" spans="1:69" ht="26.1" customHeight="1" thickBot="1" x14ac:dyDescent="0.35">
      <c r="A19" s="99"/>
      <c r="B19" s="1155"/>
      <c r="C19" s="1156"/>
      <c r="D19" s="1136"/>
      <c r="E19" s="1137"/>
      <c r="F19" s="1137"/>
      <c r="G19" s="1137"/>
      <c r="H19" s="1138"/>
      <c r="I19" s="99"/>
      <c r="J19" s="1155"/>
      <c r="K19" s="1156"/>
      <c r="L19" s="1136"/>
      <c r="M19" s="1137"/>
      <c r="N19" s="1137"/>
      <c r="O19" s="1137"/>
      <c r="P19" s="1138"/>
      <c r="Q19" s="99"/>
      <c r="R19" s="1155"/>
      <c r="S19" s="1156"/>
      <c r="T19" s="1136"/>
      <c r="U19" s="1137"/>
      <c r="V19" s="1137"/>
      <c r="W19" s="1137"/>
      <c r="X19" s="1138"/>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row>
    <row r="20" spans="1:69" ht="26.1" customHeight="1" x14ac:dyDescent="0.3">
      <c r="A20" s="99"/>
      <c r="B20" s="1139" t="s">
        <v>651</v>
      </c>
      <c r="C20" s="1140"/>
      <c r="D20" s="1130" t="s">
        <v>753</v>
      </c>
      <c r="E20" s="1131"/>
      <c r="F20" s="1131"/>
      <c r="G20" s="1131"/>
      <c r="H20" s="1132"/>
      <c r="I20" s="99"/>
      <c r="J20" s="1139" t="s">
        <v>651</v>
      </c>
      <c r="K20" s="1140"/>
      <c r="L20" s="1130" t="s">
        <v>754</v>
      </c>
      <c r="M20" s="1131"/>
      <c r="N20" s="1131"/>
      <c r="O20" s="1131"/>
      <c r="P20" s="1132"/>
      <c r="Q20" s="99"/>
      <c r="R20" s="1139" t="s">
        <v>651</v>
      </c>
      <c r="S20" s="1140"/>
      <c r="T20" s="1130" t="s">
        <v>755</v>
      </c>
      <c r="U20" s="1131"/>
      <c r="V20" s="1131"/>
      <c r="W20" s="1131"/>
      <c r="X20" s="1132"/>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row>
    <row r="21" spans="1:69" ht="26.1" customHeight="1" x14ac:dyDescent="0.3">
      <c r="A21" s="99"/>
      <c r="B21" s="1141"/>
      <c r="C21" s="1142"/>
      <c r="D21" s="1133"/>
      <c r="E21" s="1134"/>
      <c r="F21" s="1134"/>
      <c r="G21" s="1134"/>
      <c r="H21" s="1135"/>
      <c r="I21" s="99"/>
      <c r="J21" s="1141"/>
      <c r="K21" s="1142"/>
      <c r="L21" s="1133"/>
      <c r="M21" s="1134"/>
      <c r="N21" s="1134"/>
      <c r="O21" s="1134"/>
      <c r="P21" s="1135"/>
      <c r="Q21" s="99"/>
      <c r="R21" s="1141"/>
      <c r="S21" s="1142"/>
      <c r="T21" s="1133"/>
      <c r="U21" s="1134"/>
      <c r="V21" s="1134"/>
      <c r="W21" s="1134"/>
      <c r="X21" s="1135"/>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row>
    <row r="22" spans="1:69" ht="26.1" customHeight="1" x14ac:dyDescent="0.3">
      <c r="A22" s="99"/>
      <c r="B22" s="1141"/>
      <c r="C22" s="1142"/>
      <c r="D22" s="1133"/>
      <c r="E22" s="1134"/>
      <c r="F22" s="1134"/>
      <c r="G22" s="1134"/>
      <c r="H22" s="1135"/>
      <c r="I22" s="99"/>
      <c r="J22" s="1141"/>
      <c r="K22" s="1142"/>
      <c r="L22" s="1133"/>
      <c r="M22" s="1134"/>
      <c r="N22" s="1134"/>
      <c r="O22" s="1134"/>
      <c r="P22" s="1135"/>
      <c r="Q22" s="99"/>
      <c r="R22" s="1141"/>
      <c r="S22" s="1142"/>
      <c r="T22" s="1133"/>
      <c r="U22" s="1134"/>
      <c r="V22" s="1134"/>
      <c r="W22" s="1134"/>
      <c r="X22" s="1135"/>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row>
    <row r="23" spans="1:69" ht="26.1" customHeight="1" x14ac:dyDescent="0.3">
      <c r="A23" s="99"/>
      <c r="B23" s="1141"/>
      <c r="C23" s="1142"/>
      <c r="D23" s="1133"/>
      <c r="E23" s="1134"/>
      <c r="F23" s="1134"/>
      <c r="G23" s="1134"/>
      <c r="H23" s="1135"/>
      <c r="I23" s="99"/>
      <c r="J23" s="1141"/>
      <c r="K23" s="1142"/>
      <c r="L23" s="1133"/>
      <c r="M23" s="1134"/>
      <c r="N23" s="1134"/>
      <c r="O23" s="1134"/>
      <c r="P23" s="1135"/>
      <c r="Q23" s="99"/>
      <c r="R23" s="1141"/>
      <c r="S23" s="1142"/>
      <c r="T23" s="1133"/>
      <c r="U23" s="1134"/>
      <c r="V23" s="1134"/>
      <c r="W23" s="1134"/>
      <c r="X23" s="1135"/>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row>
    <row r="24" spans="1:69" ht="26.1" customHeight="1" x14ac:dyDescent="0.3">
      <c r="A24" s="99"/>
      <c r="B24" s="1141"/>
      <c r="C24" s="1142"/>
      <c r="D24" s="1133"/>
      <c r="E24" s="1134"/>
      <c r="F24" s="1134"/>
      <c r="G24" s="1134"/>
      <c r="H24" s="1135"/>
      <c r="I24" s="99"/>
      <c r="J24" s="1141"/>
      <c r="K24" s="1142"/>
      <c r="L24" s="1133"/>
      <c r="M24" s="1134"/>
      <c r="N24" s="1134"/>
      <c r="O24" s="1134"/>
      <c r="P24" s="1135"/>
      <c r="Q24" s="99"/>
      <c r="R24" s="1141"/>
      <c r="S24" s="1142"/>
      <c r="T24" s="1133"/>
      <c r="U24" s="1134"/>
      <c r="V24" s="1134"/>
      <c r="W24" s="1134"/>
      <c r="X24" s="1135"/>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row>
    <row r="25" spans="1:69" ht="26.1" customHeight="1" x14ac:dyDescent="0.3">
      <c r="A25" s="99"/>
      <c r="B25" s="1141"/>
      <c r="C25" s="1142"/>
      <c r="D25" s="1133"/>
      <c r="E25" s="1134"/>
      <c r="F25" s="1134"/>
      <c r="G25" s="1134"/>
      <c r="H25" s="1135"/>
      <c r="I25" s="99"/>
      <c r="J25" s="1141"/>
      <c r="K25" s="1142"/>
      <c r="L25" s="1133"/>
      <c r="M25" s="1134"/>
      <c r="N25" s="1134"/>
      <c r="O25" s="1134"/>
      <c r="P25" s="1135"/>
      <c r="Q25" s="99"/>
      <c r="R25" s="1141"/>
      <c r="S25" s="1142"/>
      <c r="T25" s="1133"/>
      <c r="U25" s="1134"/>
      <c r="V25" s="1134"/>
      <c r="W25" s="1134"/>
      <c r="X25" s="1135"/>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row>
    <row r="26" spans="1:69" ht="26.1" customHeight="1" x14ac:dyDescent="0.3">
      <c r="A26" s="99"/>
      <c r="B26" s="1141"/>
      <c r="C26" s="1142"/>
      <c r="D26" s="1133"/>
      <c r="E26" s="1134"/>
      <c r="F26" s="1134"/>
      <c r="G26" s="1134"/>
      <c r="H26" s="1135"/>
      <c r="I26" s="99"/>
      <c r="J26" s="1141"/>
      <c r="K26" s="1142"/>
      <c r="L26" s="1133"/>
      <c r="M26" s="1134"/>
      <c r="N26" s="1134"/>
      <c r="O26" s="1134"/>
      <c r="P26" s="1135"/>
      <c r="Q26" s="99"/>
      <c r="R26" s="1141"/>
      <c r="S26" s="1142"/>
      <c r="T26" s="1133"/>
      <c r="U26" s="1134"/>
      <c r="V26" s="1134"/>
      <c r="W26" s="1134"/>
      <c r="X26" s="1135"/>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row>
    <row r="27" spans="1:69" ht="26.1" customHeight="1" thickBot="1" x14ac:dyDescent="0.35">
      <c r="A27" s="99"/>
      <c r="B27" s="1143"/>
      <c r="C27" s="1144"/>
      <c r="D27" s="1136"/>
      <c r="E27" s="1137"/>
      <c r="F27" s="1137"/>
      <c r="G27" s="1137"/>
      <c r="H27" s="1138"/>
      <c r="I27" s="99"/>
      <c r="J27" s="1143"/>
      <c r="K27" s="1144"/>
      <c r="L27" s="1136"/>
      <c r="M27" s="1137"/>
      <c r="N27" s="1137"/>
      <c r="O27" s="1137"/>
      <c r="P27" s="1138"/>
      <c r="Q27" s="99"/>
      <c r="R27" s="1143"/>
      <c r="S27" s="1144"/>
      <c r="T27" s="1136"/>
      <c r="U27" s="1137"/>
      <c r="V27" s="1137"/>
      <c r="W27" s="1137"/>
      <c r="X27" s="1138"/>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row>
    <row r="28" spans="1:69" ht="26.1" customHeight="1" x14ac:dyDescent="0.3">
      <c r="A28" s="99"/>
      <c r="B28" s="1145" t="s">
        <v>652</v>
      </c>
      <c r="C28" s="1146"/>
      <c r="D28" s="1130" t="s">
        <v>656</v>
      </c>
      <c r="E28" s="1131"/>
      <c r="F28" s="1131"/>
      <c r="G28" s="1131"/>
      <c r="H28" s="1132"/>
      <c r="I28" s="99"/>
      <c r="J28" s="1145" t="s">
        <v>652</v>
      </c>
      <c r="K28" s="1146"/>
      <c r="L28" s="1130" t="s">
        <v>657</v>
      </c>
      <c r="M28" s="1131"/>
      <c r="N28" s="1131"/>
      <c r="O28" s="1131"/>
      <c r="P28" s="1132"/>
      <c r="Q28" s="99"/>
      <c r="R28" s="1145" t="s">
        <v>652</v>
      </c>
      <c r="S28" s="1146"/>
      <c r="T28" s="1130" t="s">
        <v>658</v>
      </c>
      <c r="U28" s="1131"/>
      <c r="V28" s="1131"/>
      <c r="W28" s="1131"/>
      <c r="X28" s="1132"/>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row>
    <row r="29" spans="1:69" ht="26.1" customHeight="1" x14ac:dyDescent="0.3">
      <c r="A29" s="99"/>
      <c r="B29" s="1147"/>
      <c r="C29" s="1148"/>
      <c r="D29" s="1133"/>
      <c r="E29" s="1134"/>
      <c r="F29" s="1134"/>
      <c r="G29" s="1134"/>
      <c r="H29" s="1135"/>
      <c r="I29" s="99"/>
      <c r="J29" s="1147"/>
      <c r="K29" s="1148"/>
      <c r="L29" s="1133"/>
      <c r="M29" s="1134"/>
      <c r="N29" s="1134"/>
      <c r="O29" s="1134"/>
      <c r="P29" s="1135"/>
      <c r="Q29" s="99"/>
      <c r="R29" s="1147"/>
      <c r="S29" s="1148"/>
      <c r="T29" s="1133"/>
      <c r="U29" s="1134"/>
      <c r="V29" s="1134"/>
      <c r="W29" s="1134"/>
      <c r="X29" s="1135"/>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row>
    <row r="30" spans="1:69" ht="26.1" customHeight="1" x14ac:dyDescent="0.3">
      <c r="A30" s="99"/>
      <c r="B30" s="1147"/>
      <c r="C30" s="1148"/>
      <c r="D30" s="1133"/>
      <c r="E30" s="1134"/>
      <c r="F30" s="1134"/>
      <c r="G30" s="1134"/>
      <c r="H30" s="1135"/>
      <c r="I30" s="99"/>
      <c r="J30" s="1147"/>
      <c r="K30" s="1148"/>
      <c r="L30" s="1133"/>
      <c r="M30" s="1134"/>
      <c r="N30" s="1134"/>
      <c r="O30" s="1134"/>
      <c r="P30" s="1135"/>
      <c r="Q30" s="99"/>
      <c r="R30" s="1147"/>
      <c r="S30" s="1148"/>
      <c r="T30" s="1133"/>
      <c r="U30" s="1134"/>
      <c r="V30" s="1134"/>
      <c r="W30" s="1134"/>
      <c r="X30" s="1135"/>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row>
    <row r="31" spans="1:69" ht="26.1" customHeight="1" x14ac:dyDescent="0.3">
      <c r="A31" s="99"/>
      <c r="B31" s="1147"/>
      <c r="C31" s="1148"/>
      <c r="D31" s="1133"/>
      <c r="E31" s="1134"/>
      <c r="F31" s="1134"/>
      <c r="G31" s="1134"/>
      <c r="H31" s="1135"/>
      <c r="I31" s="99"/>
      <c r="J31" s="1147"/>
      <c r="K31" s="1148"/>
      <c r="L31" s="1133"/>
      <c r="M31" s="1134"/>
      <c r="N31" s="1134"/>
      <c r="O31" s="1134"/>
      <c r="P31" s="1135"/>
      <c r="Q31" s="99"/>
      <c r="R31" s="1147"/>
      <c r="S31" s="1148"/>
      <c r="T31" s="1133"/>
      <c r="U31" s="1134"/>
      <c r="V31" s="1134"/>
      <c r="W31" s="1134"/>
      <c r="X31" s="1135"/>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row>
    <row r="32" spans="1:69" ht="26.1" customHeight="1" x14ac:dyDescent="0.3">
      <c r="A32" s="99"/>
      <c r="B32" s="1147"/>
      <c r="C32" s="1148"/>
      <c r="D32" s="1133"/>
      <c r="E32" s="1134"/>
      <c r="F32" s="1134"/>
      <c r="G32" s="1134"/>
      <c r="H32" s="1135"/>
      <c r="I32" s="99"/>
      <c r="J32" s="1147"/>
      <c r="K32" s="1148"/>
      <c r="L32" s="1133"/>
      <c r="M32" s="1134"/>
      <c r="N32" s="1134"/>
      <c r="O32" s="1134"/>
      <c r="P32" s="1135"/>
      <c r="Q32" s="99"/>
      <c r="R32" s="1147"/>
      <c r="S32" s="1148"/>
      <c r="T32" s="1133"/>
      <c r="U32" s="1134"/>
      <c r="V32" s="1134"/>
      <c r="W32" s="1134"/>
      <c r="X32" s="1135"/>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row>
    <row r="33" spans="1:69" ht="26.1" customHeight="1" x14ac:dyDescent="0.3">
      <c r="A33" s="99"/>
      <c r="B33" s="1147"/>
      <c r="C33" s="1148"/>
      <c r="D33" s="1133"/>
      <c r="E33" s="1134"/>
      <c r="F33" s="1134"/>
      <c r="G33" s="1134"/>
      <c r="H33" s="1135"/>
      <c r="I33" s="99"/>
      <c r="J33" s="1147"/>
      <c r="K33" s="1148"/>
      <c r="L33" s="1133"/>
      <c r="M33" s="1134"/>
      <c r="N33" s="1134"/>
      <c r="O33" s="1134"/>
      <c r="P33" s="1135"/>
      <c r="Q33" s="99"/>
      <c r="R33" s="1147"/>
      <c r="S33" s="1148"/>
      <c r="T33" s="1133"/>
      <c r="U33" s="1134"/>
      <c r="V33" s="1134"/>
      <c r="W33" s="1134"/>
      <c r="X33" s="1135"/>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row>
    <row r="34" spans="1:69" ht="26.1" customHeight="1" x14ac:dyDescent="0.3">
      <c r="A34" s="99"/>
      <c r="B34" s="1147"/>
      <c r="C34" s="1148"/>
      <c r="D34" s="1133"/>
      <c r="E34" s="1134"/>
      <c r="F34" s="1134"/>
      <c r="G34" s="1134"/>
      <c r="H34" s="1135"/>
      <c r="I34" s="99"/>
      <c r="J34" s="1147"/>
      <c r="K34" s="1148"/>
      <c r="L34" s="1133"/>
      <c r="M34" s="1134"/>
      <c r="N34" s="1134"/>
      <c r="O34" s="1134"/>
      <c r="P34" s="1135"/>
      <c r="Q34" s="99"/>
      <c r="R34" s="1147"/>
      <c r="S34" s="1148"/>
      <c r="T34" s="1133"/>
      <c r="U34" s="1134"/>
      <c r="V34" s="1134"/>
      <c r="W34" s="1134"/>
      <c r="X34" s="1135"/>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c r="BP34" s="99"/>
      <c r="BQ34" s="99"/>
    </row>
    <row r="35" spans="1:69" ht="26.1" customHeight="1" thickBot="1" x14ac:dyDescent="0.35">
      <c r="A35" s="99"/>
      <c r="B35" s="1149"/>
      <c r="C35" s="1150"/>
      <c r="D35" s="1136"/>
      <c r="E35" s="1137"/>
      <c r="F35" s="1137"/>
      <c r="G35" s="1137"/>
      <c r="H35" s="1138"/>
      <c r="I35" s="99"/>
      <c r="J35" s="1149"/>
      <c r="K35" s="1150"/>
      <c r="L35" s="1136"/>
      <c r="M35" s="1137"/>
      <c r="N35" s="1137"/>
      <c r="O35" s="1137"/>
      <c r="P35" s="1138"/>
      <c r="Q35" s="99"/>
      <c r="R35" s="1149"/>
      <c r="S35" s="1150"/>
      <c r="T35" s="1136"/>
      <c r="U35" s="1137"/>
      <c r="V35" s="1137"/>
      <c r="W35" s="1137"/>
      <c r="X35" s="1138"/>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row>
    <row r="36" spans="1:69" ht="26.1" customHeight="1" x14ac:dyDescent="0.3">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row>
    <row r="37" spans="1:69" ht="24" customHeight="1" x14ac:dyDescent="0.3">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row>
    <row r="38" spans="1:69" x14ac:dyDescent="0.3">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row>
    <row r="39" spans="1:69" x14ac:dyDescent="0.3">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row>
    <row r="40" spans="1:69" x14ac:dyDescent="0.3">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row>
    <row r="41" spans="1:69" x14ac:dyDescent="0.3">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row>
    <row r="42" spans="1:69" x14ac:dyDescent="0.3">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row>
    <row r="43" spans="1:69" x14ac:dyDescent="0.3">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row>
    <row r="44" spans="1:69" x14ac:dyDescent="0.3">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row>
    <row r="45" spans="1:69" x14ac:dyDescent="0.3">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row>
    <row r="46" spans="1:69" x14ac:dyDescent="0.3">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row>
    <row r="47" spans="1:69" x14ac:dyDescent="0.3">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row>
    <row r="48" spans="1:69" x14ac:dyDescent="0.3">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row>
    <row r="49" spans="1:69" x14ac:dyDescent="0.3">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row>
    <row r="50" spans="1:69" x14ac:dyDescent="0.3">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row>
    <row r="51" spans="1:69" x14ac:dyDescent="0.3">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row>
    <row r="52" spans="1:69" x14ac:dyDescent="0.3">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row>
    <row r="53" spans="1:69" x14ac:dyDescent="0.3">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row>
    <row r="54" spans="1:69" x14ac:dyDescent="0.3">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row>
    <row r="55" spans="1:69" x14ac:dyDescent="0.3">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row>
    <row r="56" spans="1:69" x14ac:dyDescent="0.3">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row>
    <row r="57" spans="1:69" x14ac:dyDescent="0.3">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row>
    <row r="58" spans="1:69" x14ac:dyDescent="0.3">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row>
    <row r="59" spans="1:69" x14ac:dyDescent="0.3">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row>
    <row r="60" spans="1:69" x14ac:dyDescent="0.3">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row>
    <row r="61" spans="1:69" x14ac:dyDescent="0.3">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row>
    <row r="62" spans="1:69" x14ac:dyDescent="0.3">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row>
    <row r="63" spans="1:69" x14ac:dyDescent="0.3">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row>
    <row r="64" spans="1:69" x14ac:dyDescent="0.3">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c r="BO64" s="99"/>
      <c r="BP64" s="99"/>
      <c r="BQ64" s="99"/>
    </row>
    <row r="65" spans="1:69" x14ac:dyDescent="0.3">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row>
    <row r="66" spans="1:69" x14ac:dyDescent="0.3">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row>
    <row r="67" spans="1:69" x14ac:dyDescent="0.3">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row>
    <row r="68" spans="1:69" x14ac:dyDescent="0.3">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row>
    <row r="69" spans="1:69" x14ac:dyDescent="0.3">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row>
    <row r="70" spans="1:69" x14ac:dyDescent="0.3">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row>
    <row r="71" spans="1:69" x14ac:dyDescent="0.3">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row>
    <row r="72" spans="1:69" x14ac:dyDescent="0.3">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row>
    <row r="73" spans="1:69" x14ac:dyDescent="0.3">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row>
    <row r="74" spans="1:69" x14ac:dyDescent="0.3">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row>
    <row r="75" spans="1:69" x14ac:dyDescent="0.3">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row>
    <row r="76" spans="1:69" x14ac:dyDescent="0.3">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row>
    <row r="77" spans="1:69" x14ac:dyDescent="0.3">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c r="BQ77" s="99"/>
    </row>
    <row r="78" spans="1:69" x14ac:dyDescent="0.3">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c r="BO78" s="99"/>
      <c r="BP78" s="99"/>
      <c r="BQ78" s="99"/>
    </row>
    <row r="79" spans="1:69" x14ac:dyDescent="0.3">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c r="BO79" s="99"/>
      <c r="BP79" s="99"/>
      <c r="BQ79" s="99"/>
    </row>
    <row r="80" spans="1:69" x14ac:dyDescent="0.3">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row>
    <row r="81" spans="1:69" x14ac:dyDescent="0.3">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c r="BP81" s="99"/>
      <c r="BQ81" s="99"/>
    </row>
    <row r="82" spans="1:69" x14ac:dyDescent="0.3">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row>
    <row r="83" spans="1:69" x14ac:dyDescent="0.3">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row>
    <row r="84" spans="1:69" x14ac:dyDescent="0.3">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row>
    <row r="85" spans="1:69" x14ac:dyDescent="0.3">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row>
    <row r="86" spans="1:69" x14ac:dyDescent="0.3">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row>
    <row r="87" spans="1:69" x14ac:dyDescent="0.3">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row>
    <row r="88" spans="1:69" x14ac:dyDescent="0.3">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row>
  </sheetData>
  <mergeCells count="27">
    <mergeCell ref="B2:H3"/>
    <mergeCell ref="J2:P3"/>
    <mergeCell ref="R2:X3"/>
    <mergeCell ref="B4:C11"/>
    <mergeCell ref="R4:S11"/>
    <mergeCell ref="T4:X11"/>
    <mergeCell ref="L4:P11"/>
    <mergeCell ref="B20:C27"/>
    <mergeCell ref="B28:C35"/>
    <mergeCell ref="J4:K11"/>
    <mergeCell ref="B12:C19"/>
    <mergeCell ref="J20:K27"/>
    <mergeCell ref="J28:K35"/>
    <mergeCell ref="D4:H11"/>
    <mergeCell ref="D12:H19"/>
    <mergeCell ref="D20:H27"/>
    <mergeCell ref="D28:H35"/>
    <mergeCell ref="T28:X35"/>
    <mergeCell ref="R20:S27"/>
    <mergeCell ref="R28:S35"/>
    <mergeCell ref="J12:K19"/>
    <mergeCell ref="R12:S19"/>
    <mergeCell ref="T12:X19"/>
    <mergeCell ref="L12:P19"/>
    <mergeCell ref="L20:P27"/>
    <mergeCell ref="T20:X27"/>
    <mergeCell ref="L28:P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121"/>
  <sheetViews>
    <sheetView zoomScale="70" zoomScaleNormal="70" workbookViewId="0">
      <selection activeCell="C37" sqref="C37"/>
    </sheetView>
  </sheetViews>
  <sheetFormatPr defaultRowHeight="14.4" x14ac:dyDescent="0.3"/>
  <cols>
    <col min="1" max="10" width="18.44140625" customWidth="1"/>
    <col min="11" max="11" width="19.33203125" customWidth="1"/>
    <col min="12" max="14" width="18.44140625" customWidth="1"/>
  </cols>
  <sheetData>
    <row r="1" spans="1:18" x14ac:dyDescent="0.3">
      <c r="A1" t="s">
        <v>1</v>
      </c>
    </row>
    <row r="3" spans="1:18" x14ac:dyDescent="0.3">
      <c r="B3" t="s">
        <v>72</v>
      </c>
      <c r="J3" t="s">
        <v>44</v>
      </c>
      <c r="K3" t="s">
        <v>59</v>
      </c>
      <c r="L3" t="s">
        <v>51</v>
      </c>
      <c r="M3" t="s">
        <v>5</v>
      </c>
      <c r="N3" t="s">
        <v>75</v>
      </c>
      <c r="Q3" t="s">
        <v>67</v>
      </c>
      <c r="R3" t="s">
        <v>38</v>
      </c>
    </row>
    <row r="4" spans="1:18" x14ac:dyDescent="0.3">
      <c r="B4" t="e">
        <f>(VLOOKUP(N7,Table1585[#All],N10+2,FALSE))+K28+E45+M51</f>
        <v>#VALUE!</v>
      </c>
      <c r="C4">
        <f>(VLOOKUP(N7,Table158598[#All],N10+2,FALSE))+K28+E45+N51</f>
        <v>0</v>
      </c>
      <c r="J4">
        <v>1</v>
      </c>
      <c r="K4" t="s">
        <v>25</v>
      </c>
      <c r="L4">
        <f>IF(K34=FALSE,B21,A106)</f>
        <v>154.99</v>
      </c>
      <c r="M4">
        <f>IF(K34=FALSE,C21,B106)</f>
        <v>169.99</v>
      </c>
      <c r="N4">
        <v>1</v>
      </c>
      <c r="Q4">
        <f>VLOOKUP(N4,Table1987[#All],3,FALSE)</f>
        <v>154.99</v>
      </c>
      <c r="R4">
        <f>VLOOKUP(N4,Table1987[#All],4,FALSE)</f>
        <v>169.99</v>
      </c>
    </row>
    <row r="5" spans="1:18" ht="15" thickBot="1" x14ac:dyDescent="0.35">
      <c r="B5" s="2" t="s">
        <v>49</v>
      </c>
      <c r="C5" s="2" t="s">
        <v>76</v>
      </c>
      <c r="D5" s="215" t="s">
        <v>520</v>
      </c>
      <c r="E5" t="s">
        <v>525</v>
      </c>
      <c r="F5" t="s">
        <v>521</v>
      </c>
      <c r="G5" t="s">
        <v>523</v>
      </c>
      <c r="H5" t="s">
        <v>522</v>
      </c>
      <c r="I5" t="s">
        <v>811</v>
      </c>
      <c r="J5">
        <v>2</v>
      </c>
      <c r="K5" t="s">
        <v>20</v>
      </c>
      <c r="L5">
        <f>IF(K34=FALSE,B30,A115)</f>
        <v>29.99</v>
      </c>
      <c r="M5">
        <f>IF(K34=FALSE,C30,B115)</f>
        <v>39.99</v>
      </c>
    </row>
    <row r="6" spans="1:18" ht="15" thickTop="1" x14ac:dyDescent="0.3">
      <c r="B6" s="3">
        <v>1</v>
      </c>
      <c r="C6" s="3" t="s">
        <v>538</v>
      </c>
      <c r="D6" t="s">
        <v>103</v>
      </c>
      <c r="E6">
        <v>54.99</v>
      </c>
      <c r="F6">
        <v>69.989999999999995</v>
      </c>
      <c r="G6">
        <v>79.989999999999995</v>
      </c>
      <c r="H6">
        <v>99.99</v>
      </c>
      <c r="I6">
        <v>139.99</v>
      </c>
      <c r="J6">
        <v>3</v>
      </c>
      <c r="K6" t="s">
        <v>24</v>
      </c>
      <c r="L6">
        <f>C40</f>
        <v>10</v>
      </c>
      <c r="M6">
        <f>D40</f>
        <v>10</v>
      </c>
      <c r="N6" t="s">
        <v>8</v>
      </c>
      <c r="Q6" t="s">
        <v>64</v>
      </c>
    </row>
    <row r="7" spans="1:18" x14ac:dyDescent="0.3">
      <c r="B7" s="4">
        <v>2</v>
      </c>
      <c r="C7" s="4" t="s">
        <v>539</v>
      </c>
      <c r="D7" t="s">
        <v>103</v>
      </c>
      <c r="E7">
        <v>117.98</v>
      </c>
      <c r="F7">
        <v>89.99</v>
      </c>
      <c r="G7">
        <v>99.99</v>
      </c>
      <c r="H7">
        <v>119.99</v>
      </c>
      <c r="I7">
        <v>144.99</v>
      </c>
      <c r="J7">
        <v>4</v>
      </c>
      <c r="K7" t="s">
        <v>21</v>
      </c>
      <c r="L7" t="e">
        <f>IF(K34=FALSE,B4,B75)</f>
        <v>#VALUE!</v>
      </c>
      <c r="M7">
        <f>C4</f>
        <v>0</v>
      </c>
      <c r="N7">
        <v>4</v>
      </c>
      <c r="Q7">
        <f>80+F45</f>
        <v>80</v>
      </c>
    </row>
    <row r="8" spans="1:18" x14ac:dyDescent="0.3">
      <c r="B8" s="3">
        <v>3</v>
      </c>
      <c r="C8" s="3" t="s">
        <v>540</v>
      </c>
      <c r="D8" t="s">
        <v>103</v>
      </c>
      <c r="E8">
        <v>144.47999999999999</v>
      </c>
      <c r="F8">
        <v>163.47999999999999</v>
      </c>
      <c r="G8">
        <v>174.48</v>
      </c>
      <c r="H8">
        <v>191.48</v>
      </c>
      <c r="I8">
        <v>144.99</v>
      </c>
      <c r="J8">
        <v>5</v>
      </c>
      <c r="K8" t="s">
        <v>26</v>
      </c>
      <c r="L8">
        <f>IF(K34=FALSE,E21,D106)</f>
        <v>0</v>
      </c>
      <c r="M8">
        <f>IF(K34=FALSE,F21,B106)</f>
        <v>0</v>
      </c>
    </row>
    <row r="9" spans="1:18" x14ac:dyDescent="0.3">
      <c r="B9" s="5">
        <v>4</v>
      </c>
      <c r="C9" s="5" t="s">
        <v>528</v>
      </c>
      <c r="D9" t="s">
        <v>103</v>
      </c>
      <c r="E9">
        <v>144.97999999999999</v>
      </c>
      <c r="F9">
        <v>176.98</v>
      </c>
      <c r="G9">
        <v>187.98</v>
      </c>
      <c r="H9">
        <v>129.99</v>
      </c>
      <c r="I9">
        <v>144.99</v>
      </c>
      <c r="J9">
        <v>6</v>
      </c>
      <c r="K9" t="s">
        <v>73</v>
      </c>
      <c r="L9">
        <f>IF(K34=FALSE,F31,E115)</f>
        <v>39.99</v>
      </c>
      <c r="M9">
        <f>IF(K34=FALSE,G31,F115)</f>
        <v>67.98</v>
      </c>
      <c r="N9" t="s">
        <v>12</v>
      </c>
    </row>
    <row r="10" spans="1:18" ht="18" customHeight="1" x14ac:dyDescent="0.3">
      <c r="B10">
        <v>5</v>
      </c>
      <c r="D10" t="s">
        <v>103</v>
      </c>
      <c r="E10" t="s">
        <v>103</v>
      </c>
      <c r="F10" t="s">
        <v>103</v>
      </c>
      <c r="G10" t="s">
        <v>103</v>
      </c>
      <c r="H10" t="s">
        <v>103</v>
      </c>
      <c r="J10">
        <v>7</v>
      </c>
      <c r="K10" t="s">
        <v>71</v>
      </c>
      <c r="L10" t="e">
        <f>IF(K34=FALSE,B12,B90)</f>
        <v>#VALUE!</v>
      </c>
      <c r="M10">
        <f>IF(K34=FALSE,C12,B97)</f>
        <v>0</v>
      </c>
      <c r="N10">
        <v>1</v>
      </c>
    </row>
    <row r="11" spans="1:18" x14ac:dyDescent="0.3">
      <c r="B11" t="s">
        <v>78</v>
      </c>
      <c r="C11" t="s">
        <v>79</v>
      </c>
    </row>
    <row r="12" spans="1:18" x14ac:dyDescent="0.3">
      <c r="B12" t="e">
        <f>VLOOKUP(N7,Table151786[#All],N10+2,FALSE)+K28+E45+K37+M51</f>
        <v>#VALUE!</v>
      </c>
      <c r="C12">
        <f>VLOOKUP(N7,Table15178699[#All],N10+2,FALSE)+E45+N51</f>
        <v>0</v>
      </c>
    </row>
    <row r="13" spans="1:18" ht="15" thickBot="1" x14ac:dyDescent="0.35">
      <c r="B13" s="2" t="s">
        <v>49</v>
      </c>
      <c r="C13" s="2" t="s">
        <v>77</v>
      </c>
      <c r="D13" s="215" t="s">
        <v>520</v>
      </c>
      <c r="E13" t="s">
        <v>525</v>
      </c>
      <c r="F13" t="s">
        <v>521</v>
      </c>
      <c r="G13" t="s">
        <v>523</v>
      </c>
      <c r="H13" t="s">
        <v>522</v>
      </c>
      <c r="I13" t="s">
        <v>812</v>
      </c>
    </row>
    <row r="14" spans="1:18" ht="15" thickTop="1" x14ac:dyDescent="0.3">
      <c r="B14" s="3">
        <v>1</v>
      </c>
      <c r="C14" s="3" t="s">
        <v>538</v>
      </c>
      <c r="D14" t="s">
        <v>103</v>
      </c>
      <c r="E14">
        <v>64.989999999999995</v>
      </c>
      <c r="F14">
        <v>109.99</v>
      </c>
      <c r="G14">
        <v>109.99</v>
      </c>
      <c r="H14">
        <v>109.99</v>
      </c>
      <c r="I14">
        <v>139.99</v>
      </c>
    </row>
    <row r="15" spans="1:18" x14ac:dyDescent="0.3">
      <c r="B15" s="4">
        <v>2</v>
      </c>
      <c r="C15" s="4" t="s">
        <v>539</v>
      </c>
      <c r="D15" t="s">
        <v>103</v>
      </c>
      <c r="E15">
        <v>89.99</v>
      </c>
      <c r="F15" s="95">
        <v>89.99</v>
      </c>
      <c r="G15">
        <v>109.99</v>
      </c>
      <c r="H15">
        <v>129.99</v>
      </c>
      <c r="I15">
        <v>144.99</v>
      </c>
    </row>
    <row r="16" spans="1:18" x14ac:dyDescent="0.3">
      <c r="B16" s="3">
        <v>3</v>
      </c>
      <c r="C16" s="3" t="s">
        <v>540</v>
      </c>
      <c r="D16" t="s">
        <v>103</v>
      </c>
      <c r="E16">
        <v>109.99</v>
      </c>
      <c r="F16">
        <v>109.99</v>
      </c>
      <c r="G16" s="95">
        <v>109.99</v>
      </c>
      <c r="H16">
        <v>129.99</v>
      </c>
      <c r="I16">
        <v>144.99</v>
      </c>
    </row>
    <row r="17" spans="2:12" x14ac:dyDescent="0.3">
      <c r="B17" s="5">
        <v>4</v>
      </c>
      <c r="C17" s="5" t="s">
        <v>528</v>
      </c>
      <c r="D17" t="s">
        <v>103</v>
      </c>
      <c r="E17">
        <v>129.99</v>
      </c>
      <c r="F17">
        <v>129.99</v>
      </c>
      <c r="G17">
        <v>129.99</v>
      </c>
      <c r="H17">
        <v>129.99</v>
      </c>
      <c r="I17">
        <v>144.99</v>
      </c>
    </row>
    <row r="18" spans="2:12" x14ac:dyDescent="0.3">
      <c r="B18">
        <v>5</v>
      </c>
      <c r="D18" t="s">
        <v>103</v>
      </c>
      <c r="E18" t="s">
        <v>103</v>
      </c>
      <c r="F18" t="s">
        <v>103</v>
      </c>
      <c r="G18" t="s">
        <v>103</v>
      </c>
      <c r="H18" t="s">
        <v>103</v>
      </c>
    </row>
    <row r="20" spans="2:12" x14ac:dyDescent="0.3">
      <c r="B20" t="s">
        <v>62</v>
      </c>
      <c r="C20" t="s">
        <v>157</v>
      </c>
      <c r="D20" t="s">
        <v>529</v>
      </c>
      <c r="E20" t="s">
        <v>26</v>
      </c>
      <c r="F20" t="s">
        <v>157</v>
      </c>
    </row>
    <row r="21" spans="2:12" x14ac:dyDescent="0.3">
      <c r="B21">
        <f>VLOOKUP(N7,Verizon_TV52[#All],3,FALSE)+K28+E45+K37+M51</f>
        <v>154.99</v>
      </c>
      <c r="C21">
        <f>B21+N51+ D21</f>
        <v>169.99</v>
      </c>
      <c r="D21">
        <v>15</v>
      </c>
      <c r="E21">
        <f>VLOOKUP(N7,Verizon_TV52[#All],4,FALSE)+K28+E45+K37+M51</f>
        <v>0</v>
      </c>
      <c r="F21">
        <f>E21+N51</f>
        <v>0</v>
      </c>
    </row>
    <row r="22" spans="2:12" x14ac:dyDescent="0.3">
      <c r="B22" s="1165" t="s">
        <v>62</v>
      </c>
      <c r="C22" s="1165"/>
      <c r="D22" s="1165"/>
      <c r="E22" t="s">
        <v>24</v>
      </c>
      <c r="J22" t="s">
        <v>534</v>
      </c>
      <c r="K22">
        <v>12.99</v>
      </c>
    </row>
    <row r="23" spans="2:12" x14ac:dyDescent="0.3">
      <c r="B23" t="s">
        <v>49</v>
      </c>
      <c r="C23" t="s">
        <v>0</v>
      </c>
      <c r="D23" t="s">
        <v>68</v>
      </c>
      <c r="E23" t="s">
        <v>70</v>
      </c>
      <c r="F23" t="s">
        <v>134</v>
      </c>
      <c r="H23" t="s">
        <v>69</v>
      </c>
      <c r="J23" t="s">
        <v>206</v>
      </c>
      <c r="K23">
        <f>IF(L24=FALSE,K22,K24)</f>
        <v>12.99</v>
      </c>
    </row>
    <row r="24" spans="2:12" x14ac:dyDescent="0.3">
      <c r="B24">
        <v>1</v>
      </c>
      <c r="C24" t="s">
        <v>526</v>
      </c>
      <c r="D24">
        <v>64.989999999999995</v>
      </c>
      <c r="E24">
        <v>74.989999999999995</v>
      </c>
      <c r="F24">
        <v>114.98</v>
      </c>
      <c r="J24" t="s">
        <v>536</v>
      </c>
      <c r="K24">
        <v>19.989999999999998</v>
      </c>
      <c r="L24" t="b">
        <v>0</v>
      </c>
    </row>
    <row r="25" spans="2:12" x14ac:dyDescent="0.3">
      <c r="B25">
        <v>2</v>
      </c>
      <c r="C25" t="s">
        <v>527</v>
      </c>
      <c r="D25">
        <v>76.489999999999995</v>
      </c>
      <c r="J25" t="s">
        <v>28</v>
      </c>
    </row>
    <row r="26" spans="2:12" x14ac:dyDescent="0.3">
      <c r="B26">
        <v>3</v>
      </c>
      <c r="C26" t="s">
        <v>528</v>
      </c>
      <c r="D26">
        <v>89.99</v>
      </c>
      <c r="E26">
        <v>114.99</v>
      </c>
      <c r="F26">
        <v>138.97999999999999</v>
      </c>
      <c r="J26" t="s">
        <v>29</v>
      </c>
    </row>
    <row r="27" spans="2:12" x14ac:dyDescent="0.3">
      <c r="B27">
        <v>4</v>
      </c>
      <c r="D27">
        <v>154.99</v>
      </c>
    </row>
    <row r="28" spans="2:12" x14ac:dyDescent="0.3">
      <c r="C28" t="s">
        <v>280</v>
      </c>
      <c r="J28">
        <v>1</v>
      </c>
      <c r="K28" s="27"/>
    </row>
    <row r="29" spans="2:12" x14ac:dyDescent="0.3">
      <c r="B29" t="s">
        <v>81</v>
      </c>
      <c r="C29" t="s">
        <v>79</v>
      </c>
    </row>
    <row r="30" spans="2:12" x14ac:dyDescent="0.3">
      <c r="B30">
        <f>VLOOKUP(N10,Verizon_Internet83[#All],3,FALSE)+E45</f>
        <v>29.99</v>
      </c>
      <c r="C30">
        <f>VLOOKUP(N10,Verizon_Internet83[#All],4,FALSE)+E45</f>
        <v>39.99</v>
      </c>
      <c r="F30" t="s">
        <v>80</v>
      </c>
      <c r="G30" t="s">
        <v>143</v>
      </c>
    </row>
    <row r="31" spans="2:12" x14ac:dyDescent="0.3">
      <c r="B31" s="1165" t="s">
        <v>65</v>
      </c>
      <c r="C31" s="1165"/>
      <c r="D31" s="1165"/>
      <c r="E31" s="1165"/>
      <c r="F31">
        <f>VLOOKUP(N10,Verizon_Internet83[#All],5,FALSE)+E45</f>
        <v>39.99</v>
      </c>
      <c r="G31">
        <f>VLOOKUP(N10,Verizon_Internet83[#All],6,FALSE)+E45</f>
        <v>67.98</v>
      </c>
    </row>
    <row r="32" spans="2:12" x14ac:dyDescent="0.3">
      <c r="B32" t="s">
        <v>49</v>
      </c>
      <c r="C32" t="s">
        <v>0</v>
      </c>
      <c r="D32" t="s">
        <v>39</v>
      </c>
      <c r="E32" t="s">
        <v>38</v>
      </c>
      <c r="F32" t="s">
        <v>70</v>
      </c>
      <c r="G32" t="s">
        <v>134</v>
      </c>
    </row>
    <row r="33" spans="1:14" x14ac:dyDescent="0.3">
      <c r="B33">
        <v>1</v>
      </c>
      <c r="C33" s="215" t="s">
        <v>524</v>
      </c>
      <c r="D33">
        <v>29.99</v>
      </c>
      <c r="E33">
        <v>39.99</v>
      </c>
      <c r="F33">
        <v>39.99</v>
      </c>
      <c r="G33">
        <v>67.98</v>
      </c>
      <c r="K33" s="87"/>
    </row>
    <row r="34" spans="1:14" x14ac:dyDescent="0.3">
      <c r="B34">
        <v>2</v>
      </c>
      <c r="C34" t="s">
        <v>525</v>
      </c>
      <c r="D34">
        <v>39.99</v>
      </c>
      <c r="E34">
        <v>62.99</v>
      </c>
      <c r="F34">
        <v>49.99</v>
      </c>
      <c r="G34">
        <v>87.98</v>
      </c>
      <c r="K34" s="87"/>
    </row>
    <row r="35" spans="1:14" x14ac:dyDescent="0.3">
      <c r="B35">
        <v>3</v>
      </c>
      <c r="C35" t="s">
        <v>521</v>
      </c>
      <c r="D35">
        <v>54.99</v>
      </c>
      <c r="E35">
        <v>77.989999999999995</v>
      </c>
      <c r="F35">
        <v>64.989999999999995</v>
      </c>
      <c r="G35">
        <v>106.98</v>
      </c>
    </row>
    <row r="36" spans="1:14" x14ac:dyDescent="0.3">
      <c r="B36">
        <v>4</v>
      </c>
      <c r="C36" t="s">
        <v>523</v>
      </c>
      <c r="D36">
        <v>64.989999999999995</v>
      </c>
      <c r="E36">
        <v>87.99</v>
      </c>
      <c r="F36">
        <v>74.989999999999995</v>
      </c>
      <c r="G36">
        <v>117.98</v>
      </c>
    </row>
    <row r="37" spans="1:14" x14ac:dyDescent="0.3">
      <c r="B37">
        <v>5</v>
      </c>
      <c r="C37" t="s">
        <v>522</v>
      </c>
      <c r="D37">
        <v>94.99</v>
      </c>
      <c r="E37">
        <v>99.99</v>
      </c>
      <c r="F37">
        <v>109.99</v>
      </c>
      <c r="G37">
        <v>134.97999999999999</v>
      </c>
    </row>
    <row r="38" spans="1:14" x14ac:dyDescent="0.3">
      <c r="B38">
        <v>6</v>
      </c>
      <c r="C38" t="s">
        <v>811</v>
      </c>
      <c r="D38">
        <v>119.99</v>
      </c>
      <c r="E38">
        <v>129.99</v>
      </c>
      <c r="F38">
        <v>129.99</v>
      </c>
      <c r="G38">
        <v>139.99</v>
      </c>
    </row>
    <row r="39" spans="1:14" x14ac:dyDescent="0.3">
      <c r="C39" t="s">
        <v>66</v>
      </c>
    </row>
    <row r="40" spans="1:14" x14ac:dyDescent="0.3">
      <c r="C40">
        <v>10</v>
      </c>
      <c r="D40">
        <f>C40</f>
        <v>10</v>
      </c>
    </row>
    <row r="42" spans="1:14" x14ac:dyDescent="0.3">
      <c r="B42" s="26" t="s">
        <v>82</v>
      </c>
      <c r="C42" s="26"/>
    </row>
    <row r="43" spans="1:14" x14ac:dyDescent="0.3">
      <c r="A43" s="35" t="s">
        <v>94</v>
      </c>
      <c r="B43" s="28" t="s">
        <v>92</v>
      </c>
      <c r="C43" s="29" t="s">
        <v>68</v>
      </c>
      <c r="D43" s="35" t="s">
        <v>3</v>
      </c>
      <c r="E43">
        <v>1</v>
      </c>
      <c r="H43" s="289" t="s">
        <v>96</v>
      </c>
      <c r="I43" s="290" t="s">
        <v>97</v>
      </c>
      <c r="J43" s="291" t="s">
        <v>98</v>
      </c>
      <c r="K43" s="290" t="s">
        <v>104</v>
      </c>
      <c r="M43" t="s">
        <v>105</v>
      </c>
      <c r="N43" t="s">
        <v>106</v>
      </c>
    </row>
    <row r="44" spans="1:14" x14ac:dyDescent="0.3">
      <c r="A44" s="34">
        <v>1</v>
      </c>
      <c r="B44" s="30">
        <v>0</v>
      </c>
      <c r="C44" s="31">
        <v>0</v>
      </c>
      <c r="D44" s="34">
        <v>0</v>
      </c>
      <c r="E44" t="s">
        <v>93</v>
      </c>
      <c r="F44" t="s">
        <v>214</v>
      </c>
      <c r="H44" s="37" t="s">
        <v>99</v>
      </c>
      <c r="I44" s="36"/>
      <c r="J44" s="38"/>
      <c r="K44" t="b">
        <v>0</v>
      </c>
      <c r="M44">
        <f>IF(Table889[[#This Row],[Checked?]]=TRUE,Table889[[#This Row],[months 1-12]],0)</f>
        <v>0</v>
      </c>
      <c r="N44">
        <f>IF(Table889[[#This Row],[Checked?]]=TRUE,Table889[[#This Row],[months 13-14]],0)</f>
        <v>0</v>
      </c>
    </row>
    <row r="45" spans="1:14" x14ac:dyDescent="0.3">
      <c r="A45" s="34">
        <v>2</v>
      </c>
      <c r="B45" s="30" t="s">
        <v>83</v>
      </c>
      <c r="C45" s="31">
        <v>2.99</v>
      </c>
      <c r="D45" s="34" t="s">
        <v>343</v>
      </c>
      <c r="E45">
        <f>IF(J28=2,VLOOKUP(E43,Table588[#All],4,FALSE),VLOOKUP(E43,Table588[#All],3,FALSE)) +C54</f>
        <v>0</v>
      </c>
      <c r="F45">
        <f>IF(E43&gt;4,((E43-4)*(29.99)),0)+F55</f>
        <v>0</v>
      </c>
      <c r="H45" s="37" t="s">
        <v>533</v>
      </c>
      <c r="I45" s="36">
        <v>10</v>
      </c>
      <c r="J45" s="38">
        <v>10</v>
      </c>
      <c r="K45" t="b">
        <v>0</v>
      </c>
      <c r="M45">
        <f>IF(Table889[[#This Row],[Checked?]]=TRUE,Table889[[#This Row],[months 1-12]],0)</f>
        <v>0</v>
      </c>
      <c r="N45">
        <f>IF(Table889[[#This Row],[Checked?]]=TRUE,Table889[[#This Row],[months 13-14]],0)</f>
        <v>0</v>
      </c>
    </row>
    <row r="46" spans="1:14" x14ac:dyDescent="0.3">
      <c r="A46" s="34">
        <v>3</v>
      </c>
      <c r="B46" s="30" t="s">
        <v>84</v>
      </c>
      <c r="C46" s="31">
        <v>8.5</v>
      </c>
      <c r="D46" s="34">
        <f>Table588[[#This Row],[Price]]+K23</f>
        <v>21.490000000000002</v>
      </c>
      <c r="E46" s="95"/>
      <c r="H46" s="37" t="s">
        <v>532</v>
      </c>
      <c r="I46" s="36">
        <v>15.99</v>
      </c>
      <c r="J46" s="38">
        <v>15.99</v>
      </c>
      <c r="K46" t="b">
        <v>0</v>
      </c>
      <c r="M46">
        <f>IF(Table889[[#This Row],[Checked?]]=TRUE,Table889[[#This Row],[months 1-12]],0)</f>
        <v>0</v>
      </c>
      <c r="N46">
        <f>IF(Table889[[#This Row],[Checked?]]=TRUE,Table889[[#This Row],[months 13-14]],0)</f>
        <v>0</v>
      </c>
    </row>
    <row r="47" spans="1:14" x14ac:dyDescent="0.3">
      <c r="A47" s="34">
        <v>4</v>
      </c>
      <c r="B47" s="30" t="s">
        <v>85</v>
      </c>
      <c r="C47" s="31">
        <v>17</v>
      </c>
      <c r="D47" s="34">
        <f>Table588[[#This Row],[Price]]+K23</f>
        <v>29.990000000000002</v>
      </c>
      <c r="H47" s="37" t="s">
        <v>36</v>
      </c>
      <c r="I47" s="36">
        <v>10</v>
      </c>
      <c r="J47" s="38">
        <v>15.99</v>
      </c>
      <c r="K47" t="b">
        <v>0</v>
      </c>
      <c r="M47">
        <f>IF(Table889[[#This Row],[Checked?]]=TRUE,Table889[[#This Row],[months 1-12]],0)</f>
        <v>0</v>
      </c>
      <c r="N47">
        <f>IF(Table889[[#This Row],[Checked?]]=TRUE,Table889[[#This Row],[months 13-14]],0)</f>
        <v>0</v>
      </c>
    </row>
    <row r="48" spans="1:14" x14ac:dyDescent="0.3">
      <c r="A48" s="34">
        <v>5</v>
      </c>
      <c r="B48" s="30" t="s">
        <v>86</v>
      </c>
      <c r="C48" s="31">
        <v>25.5</v>
      </c>
      <c r="D48" s="34">
        <f>Table588[[#This Row],[Price]]+K23</f>
        <v>38.49</v>
      </c>
      <c r="H48" s="37" t="s">
        <v>100</v>
      </c>
      <c r="I48" s="36">
        <v>10</v>
      </c>
      <c r="J48" s="38">
        <v>15.99</v>
      </c>
      <c r="K48" t="b">
        <v>0</v>
      </c>
      <c r="M48">
        <f>IF(Table889[[#This Row],[Checked?]]=TRUE,Table889[[#This Row],[months 1-12]],0)</f>
        <v>0</v>
      </c>
      <c r="N48">
        <f>IF(Table889[[#This Row],[Checked?]]=TRUE,Table889[[#This Row],[months 13-14]],0)</f>
        <v>0</v>
      </c>
    </row>
    <row r="49" spans="1:14" x14ac:dyDescent="0.3">
      <c r="A49" s="34">
        <v>6</v>
      </c>
      <c r="B49" s="30" t="s">
        <v>87</v>
      </c>
      <c r="C49" s="31">
        <v>34</v>
      </c>
      <c r="D49" s="34">
        <f>Table588[[#This Row],[Price]]+K23</f>
        <v>46.99</v>
      </c>
      <c r="H49" s="37" t="s">
        <v>101</v>
      </c>
      <c r="I49" s="36">
        <v>10</v>
      </c>
      <c r="J49" s="38">
        <v>15.99</v>
      </c>
      <c r="K49" t="b">
        <v>0</v>
      </c>
      <c r="M49">
        <f>IF(Table889[[#This Row],[Checked?]]=TRUE,Table889[[#This Row],[months 1-12]],0)</f>
        <v>0</v>
      </c>
      <c r="N49">
        <f>IF(Table889[[#This Row],[Checked?]]=TRUE,Table889[[#This Row],[months 13-14]],0)</f>
        <v>0</v>
      </c>
    </row>
    <row r="50" spans="1:14" x14ac:dyDescent="0.3">
      <c r="A50" s="34">
        <v>7</v>
      </c>
      <c r="B50" s="30" t="s">
        <v>88</v>
      </c>
      <c r="C50" s="31">
        <v>42.5</v>
      </c>
      <c r="D50" s="34">
        <f>Table588[[#This Row],[Price]]+K23</f>
        <v>55.49</v>
      </c>
      <c r="H50" s="42" t="s">
        <v>102</v>
      </c>
      <c r="I50" s="43">
        <v>10</v>
      </c>
      <c r="J50" s="44">
        <v>15.99</v>
      </c>
      <c r="K50" t="b">
        <v>0</v>
      </c>
      <c r="M50">
        <f>IF(Table889[[#This Row],[Checked?]]=TRUE,Table889[[#This Row],[months 1-12]],0)</f>
        <v>0</v>
      </c>
      <c r="N50">
        <f>IF(Table889[[#This Row],[Checked?]]=TRUE,Table889[[#This Row],[months 13-14]],0)</f>
        <v>0</v>
      </c>
    </row>
    <row r="51" spans="1:14" x14ac:dyDescent="0.3">
      <c r="A51" s="34">
        <v>8</v>
      </c>
      <c r="B51" s="30" t="s">
        <v>89</v>
      </c>
      <c r="C51" s="31">
        <v>51</v>
      </c>
      <c r="D51" s="34">
        <f>Table588[[#This Row],[Price]]+K23</f>
        <v>63.99</v>
      </c>
      <c r="M51">
        <f>SUM(M44:M50)+K57</f>
        <v>0</v>
      </c>
      <c r="N51">
        <f>SUM(N44:N50)+K57</f>
        <v>0</v>
      </c>
    </row>
    <row r="52" spans="1:14" x14ac:dyDescent="0.3">
      <c r="A52" s="34">
        <v>9</v>
      </c>
      <c r="B52" s="32" t="s">
        <v>90</v>
      </c>
      <c r="C52" s="31">
        <v>59.5</v>
      </c>
      <c r="D52" s="34">
        <f>Table588[[#This Row],[Price]]+K23</f>
        <v>72.489999999999995</v>
      </c>
      <c r="J52" s="141"/>
    </row>
    <row r="53" spans="1:14" x14ac:dyDescent="0.3">
      <c r="A53" s="34"/>
      <c r="B53" s="32" t="s">
        <v>158</v>
      </c>
      <c r="C53" s="33" t="b">
        <v>0</v>
      </c>
      <c r="D53" s="34"/>
      <c r="J53" s="141"/>
    </row>
    <row r="54" spans="1:14" x14ac:dyDescent="0.3">
      <c r="A54" s="34"/>
      <c r="B54" s="32"/>
      <c r="C54" s="33">
        <f>IF(C53=TRUE,10,0)</f>
        <v>0</v>
      </c>
      <c r="D54" s="34"/>
      <c r="E54" t="s">
        <v>537</v>
      </c>
      <c r="F54">
        <v>149</v>
      </c>
    </row>
    <row r="55" spans="1:14" x14ac:dyDescent="0.3">
      <c r="E55" t="b">
        <v>0</v>
      </c>
      <c r="F55">
        <f>IF(E55=TRUE,F54,0)</f>
        <v>0</v>
      </c>
      <c r="I55" s="141"/>
      <c r="J55" s="141"/>
    </row>
    <row r="56" spans="1:14" x14ac:dyDescent="0.3">
      <c r="I56" s="141"/>
      <c r="J56" s="141"/>
    </row>
    <row r="57" spans="1:14" x14ac:dyDescent="0.3">
      <c r="A57" t="s">
        <v>150</v>
      </c>
    </row>
    <row r="58" spans="1:14" ht="15" thickBot="1" x14ac:dyDescent="0.35">
      <c r="A58" s="2" t="s">
        <v>49</v>
      </c>
      <c r="B58" s="2" t="s">
        <v>76</v>
      </c>
      <c r="C58" s="215" t="s">
        <v>520</v>
      </c>
      <c r="D58" t="s">
        <v>525</v>
      </c>
      <c r="E58" t="s">
        <v>521</v>
      </c>
      <c r="F58" t="s">
        <v>523</v>
      </c>
      <c r="G58" t="s">
        <v>522</v>
      </c>
    </row>
    <row r="59" spans="1:14" ht="15" thickTop="1" x14ac:dyDescent="0.3">
      <c r="A59" s="3">
        <v>1</v>
      </c>
      <c r="B59" s="3" t="s">
        <v>530</v>
      </c>
      <c r="D59">
        <v>93.98</v>
      </c>
      <c r="E59">
        <v>112.98</v>
      </c>
      <c r="F59">
        <v>123.98</v>
      </c>
      <c r="G59">
        <v>140.97999999999999</v>
      </c>
    </row>
    <row r="60" spans="1:14" x14ac:dyDescent="0.3">
      <c r="A60" s="4">
        <v>2</v>
      </c>
      <c r="B60" s="4" t="s">
        <v>531</v>
      </c>
      <c r="D60">
        <v>132.97999999999999</v>
      </c>
      <c r="E60">
        <v>151.97999999999999</v>
      </c>
      <c r="F60">
        <v>162.97999999999999</v>
      </c>
      <c r="G60">
        <v>179.98</v>
      </c>
    </row>
    <row r="61" spans="1:14" x14ac:dyDescent="0.3">
      <c r="A61" s="3">
        <v>3</v>
      </c>
      <c r="B61" s="3" t="s">
        <v>171</v>
      </c>
      <c r="D61">
        <v>144.47999999999999</v>
      </c>
      <c r="E61">
        <v>163.47999999999999</v>
      </c>
      <c r="F61">
        <v>174.48</v>
      </c>
      <c r="G61">
        <v>191.48</v>
      </c>
    </row>
    <row r="62" spans="1:14" x14ac:dyDescent="0.3">
      <c r="A62" s="5">
        <v>4</v>
      </c>
      <c r="B62" s="5" t="s">
        <v>33</v>
      </c>
      <c r="D62">
        <v>157.97999999999999</v>
      </c>
      <c r="E62">
        <v>176.98</v>
      </c>
      <c r="F62">
        <v>187.98</v>
      </c>
      <c r="G62">
        <v>268.94</v>
      </c>
    </row>
    <row r="63" spans="1:14" x14ac:dyDescent="0.3">
      <c r="A63">
        <v>5</v>
      </c>
      <c r="B63" t="s">
        <v>11</v>
      </c>
    </row>
    <row r="66" spans="1:7" x14ac:dyDescent="0.3">
      <c r="A66" t="s">
        <v>151</v>
      </c>
    </row>
    <row r="67" spans="1:7" ht="15" thickBot="1" x14ac:dyDescent="0.35">
      <c r="A67" s="2" t="s">
        <v>49</v>
      </c>
      <c r="B67" s="2" t="s">
        <v>77</v>
      </c>
      <c r="C67" s="215" t="s">
        <v>520</v>
      </c>
      <c r="D67" t="s">
        <v>525</v>
      </c>
      <c r="E67" t="s">
        <v>521</v>
      </c>
      <c r="F67" t="s">
        <v>523</v>
      </c>
      <c r="G67" t="s">
        <v>522</v>
      </c>
    </row>
    <row r="68" spans="1:7" ht="15" thickTop="1" x14ac:dyDescent="0.3">
      <c r="A68" s="3">
        <v>1</v>
      </c>
      <c r="B68" s="3" t="s">
        <v>530</v>
      </c>
      <c r="D68">
        <v>128.97</v>
      </c>
      <c r="G68">
        <v>175.97</v>
      </c>
    </row>
    <row r="69" spans="1:7" x14ac:dyDescent="0.3">
      <c r="A69" s="4">
        <v>2</v>
      </c>
      <c r="B69" s="4" t="s">
        <v>531</v>
      </c>
      <c r="E69">
        <v>208.46</v>
      </c>
    </row>
    <row r="70" spans="1:7" x14ac:dyDescent="0.3">
      <c r="A70" s="3">
        <v>3</v>
      </c>
      <c r="B70" s="3" t="s">
        <v>171</v>
      </c>
      <c r="E70">
        <v>254.44</v>
      </c>
      <c r="F70">
        <v>267.43</v>
      </c>
    </row>
    <row r="71" spans="1:7" x14ac:dyDescent="0.3">
      <c r="A71" s="5">
        <v>4</v>
      </c>
      <c r="B71" s="5" t="s">
        <v>33</v>
      </c>
      <c r="G71">
        <v>312.43</v>
      </c>
    </row>
    <row r="72" spans="1:7" x14ac:dyDescent="0.3">
      <c r="A72">
        <v>5</v>
      </c>
      <c r="B72" t="s">
        <v>11</v>
      </c>
    </row>
    <row r="75" spans="1:7" x14ac:dyDescent="0.3">
      <c r="A75" t="s">
        <v>152</v>
      </c>
      <c r="B75">
        <f>(VLOOKUP(N7,Table1531392[#All],N10+2,FALSE))+E45+M51</f>
        <v>0</v>
      </c>
    </row>
    <row r="76" spans="1:7" ht="15" thickBot="1" x14ac:dyDescent="0.35">
      <c r="A76" s="2" t="s">
        <v>49</v>
      </c>
      <c r="B76" s="2" t="s">
        <v>76</v>
      </c>
      <c r="C76" t="s">
        <v>210</v>
      </c>
      <c r="D76" t="s">
        <v>211</v>
      </c>
      <c r="E76" t="s">
        <v>212</v>
      </c>
      <c r="F76" t="s">
        <v>213</v>
      </c>
      <c r="G76" t="s">
        <v>287</v>
      </c>
    </row>
    <row r="77" spans="1:7" ht="15" thickTop="1" x14ac:dyDescent="0.3">
      <c r="A77" s="3">
        <v>1</v>
      </c>
      <c r="B77" s="3" t="s">
        <v>286</v>
      </c>
    </row>
    <row r="78" spans="1:7" x14ac:dyDescent="0.3">
      <c r="A78" s="4">
        <v>2</v>
      </c>
      <c r="B78" s="4" t="s">
        <v>171</v>
      </c>
    </row>
    <row r="79" spans="1:7" x14ac:dyDescent="0.3">
      <c r="A79" s="3">
        <v>3</v>
      </c>
      <c r="B79" s="3" t="s">
        <v>10</v>
      </c>
    </row>
    <row r="80" spans="1:7" x14ac:dyDescent="0.3">
      <c r="A80" s="5">
        <v>4</v>
      </c>
      <c r="B80" s="5" t="s">
        <v>11</v>
      </c>
    </row>
    <row r="82" spans="1:7" x14ac:dyDescent="0.3">
      <c r="A82" t="s">
        <v>155</v>
      </c>
      <c r="B82">
        <f>(VLOOKUP(N7,Table153134196[#All],N10+2,FALSE))+E45+N51</f>
        <v>0</v>
      </c>
    </row>
    <row r="83" spans="1:7" ht="15" thickBot="1" x14ac:dyDescent="0.35">
      <c r="A83" s="2" t="s">
        <v>49</v>
      </c>
      <c r="B83" s="2" t="s">
        <v>76</v>
      </c>
      <c r="C83" t="s">
        <v>210</v>
      </c>
      <c r="D83" t="s">
        <v>211</v>
      </c>
      <c r="E83" t="s">
        <v>212</v>
      </c>
      <c r="F83" t="s">
        <v>213</v>
      </c>
      <c r="G83" t="s">
        <v>287</v>
      </c>
    </row>
    <row r="84" spans="1:7" ht="15" thickTop="1" x14ac:dyDescent="0.3">
      <c r="A84" s="3">
        <v>1</v>
      </c>
      <c r="B84" s="3" t="s">
        <v>286</v>
      </c>
    </row>
    <row r="85" spans="1:7" x14ac:dyDescent="0.3">
      <c r="A85" s="4">
        <v>2</v>
      </c>
      <c r="B85" s="4" t="s">
        <v>171</v>
      </c>
    </row>
    <row r="86" spans="1:7" x14ac:dyDescent="0.3">
      <c r="A86" s="3">
        <v>3</v>
      </c>
      <c r="B86" s="3" t="s">
        <v>10</v>
      </c>
    </row>
    <row r="87" spans="1:7" x14ac:dyDescent="0.3">
      <c r="A87" s="5">
        <v>4</v>
      </c>
      <c r="B87" s="5" t="s">
        <v>11</v>
      </c>
    </row>
    <row r="90" spans="1:7" x14ac:dyDescent="0.3">
      <c r="A90" t="s">
        <v>153</v>
      </c>
      <c r="B90">
        <f>VLOOKUP(N7,Table151781993[#All],N10+2,FALSE)+E45+M51</f>
        <v>0</v>
      </c>
    </row>
    <row r="91" spans="1:7" ht="15" thickBot="1" x14ac:dyDescent="0.35">
      <c r="A91" s="2" t="s">
        <v>49</v>
      </c>
      <c r="B91" s="2" t="s">
        <v>77</v>
      </c>
      <c r="C91" t="s">
        <v>210</v>
      </c>
      <c r="D91" t="s">
        <v>211</v>
      </c>
      <c r="E91" t="s">
        <v>212</v>
      </c>
      <c r="F91" t="s">
        <v>213</v>
      </c>
      <c r="G91" t="s">
        <v>287</v>
      </c>
    </row>
    <row r="92" spans="1:7" ht="15" thickTop="1" x14ac:dyDescent="0.3">
      <c r="A92" s="3">
        <v>1</v>
      </c>
      <c r="B92" s="3" t="s">
        <v>286</v>
      </c>
    </row>
    <row r="93" spans="1:7" x14ac:dyDescent="0.3">
      <c r="A93" s="4">
        <v>2</v>
      </c>
      <c r="B93" s="4" t="s">
        <v>171</v>
      </c>
    </row>
    <row r="94" spans="1:7" x14ac:dyDescent="0.3">
      <c r="A94" s="3">
        <v>3</v>
      </c>
      <c r="B94" s="3" t="s">
        <v>10</v>
      </c>
    </row>
    <row r="95" spans="1:7" x14ac:dyDescent="0.3">
      <c r="A95" s="5">
        <v>4</v>
      </c>
      <c r="B95" s="5" t="s">
        <v>11</v>
      </c>
    </row>
    <row r="97" spans="1:7" x14ac:dyDescent="0.3">
      <c r="A97" t="s">
        <v>154</v>
      </c>
      <c r="B97">
        <f>VLOOKUP(N7,Table151784297[#All],N10+2,FALSE)+E45+N51</f>
        <v>0</v>
      </c>
    </row>
    <row r="98" spans="1:7" ht="15" thickBot="1" x14ac:dyDescent="0.35">
      <c r="A98" s="2" t="s">
        <v>49</v>
      </c>
      <c r="B98" s="2" t="s">
        <v>77</v>
      </c>
      <c r="C98" t="s">
        <v>210</v>
      </c>
      <c r="D98" t="s">
        <v>211</v>
      </c>
      <c r="E98" t="s">
        <v>212</v>
      </c>
      <c r="F98" t="s">
        <v>213</v>
      </c>
      <c r="G98" t="s">
        <v>287</v>
      </c>
    </row>
    <row r="99" spans="1:7" ht="15" thickTop="1" x14ac:dyDescent="0.3">
      <c r="A99" s="3">
        <v>1</v>
      </c>
      <c r="B99" s="3" t="s">
        <v>286</v>
      </c>
    </row>
    <row r="100" spans="1:7" x14ac:dyDescent="0.3">
      <c r="A100" s="4">
        <v>2</v>
      </c>
      <c r="B100" s="4" t="s">
        <v>171</v>
      </c>
    </row>
    <row r="101" spans="1:7" x14ac:dyDescent="0.3">
      <c r="A101" s="3">
        <v>3</v>
      </c>
      <c r="B101" s="3" t="s">
        <v>10</v>
      </c>
    </row>
    <row r="102" spans="1:7" x14ac:dyDescent="0.3">
      <c r="A102" s="5">
        <v>4</v>
      </c>
      <c r="B102" s="5" t="s">
        <v>11</v>
      </c>
    </row>
    <row r="104" spans="1:7" x14ac:dyDescent="0.3">
      <c r="A104" t="s">
        <v>146</v>
      </c>
      <c r="D104" t="s">
        <v>147</v>
      </c>
    </row>
    <row r="105" spans="1:7" x14ac:dyDescent="0.3">
      <c r="A105" t="s">
        <v>144</v>
      </c>
      <c r="B105" t="s">
        <v>145</v>
      </c>
      <c r="D105" t="s">
        <v>144</v>
      </c>
      <c r="E105" t="s">
        <v>145</v>
      </c>
    </row>
    <row r="106" spans="1:7" x14ac:dyDescent="0.3">
      <c r="A106">
        <f>VLOOKUP(N7,A107:E112,3,FALSE)+E45+M51</f>
        <v>0</v>
      </c>
      <c r="B106">
        <f>VLOOKUP(N7,A107:E112,3,FALSE)+E45+N51</f>
        <v>0</v>
      </c>
      <c r="D106">
        <f>VLOOKUP(N7,Verizon_TV102694[#All],4,FALSE)+E45+M51</f>
        <v>0</v>
      </c>
      <c r="E106">
        <f>VLOOKUP(N7,Verizon_TV102694[#All],5,FALSE)+E45+N51</f>
        <v>0</v>
      </c>
    </row>
    <row r="107" spans="1:7" x14ac:dyDescent="0.3">
      <c r="A107" t="s">
        <v>49</v>
      </c>
      <c r="B107" t="s">
        <v>0</v>
      </c>
      <c r="C107" t="s">
        <v>68</v>
      </c>
      <c r="D107" t="s">
        <v>70</v>
      </c>
      <c r="E107" t="s">
        <v>134</v>
      </c>
    </row>
    <row r="108" spans="1:7" x14ac:dyDescent="0.3">
      <c r="A108">
        <v>1</v>
      </c>
      <c r="B108" s="3" t="s">
        <v>286</v>
      </c>
    </row>
    <row r="109" spans="1:7" x14ac:dyDescent="0.3">
      <c r="A109">
        <v>2</v>
      </c>
      <c r="B109" t="s">
        <v>9</v>
      </c>
    </row>
    <row r="110" spans="1:7" x14ac:dyDescent="0.3">
      <c r="A110">
        <v>3</v>
      </c>
      <c r="B110" t="s">
        <v>10</v>
      </c>
    </row>
    <row r="111" spans="1:7" x14ac:dyDescent="0.3">
      <c r="A111">
        <v>4</v>
      </c>
      <c r="B111" t="s">
        <v>11</v>
      </c>
    </row>
    <row r="113" spans="1:6" x14ac:dyDescent="0.3">
      <c r="A113" t="s">
        <v>148</v>
      </c>
      <c r="E113" t="s">
        <v>149</v>
      </c>
    </row>
    <row r="114" spans="1:6" x14ac:dyDescent="0.3">
      <c r="A114" t="s">
        <v>144</v>
      </c>
      <c r="B114" t="s">
        <v>145</v>
      </c>
      <c r="E114" t="s">
        <v>144</v>
      </c>
      <c r="F114" t="s">
        <v>145</v>
      </c>
    </row>
    <row r="115" spans="1:6" x14ac:dyDescent="0.3">
      <c r="A115">
        <f>VLOOKUP(N10,Verizon_Internet123195[#All],3,FALSE)+E45</f>
        <v>0</v>
      </c>
      <c r="B115">
        <f>VLOOKUP(N10,Verizon_Internet123195[#All],4,FALSE)+E45</f>
        <v>0</v>
      </c>
      <c r="E115">
        <f>VLOOKUP(N10,Verizon_Internet123195[#All],5,FALSE)+E45</f>
        <v>0</v>
      </c>
      <c r="F115">
        <f>VLOOKUP(N10,Verizon_Internet123195[#All],6,FALSE)+E45</f>
        <v>0</v>
      </c>
    </row>
    <row r="116" spans="1:6" x14ac:dyDescent="0.3">
      <c r="A116" t="s">
        <v>49</v>
      </c>
      <c r="B116" t="s">
        <v>0</v>
      </c>
      <c r="C116" t="s">
        <v>39</v>
      </c>
      <c r="D116" t="s">
        <v>38</v>
      </c>
      <c r="E116" t="s">
        <v>70</v>
      </c>
      <c r="F116" t="s">
        <v>134</v>
      </c>
    </row>
    <row r="117" spans="1:6" x14ac:dyDescent="0.3">
      <c r="A117">
        <v>1</v>
      </c>
      <c r="B117" t="s">
        <v>210</v>
      </c>
    </row>
    <row r="118" spans="1:6" x14ac:dyDescent="0.3">
      <c r="A118">
        <v>2</v>
      </c>
      <c r="B118" t="s">
        <v>211</v>
      </c>
    </row>
    <row r="119" spans="1:6" x14ac:dyDescent="0.3">
      <c r="A119">
        <v>3</v>
      </c>
      <c r="B119" t="s">
        <v>212</v>
      </c>
    </row>
    <row r="120" spans="1:6" x14ac:dyDescent="0.3">
      <c r="A120">
        <v>4</v>
      </c>
      <c r="B120" t="s">
        <v>213</v>
      </c>
    </row>
    <row r="121" spans="1:6" x14ac:dyDescent="0.3">
      <c r="A121">
        <v>5</v>
      </c>
      <c r="B121" t="s">
        <v>287</v>
      </c>
    </row>
  </sheetData>
  <mergeCells count="2">
    <mergeCell ref="B22:D22"/>
    <mergeCell ref="B31:E31"/>
  </mergeCells>
  <pageMargins left="0.7" right="0.7" top="0.75" bottom="0.75" header="0.3" footer="0.3"/>
  <pageSetup orientation="portrait"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H17"/>
  <sheetViews>
    <sheetView workbookViewId="0">
      <selection activeCell="A2" sqref="A2:A8"/>
    </sheetView>
  </sheetViews>
  <sheetFormatPr defaultRowHeight="14.4" x14ac:dyDescent="0.3"/>
  <cols>
    <col min="1" max="1" width="19.44140625" customWidth="1"/>
    <col min="2" max="2" width="18.5546875" customWidth="1"/>
    <col min="3" max="3" width="15.6640625" customWidth="1"/>
    <col min="4" max="4" width="12.44140625" customWidth="1"/>
    <col min="5" max="5" width="10.33203125" customWidth="1"/>
    <col min="7" max="7" width="22.88671875" customWidth="1"/>
    <col min="8" max="8" width="20" customWidth="1"/>
    <col min="9" max="9" width="18" customWidth="1"/>
    <col min="10" max="10" width="20.109375" customWidth="1"/>
  </cols>
  <sheetData>
    <row r="1" spans="1:8" x14ac:dyDescent="0.3">
      <c r="A1" t="s">
        <v>641</v>
      </c>
      <c r="B1" t="s">
        <v>731</v>
      </c>
      <c r="D1" t="s">
        <v>644</v>
      </c>
      <c r="E1" t="s">
        <v>0</v>
      </c>
      <c r="G1" t="s">
        <v>721</v>
      </c>
      <c r="H1" t="s">
        <v>722</v>
      </c>
    </row>
    <row r="2" spans="1:8" x14ac:dyDescent="0.3">
      <c r="A2" t="s">
        <v>732</v>
      </c>
      <c r="B2">
        <v>12</v>
      </c>
      <c r="D2" t="s">
        <v>641</v>
      </c>
      <c r="E2">
        <v>7</v>
      </c>
      <c r="G2">
        <f>VLOOKUP(Table112[Package],Table111[],3,FALSE)</f>
        <v>150</v>
      </c>
      <c r="H2">
        <f>VLOOKUP(Table112[Package],Table111[],4,FALSE)</f>
        <v>200</v>
      </c>
    </row>
    <row r="3" spans="1:8" x14ac:dyDescent="0.3">
      <c r="A3" t="s">
        <v>733</v>
      </c>
      <c r="B3">
        <v>12</v>
      </c>
    </row>
    <row r="4" spans="1:8" x14ac:dyDescent="0.3">
      <c r="A4" t="s">
        <v>734</v>
      </c>
      <c r="B4">
        <v>12</v>
      </c>
    </row>
    <row r="5" spans="1:8" x14ac:dyDescent="0.3">
      <c r="A5" t="s">
        <v>735</v>
      </c>
      <c r="B5">
        <v>25</v>
      </c>
    </row>
    <row r="6" spans="1:8" x14ac:dyDescent="0.3">
      <c r="A6" t="s">
        <v>736</v>
      </c>
      <c r="B6">
        <v>30</v>
      </c>
    </row>
    <row r="7" spans="1:8" x14ac:dyDescent="0.3">
      <c r="A7" t="s">
        <v>737</v>
      </c>
      <c r="B7">
        <v>50</v>
      </c>
    </row>
    <row r="8" spans="1:8" x14ac:dyDescent="0.3">
      <c r="A8" t="s">
        <v>738</v>
      </c>
      <c r="B8">
        <v>100</v>
      </c>
    </row>
    <row r="10" spans="1:8" ht="15" thickBot="1" x14ac:dyDescent="0.35">
      <c r="A10" t="s">
        <v>644</v>
      </c>
      <c r="B10" s="2" t="s">
        <v>641</v>
      </c>
      <c r="C10" s="51" t="s">
        <v>721</v>
      </c>
      <c r="D10" s="52" t="s">
        <v>722</v>
      </c>
    </row>
    <row r="11" spans="1:8" ht="15" thickTop="1" x14ac:dyDescent="0.3">
      <c r="A11">
        <v>1</v>
      </c>
      <c r="B11" s="3" t="s">
        <v>724</v>
      </c>
      <c r="C11" s="366">
        <v>50</v>
      </c>
      <c r="D11" s="367">
        <v>70</v>
      </c>
    </row>
    <row r="12" spans="1:8" x14ac:dyDescent="0.3">
      <c r="A12">
        <v>2</v>
      </c>
      <c r="B12" s="4" t="s">
        <v>725</v>
      </c>
      <c r="C12" s="368">
        <v>65</v>
      </c>
      <c r="D12" s="369">
        <v>95</v>
      </c>
    </row>
    <row r="13" spans="1:8" x14ac:dyDescent="0.3">
      <c r="A13">
        <v>3</v>
      </c>
      <c r="B13" s="3" t="s">
        <v>726</v>
      </c>
      <c r="C13" s="366">
        <v>95</v>
      </c>
      <c r="D13" s="367">
        <v>145</v>
      </c>
    </row>
    <row r="14" spans="1:8" x14ac:dyDescent="0.3">
      <c r="A14">
        <v>4</v>
      </c>
      <c r="B14" s="4" t="s">
        <v>727</v>
      </c>
      <c r="C14" s="368">
        <v>70</v>
      </c>
      <c r="D14" s="369">
        <v>100</v>
      </c>
    </row>
    <row r="15" spans="1:8" x14ac:dyDescent="0.3">
      <c r="A15">
        <v>5</v>
      </c>
      <c r="B15" s="3" t="s">
        <v>728</v>
      </c>
      <c r="C15" s="366">
        <v>100</v>
      </c>
      <c r="D15" s="367">
        <v>150</v>
      </c>
    </row>
    <row r="16" spans="1:8" x14ac:dyDescent="0.3">
      <c r="A16">
        <v>6</v>
      </c>
      <c r="B16" s="4" t="s">
        <v>729</v>
      </c>
      <c r="C16" s="368">
        <v>100</v>
      </c>
      <c r="D16" s="369">
        <v>150</v>
      </c>
    </row>
    <row r="17" spans="1:4" x14ac:dyDescent="0.3">
      <c r="A17">
        <v>7</v>
      </c>
      <c r="B17" s="108" t="s">
        <v>730</v>
      </c>
      <c r="C17" s="370">
        <v>150</v>
      </c>
      <c r="D17" s="371">
        <v>200</v>
      </c>
    </row>
  </sheetData>
  <dataValidations count="1">
    <dataValidation type="list" allowBlank="1" showInputMessage="1" showErrorMessage="1" sqref="A2:A8" xr:uid="{00000000-0002-0000-0300-000000000000}">
      <formula1>$A$2:$A$8</formula1>
    </dataValidation>
  </dataValidations>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Z465"/>
  <sheetViews>
    <sheetView showGridLines="0" tabSelected="1" zoomScale="85" zoomScaleNormal="85" workbookViewId="0">
      <pane ySplit="1" topLeftCell="A20" activePane="bottomLeft" state="frozen"/>
      <selection pane="bottomLeft" activeCell="I30" sqref="I30"/>
    </sheetView>
  </sheetViews>
  <sheetFormatPr defaultRowHeight="14.4" x14ac:dyDescent="0.3"/>
  <cols>
    <col min="1" max="1" width="4.6640625" style="1" customWidth="1"/>
    <col min="2" max="2" width="17.33203125" customWidth="1"/>
    <col min="3" max="3" width="20.109375" customWidth="1"/>
    <col min="4" max="4" width="24.44140625" customWidth="1"/>
    <col min="5" max="5" width="19.6640625" customWidth="1"/>
    <col min="6" max="6" width="15.33203125" customWidth="1"/>
    <col min="7" max="7" width="26.6640625" customWidth="1"/>
    <col min="8" max="8" width="5.6640625" customWidth="1"/>
    <col min="9" max="9" width="13.33203125" customWidth="1"/>
    <col min="10" max="10" width="17" customWidth="1"/>
    <col min="11" max="11" width="12.6640625" customWidth="1"/>
    <col min="12" max="12" width="11.109375" bestFit="1" customWidth="1"/>
    <col min="13" max="13" width="16.109375" bestFit="1" customWidth="1"/>
    <col min="14" max="14" width="42.5546875" customWidth="1"/>
    <col min="16" max="16" width="13.88671875" customWidth="1"/>
    <col min="17" max="17" width="21.5546875" customWidth="1"/>
    <col min="18" max="18" width="60.109375" customWidth="1"/>
    <col min="20" max="20" width="23.33203125" customWidth="1"/>
  </cols>
  <sheetData>
    <row r="1" spans="1:25" ht="21" customHeight="1" x14ac:dyDescent="0.3">
      <c r="B1" s="288" t="s">
        <v>512</v>
      </c>
      <c r="C1" s="285"/>
      <c r="D1" s="285"/>
      <c r="E1" s="286">
        <f>C1-D1</f>
        <v>0</v>
      </c>
      <c r="F1" s="286">
        <f>E1*12</f>
        <v>0</v>
      </c>
      <c r="G1" s="1"/>
      <c r="H1" s="1"/>
      <c r="I1" s="1"/>
      <c r="J1" s="1"/>
      <c r="K1" s="1"/>
      <c r="L1" s="1"/>
      <c r="M1" s="1"/>
      <c r="N1" s="1"/>
      <c r="O1" s="1"/>
      <c r="P1" s="1"/>
      <c r="Q1" s="1"/>
      <c r="R1" s="1"/>
      <c r="S1" s="1"/>
      <c r="T1" s="1"/>
      <c r="U1" s="1"/>
      <c r="V1" s="1"/>
      <c r="W1" s="1"/>
      <c r="X1" s="1"/>
      <c r="Y1" s="1"/>
    </row>
    <row r="2" spans="1:25" ht="15" customHeight="1" thickBot="1" x14ac:dyDescent="0.35">
      <c r="B2" s="284"/>
      <c r="C2" s="287" t="s">
        <v>514</v>
      </c>
      <c r="D2" s="287" t="s">
        <v>515</v>
      </c>
      <c r="E2" s="287" t="s">
        <v>516</v>
      </c>
      <c r="F2" s="287" t="s">
        <v>517</v>
      </c>
      <c r="G2" s="1"/>
      <c r="H2" s="1"/>
      <c r="I2" s="1"/>
      <c r="J2" s="1"/>
      <c r="K2" s="1"/>
      <c r="L2" s="1"/>
      <c r="M2" s="1"/>
      <c r="N2" s="1"/>
      <c r="O2" s="1"/>
      <c r="P2" s="1"/>
      <c r="Q2" s="1"/>
      <c r="R2" s="1"/>
      <c r="S2" s="1"/>
      <c r="T2" s="1"/>
      <c r="U2" s="1"/>
      <c r="V2" s="1"/>
      <c r="W2" s="1"/>
      <c r="X2" s="1"/>
      <c r="Y2" s="1"/>
    </row>
    <row r="3" spans="1:25" ht="58.5" customHeight="1" thickTop="1" thickBot="1" x14ac:dyDescent="0.65">
      <c r="A3" s="1">
        <v>3</v>
      </c>
      <c r="B3" s="1178"/>
      <c r="C3" s="1179"/>
      <c r="D3" s="1179"/>
      <c r="E3" s="1179"/>
      <c r="F3" s="1179"/>
      <c r="G3" s="1180"/>
      <c r="H3" s="1"/>
      <c r="I3" s="1184" t="s">
        <v>168</v>
      </c>
      <c r="J3" s="1184"/>
      <c r="K3" s="1184"/>
      <c r="L3" s="1184"/>
      <c r="M3" s="1184"/>
      <c r="N3" s="1184"/>
      <c r="O3" s="1"/>
      <c r="P3" s="237"/>
      <c r="Q3" s="237"/>
      <c r="R3" s="237"/>
      <c r="S3" s="1"/>
      <c r="T3" s="1"/>
      <c r="U3" s="1"/>
      <c r="V3" s="1"/>
      <c r="W3" s="1"/>
      <c r="X3" s="1"/>
      <c r="Y3" s="1"/>
    </row>
    <row r="4" spans="1:25" ht="21" customHeight="1" thickTop="1" x14ac:dyDescent="0.35">
      <c r="B4" s="258"/>
      <c r="C4" s="521" t="s">
        <v>854</v>
      </c>
      <c r="D4" s="58"/>
      <c r="E4" s="259" t="s">
        <v>450</v>
      </c>
      <c r="F4" s="59"/>
      <c r="G4" s="143"/>
      <c r="H4" s="1"/>
      <c r="I4" s="609"/>
      <c r="J4" s="610" t="s">
        <v>875</v>
      </c>
      <c r="K4" s="611"/>
      <c r="L4" s="611"/>
      <c r="M4" s="611"/>
      <c r="N4" s="611"/>
      <c r="O4" s="1"/>
      <c r="P4" s="237"/>
      <c r="Q4" s="237"/>
      <c r="R4" s="238"/>
      <c r="S4" s="1"/>
      <c r="T4" s="1"/>
      <c r="U4" s="1"/>
      <c r="V4" s="1"/>
      <c r="W4" s="1"/>
      <c r="X4" s="1"/>
      <c r="Y4" s="1"/>
    </row>
    <row r="5" spans="1:25" s="608" customFormat="1" ht="21" customHeight="1" thickBot="1" x14ac:dyDescent="0.4">
      <c r="A5" s="1"/>
      <c r="B5" s="258"/>
      <c r="C5" s="521"/>
      <c r="D5" s="58"/>
      <c r="E5" s="259"/>
      <c r="F5" s="59"/>
      <c r="G5" s="143"/>
      <c r="H5" s="1"/>
      <c r="I5" s="609">
        <v>1</v>
      </c>
      <c r="J5" s="669" t="s">
        <v>895</v>
      </c>
      <c r="K5" s="611"/>
      <c r="L5" s="611"/>
      <c r="M5" s="611"/>
      <c r="N5" s="611"/>
      <c r="O5" s="1"/>
      <c r="P5" s="237"/>
      <c r="Q5" s="237"/>
      <c r="R5" s="238"/>
      <c r="S5" s="1"/>
      <c r="T5" s="1"/>
      <c r="U5" s="1"/>
      <c r="V5" s="1"/>
      <c r="W5" s="1"/>
      <c r="X5" s="1"/>
      <c r="Y5" s="1"/>
    </row>
    <row r="6" spans="1:25" ht="18" x14ac:dyDescent="0.35">
      <c r="B6" s="58" t="s">
        <v>0</v>
      </c>
      <c r="C6" s="58"/>
      <c r="D6" s="58"/>
      <c r="E6" s="602" t="s">
        <v>4</v>
      </c>
      <c r="F6" s="603" t="s">
        <v>5</v>
      </c>
      <c r="G6" s="604" t="s">
        <v>6</v>
      </c>
      <c r="H6" s="1"/>
      <c r="I6" s="609">
        <v>2</v>
      </c>
      <c r="J6" s="673" t="s">
        <v>897</v>
      </c>
      <c r="K6" s="612"/>
      <c r="L6" s="612"/>
      <c r="M6" s="612"/>
      <c r="N6" s="612"/>
      <c r="O6" s="1"/>
      <c r="P6" s="237"/>
      <c r="Q6" s="237"/>
      <c r="R6" s="238"/>
      <c r="S6" s="1"/>
      <c r="T6" s="1"/>
      <c r="U6" s="1"/>
      <c r="V6" s="1"/>
      <c r="W6" s="1"/>
      <c r="X6" s="1"/>
      <c r="Y6" s="1"/>
    </row>
    <row r="7" spans="1:25" ht="18.600000000000001" thickBot="1" x14ac:dyDescent="0.4">
      <c r="B7" s="58"/>
      <c r="C7" s="58"/>
      <c r="D7" s="261"/>
      <c r="E7" s="605">
        <f>Directv!J37</f>
        <v>84.97999999999999</v>
      </c>
      <c r="F7" s="606">
        <f>Directv!K37</f>
        <v>124.99</v>
      </c>
      <c r="G7" s="607" t="e">
        <f>Directv!M4</f>
        <v>#N/A</v>
      </c>
      <c r="H7" s="1"/>
      <c r="I7" s="609">
        <v>2</v>
      </c>
      <c r="J7" s="609" t="s">
        <v>876</v>
      </c>
      <c r="K7" s="612"/>
      <c r="L7" s="612"/>
      <c r="M7" s="612"/>
      <c r="N7" s="612"/>
      <c r="O7" s="1"/>
      <c r="P7" s="237"/>
      <c r="Q7" s="237"/>
      <c r="R7" s="238"/>
      <c r="S7" s="1"/>
      <c r="T7" s="1"/>
      <c r="U7" s="1"/>
      <c r="V7" s="1"/>
      <c r="W7" s="1"/>
      <c r="X7" s="1"/>
      <c r="Y7" s="1"/>
    </row>
    <row r="8" spans="1:25" ht="18" x14ac:dyDescent="0.35">
      <c r="B8" s="60"/>
      <c r="C8" s="59"/>
      <c r="D8" s="59"/>
      <c r="E8" s="259"/>
      <c r="F8" s="143"/>
      <c r="G8" s="143"/>
      <c r="H8" s="1"/>
      <c r="I8" s="609">
        <v>3</v>
      </c>
      <c r="J8" s="609"/>
      <c r="K8" s="613"/>
      <c r="L8" s="613"/>
      <c r="M8" s="613"/>
      <c r="N8" s="613"/>
      <c r="O8" s="1"/>
      <c r="P8" s="238"/>
      <c r="Q8" s="238"/>
      <c r="R8" s="238"/>
      <c r="S8" s="1"/>
      <c r="T8" s="1"/>
      <c r="U8" s="1"/>
      <c r="V8" s="1"/>
      <c r="W8" s="1"/>
      <c r="X8" s="1"/>
      <c r="Y8" s="1"/>
    </row>
    <row r="9" spans="1:25" ht="18" x14ac:dyDescent="0.35">
      <c r="B9" s="59"/>
      <c r="C9" s="58" t="s">
        <v>238</v>
      </c>
      <c r="D9" s="59" t="s">
        <v>137</v>
      </c>
      <c r="E9" s="273"/>
      <c r="F9" s="273"/>
      <c r="G9" s="273"/>
      <c r="H9" s="1"/>
      <c r="I9" s="609">
        <v>4</v>
      </c>
      <c r="J9" s="609" t="s">
        <v>893</v>
      </c>
      <c r="K9" s="611"/>
      <c r="L9" s="611"/>
      <c r="M9" s="611"/>
      <c r="N9" s="611"/>
      <c r="O9" s="1"/>
      <c r="P9" s="239"/>
      <c r="Q9" s="1185"/>
      <c r="R9" s="1186"/>
      <c r="S9" s="1186"/>
      <c r="T9" s="1186"/>
      <c r="U9" s="1186"/>
      <c r="V9" s="1187"/>
      <c r="W9" s="1"/>
      <c r="X9" s="1"/>
      <c r="Y9" s="1"/>
    </row>
    <row r="10" spans="1:25" ht="18" x14ac:dyDescent="0.35">
      <c r="B10" s="59"/>
      <c r="C10" s="59"/>
      <c r="D10" s="261"/>
      <c r="E10" s="203"/>
      <c r="F10" s="203"/>
      <c r="G10" s="203"/>
      <c r="H10" s="1"/>
      <c r="I10" s="609">
        <v>5</v>
      </c>
      <c r="J10" s="667" t="s">
        <v>894</v>
      </c>
      <c r="K10" s="612"/>
      <c r="L10" s="612"/>
      <c r="M10" s="612"/>
      <c r="N10" s="612"/>
      <c r="O10" s="1"/>
      <c r="P10" s="237"/>
      <c r="Q10" s="1188"/>
      <c r="R10" s="1189"/>
      <c r="S10" s="1189"/>
      <c r="T10" s="1189"/>
      <c r="U10" s="1189"/>
      <c r="V10" s="1190"/>
      <c r="W10" s="1"/>
      <c r="X10" s="1"/>
      <c r="Y10" s="1"/>
    </row>
    <row r="11" spans="1:25" ht="18" x14ac:dyDescent="0.35">
      <c r="B11" s="59"/>
      <c r="C11" s="58"/>
      <c r="D11" s="59"/>
      <c r="E11" s="273" t="s">
        <v>860</v>
      </c>
      <c r="F11" s="61"/>
      <c r="G11" s="61" t="s">
        <v>208</v>
      </c>
      <c r="H11" s="1"/>
      <c r="I11" s="609" t="s">
        <v>874</v>
      </c>
      <c r="J11" s="609" t="s">
        <v>274</v>
      </c>
      <c r="K11" s="612"/>
      <c r="L11" s="612"/>
      <c r="M11" s="612"/>
      <c r="N11" s="612"/>
      <c r="O11" s="1"/>
      <c r="P11" s="237"/>
      <c r="Q11" s="624"/>
      <c r="R11" s="519"/>
      <c r="S11" s="519"/>
      <c r="T11" s="519"/>
      <c r="U11" s="519"/>
      <c r="V11" s="520"/>
      <c r="W11" s="1"/>
      <c r="X11" s="1"/>
      <c r="Y11" s="1"/>
    </row>
    <row r="12" spans="1:25" ht="18" x14ac:dyDescent="0.35">
      <c r="B12" s="59"/>
      <c r="C12" s="59"/>
      <c r="D12" s="59"/>
      <c r="E12" s="203"/>
      <c r="F12" s="61"/>
      <c r="G12" s="61"/>
      <c r="H12" s="1"/>
      <c r="I12" s="609" t="s">
        <v>877</v>
      </c>
      <c r="J12" s="609" t="s">
        <v>778</v>
      </c>
      <c r="K12" s="614"/>
      <c r="L12" s="614"/>
      <c r="M12" s="614"/>
      <c r="N12" s="614"/>
      <c r="O12" s="1"/>
      <c r="P12" s="239"/>
      <c r="Q12" s="1188"/>
      <c r="R12" s="1189"/>
      <c r="S12" s="1189"/>
      <c r="T12" s="1189"/>
      <c r="U12" s="1189"/>
      <c r="V12" s="1190"/>
      <c r="W12" s="1"/>
      <c r="X12" s="1"/>
      <c r="Y12" s="1"/>
    </row>
    <row r="13" spans="1:25" ht="18" x14ac:dyDescent="0.35">
      <c r="B13" s="59"/>
      <c r="C13" s="59"/>
      <c r="D13" s="62"/>
      <c r="E13" s="63"/>
      <c r="F13" s="63"/>
      <c r="G13" s="61"/>
      <c r="H13" s="1"/>
      <c r="I13" s="609" t="s">
        <v>881</v>
      </c>
      <c r="J13" s="619" t="s">
        <v>882</v>
      </c>
      <c r="K13" s="614"/>
      <c r="L13" s="614"/>
      <c r="M13" s="614"/>
      <c r="N13" s="614"/>
      <c r="O13" s="1"/>
      <c r="P13" s="239"/>
      <c r="Q13" s="240"/>
      <c r="R13" s="238"/>
      <c r="S13" s="1"/>
      <c r="T13" s="1"/>
      <c r="U13" s="1"/>
      <c r="V13" s="1"/>
      <c r="W13" s="1"/>
      <c r="X13" s="1"/>
      <c r="Y13" s="1"/>
    </row>
    <row r="14" spans="1:25" ht="18" x14ac:dyDescent="0.35">
      <c r="B14" s="59"/>
      <c r="C14" s="59"/>
      <c r="D14" s="98"/>
      <c r="E14" s="61"/>
      <c r="F14" s="61"/>
      <c r="G14" s="61"/>
      <c r="H14" s="1"/>
      <c r="I14" s="614" t="s">
        <v>878</v>
      </c>
      <c r="J14" s="614" t="s">
        <v>958</v>
      </c>
      <c r="K14" s="614"/>
      <c r="L14" s="614"/>
      <c r="M14" s="614"/>
      <c r="N14" s="614"/>
      <c r="O14" s="1"/>
      <c r="P14" s="239"/>
      <c r="Q14" s="240"/>
      <c r="R14" s="238"/>
      <c r="S14" s="1"/>
      <c r="T14" s="1"/>
      <c r="U14" s="1"/>
      <c r="V14" s="1"/>
      <c r="W14" s="1"/>
      <c r="X14" s="1"/>
      <c r="Y14" s="1"/>
    </row>
    <row r="15" spans="1:25" ht="18" x14ac:dyDescent="0.35">
      <c r="B15" s="59"/>
      <c r="C15" s="59"/>
      <c r="D15" s="59"/>
      <c r="E15" s="59" t="s">
        <v>278</v>
      </c>
      <c r="F15" s="61"/>
      <c r="G15" s="61" t="s">
        <v>282</v>
      </c>
      <c r="H15" s="1"/>
      <c r="I15" s="621"/>
      <c r="J15" s="621"/>
      <c r="K15" s="621"/>
      <c r="L15" s="621"/>
      <c r="M15" s="621"/>
      <c r="N15" s="621"/>
      <c r="O15" s="1"/>
      <c r="P15" s="241"/>
      <c r="Q15" s="240"/>
      <c r="R15" s="238"/>
      <c r="S15" s="1"/>
      <c r="T15" s="1"/>
      <c r="U15" s="1"/>
      <c r="V15" s="1"/>
      <c r="W15" s="1"/>
      <c r="X15" s="1"/>
      <c r="Y15" s="1"/>
    </row>
    <row r="16" spans="1:25" ht="18" x14ac:dyDescent="0.35">
      <c r="B16" s="59"/>
      <c r="C16" s="143" t="s">
        <v>236</v>
      </c>
      <c r="D16" s="59"/>
      <c r="E16" s="61"/>
      <c r="F16" s="61"/>
      <c r="G16" s="61"/>
      <c r="H16" s="1"/>
      <c r="I16" s="622"/>
      <c r="J16" s="615" t="s">
        <v>886</v>
      </c>
      <c r="K16" s="623">
        <f>Directv!U3</f>
        <v>14</v>
      </c>
      <c r="L16" s="622" t="s">
        <v>892</v>
      </c>
      <c r="M16" s="622"/>
      <c r="N16" s="622"/>
      <c r="O16" s="1"/>
      <c r="P16" s="241"/>
      <c r="Q16" s="240"/>
      <c r="R16" s="238"/>
      <c r="S16" s="1"/>
      <c r="T16" s="1"/>
      <c r="U16" s="1"/>
      <c r="V16" s="1"/>
      <c r="W16" s="1"/>
      <c r="X16" s="1"/>
      <c r="Y16" s="1"/>
    </row>
    <row r="17" spans="1:25" s="511" customFormat="1" ht="27" customHeight="1" x14ac:dyDescent="0.35">
      <c r="A17" s="1"/>
      <c r="B17" s="59"/>
      <c r="C17" s="59"/>
      <c r="D17" s="59"/>
      <c r="E17" s="61"/>
      <c r="F17" s="61"/>
      <c r="G17" s="61"/>
      <c r="H17" s="1"/>
      <c r="I17" s="621"/>
      <c r="J17" s="621"/>
      <c r="K17" s="621"/>
      <c r="L17" s="621"/>
      <c r="M17" s="621"/>
      <c r="N17" s="621"/>
      <c r="O17" s="1"/>
      <c r="P17" s="239"/>
      <c r="Q17" s="240"/>
      <c r="R17" s="238"/>
      <c r="S17" s="1"/>
      <c r="T17" s="1"/>
      <c r="U17" s="1"/>
      <c r="V17" s="1"/>
      <c r="W17" s="1"/>
      <c r="X17" s="1"/>
      <c r="Y17" s="1"/>
    </row>
    <row r="18" spans="1:25" ht="24" customHeight="1" x14ac:dyDescent="0.35">
      <c r="B18" s="59"/>
      <c r="C18" s="59"/>
      <c r="D18" s="59"/>
      <c r="E18" s="61"/>
      <c r="F18" s="61"/>
      <c r="G18" s="61"/>
      <c r="H18" s="1"/>
      <c r="I18" s="621"/>
      <c r="J18" s="621"/>
      <c r="K18" s="621"/>
      <c r="L18" s="621"/>
      <c r="M18" s="621"/>
      <c r="N18" s="621"/>
      <c r="O18" s="1"/>
      <c r="P18" s="239"/>
      <c r="Q18" s="240"/>
      <c r="R18" s="238"/>
      <c r="S18" s="1"/>
      <c r="T18" s="1"/>
      <c r="U18" s="1"/>
      <c r="V18" s="1"/>
      <c r="W18" s="1"/>
      <c r="X18" s="1"/>
      <c r="Y18" s="1"/>
    </row>
    <row r="19" spans="1:25" s="1" customFormat="1" ht="70.5" customHeight="1" x14ac:dyDescent="0.45">
      <c r="B19" s="517"/>
      <c r="C19" s="517"/>
      <c r="D19" s="517"/>
      <c r="E19" s="518"/>
      <c r="F19" s="518"/>
      <c r="G19" s="518"/>
      <c r="I19" s="599" t="s">
        <v>873</v>
      </c>
      <c r="J19" s="519"/>
      <c r="K19" s="519"/>
      <c r="L19" s="519"/>
      <c r="M19" s="519"/>
      <c r="N19" s="520"/>
      <c r="P19" s="239"/>
      <c r="Q19" s="240"/>
      <c r="R19" s="238"/>
    </row>
    <row r="20" spans="1:25" s="505" customFormat="1" ht="18.600000000000001" thickBot="1" x14ac:dyDescent="0.4">
      <c r="A20" s="1"/>
      <c r="B20" s="61"/>
      <c r="C20" s="521" t="s">
        <v>853</v>
      </c>
      <c r="D20" s="61"/>
      <c r="E20" s="61"/>
      <c r="F20" s="61"/>
      <c r="G20" s="61"/>
      <c r="H20" s="1"/>
      <c r="I20" s="609"/>
      <c r="J20" s="610" t="s">
        <v>875</v>
      </c>
      <c r="K20" s="611"/>
      <c r="L20" s="611"/>
      <c r="M20" s="611"/>
      <c r="N20" s="611"/>
      <c r="O20" s="1"/>
      <c r="P20" s="239"/>
      <c r="Q20" s="240"/>
      <c r="R20" s="238"/>
      <c r="S20" s="1"/>
      <c r="T20" s="1"/>
      <c r="U20" s="1"/>
      <c r="V20" s="1"/>
      <c r="W20" s="1"/>
      <c r="X20" s="1"/>
      <c r="Y20" s="1"/>
    </row>
    <row r="21" spans="1:25" s="505" customFormat="1" ht="18" x14ac:dyDescent="0.35">
      <c r="A21" s="1"/>
      <c r="B21" s="59" t="s">
        <v>0</v>
      </c>
      <c r="C21" s="61"/>
      <c r="D21" s="61"/>
      <c r="E21" s="532" t="s">
        <v>4</v>
      </c>
      <c r="F21" s="533" t="s">
        <v>5</v>
      </c>
      <c r="G21" s="534" t="s">
        <v>6</v>
      </c>
      <c r="H21" s="1"/>
      <c r="I21" s="609">
        <v>1</v>
      </c>
      <c r="J21" s="609" t="s">
        <v>885</v>
      </c>
      <c r="K21" s="612"/>
      <c r="L21" s="612"/>
      <c r="M21" s="612"/>
      <c r="N21" s="612"/>
      <c r="O21" s="1"/>
      <c r="P21" s="239"/>
      <c r="Q21" s="240"/>
      <c r="R21" s="238"/>
      <c r="S21" s="1"/>
      <c r="T21" s="1"/>
      <c r="U21" s="1"/>
      <c r="V21" s="1"/>
      <c r="W21" s="1"/>
      <c r="X21" s="1"/>
      <c r="Y21" s="1"/>
    </row>
    <row r="22" spans="1:25" s="505" customFormat="1" ht="18.600000000000001" thickBot="1" x14ac:dyDescent="0.4">
      <c r="A22" s="1"/>
      <c r="B22" s="61"/>
      <c r="C22" s="61"/>
      <c r="D22" s="61"/>
      <c r="E22" s="535">
        <f>ATTTV!M2</f>
        <v>74.989999999999995</v>
      </c>
      <c r="F22" s="536">
        <f>ATTTV!P2</f>
        <v>74.989999999999995</v>
      </c>
      <c r="G22" s="537">
        <f>ATTTV!S2</f>
        <v>10</v>
      </c>
      <c r="H22" s="1"/>
      <c r="I22" s="609">
        <v>2</v>
      </c>
      <c r="J22" s="609"/>
      <c r="K22" s="612"/>
      <c r="L22" s="612"/>
      <c r="M22" s="612"/>
      <c r="N22" s="612"/>
      <c r="O22" s="1"/>
      <c r="P22" s="239"/>
      <c r="Q22" s="240"/>
      <c r="R22" s="238"/>
      <c r="S22" s="1"/>
      <c r="T22" s="1"/>
      <c r="U22" s="1"/>
      <c r="V22" s="1"/>
      <c r="W22" s="1"/>
      <c r="X22" s="1"/>
      <c r="Y22" s="1"/>
    </row>
    <row r="23" spans="1:25" s="505" customFormat="1" ht="18" x14ac:dyDescent="0.35">
      <c r="A23" s="1"/>
      <c r="B23" s="61" t="s">
        <v>92</v>
      </c>
      <c r="C23" s="61"/>
      <c r="D23" s="61"/>
      <c r="E23" s="521"/>
      <c r="F23" s="521"/>
      <c r="G23" s="521"/>
      <c r="H23" s="1"/>
      <c r="I23" s="609">
        <v>3</v>
      </c>
      <c r="J23" s="609" t="s">
        <v>847</v>
      </c>
      <c r="K23" s="613"/>
      <c r="L23" s="613"/>
      <c r="M23" s="613"/>
      <c r="N23" s="613"/>
      <c r="O23" s="1"/>
      <c r="P23" s="239"/>
      <c r="Q23" s="240"/>
      <c r="R23" s="238"/>
      <c r="S23" s="1"/>
      <c r="T23" s="1"/>
      <c r="U23" s="1"/>
      <c r="V23" s="1"/>
      <c r="W23" s="1"/>
      <c r="X23" s="1"/>
      <c r="Y23" s="1"/>
    </row>
    <row r="24" spans="1:25" s="505" customFormat="1" ht="18" x14ac:dyDescent="0.35">
      <c r="A24" s="1"/>
      <c r="B24" s="61"/>
      <c r="C24" s="59"/>
      <c r="D24" s="521"/>
      <c r="E24" s="521"/>
      <c r="F24" s="521"/>
      <c r="G24" s="521"/>
      <c r="H24" s="1"/>
      <c r="I24" s="609">
        <v>4</v>
      </c>
      <c r="J24" s="609" t="s">
        <v>893</v>
      </c>
      <c r="K24" s="611"/>
      <c r="L24" s="611"/>
      <c r="M24" s="611"/>
      <c r="N24" s="611"/>
      <c r="O24" s="1"/>
      <c r="P24" s="239"/>
      <c r="Q24" s="240"/>
      <c r="R24" s="238"/>
      <c r="S24" s="1"/>
      <c r="T24" s="1"/>
      <c r="U24" s="1"/>
      <c r="V24" s="1"/>
      <c r="W24" s="1"/>
      <c r="X24" s="1"/>
      <c r="Y24" s="1"/>
    </row>
    <row r="25" spans="1:25" s="505" customFormat="1" ht="18" x14ac:dyDescent="0.35">
      <c r="A25" s="1"/>
      <c r="B25" s="521"/>
      <c r="C25" s="59"/>
      <c r="D25" s="521"/>
      <c r="E25" s="521"/>
      <c r="F25" s="521"/>
      <c r="G25" s="521"/>
      <c r="H25" s="1"/>
      <c r="I25" s="609">
        <v>5</v>
      </c>
      <c r="J25" s="668" t="s">
        <v>896</v>
      </c>
      <c r="K25" s="612"/>
      <c r="L25" s="612"/>
      <c r="M25" s="612"/>
      <c r="N25" s="612"/>
      <c r="O25" s="1"/>
      <c r="P25" s="239"/>
      <c r="Q25" s="1188"/>
      <c r="R25" s="1191"/>
      <c r="S25" s="1191"/>
      <c r="T25" s="1191"/>
      <c r="U25" s="1191"/>
      <c r="V25" s="1190"/>
      <c r="W25" s="1"/>
      <c r="X25" s="1"/>
      <c r="Y25" s="1"/>
    </row>
    <row r="26" spans="1:25" s="505" customFormat="1" ht="18" x14ac:dyDescent="0.35">
      <c r="A26" s="1"/>
      <c r="B26" s="59"/>
      <c r="C26" s="59"/>
      <c r="D26" s="273" t="s">
        <v>860</v>
      </c>
      <c r="E26" s="61"/>
      <c r="F26" s="61" t="s">
        <v>859</v>
      </c>
      <c r="G26" s="61"/>
      <c r="H26" s="1"/>
      <c r="I26" s="609" t="s">
        <v>874</v>
      </c>
      <c r="J26" s="609" t="s">
        <v>274</v>
      </c>
      <c r="K26" s="612"/>
      <c r="L26" s="612"/>
      <c r="M26" s="612"/>
      <c r="N26" s="612"/>
      <c r="O26" s="1"/>
      <c r="P26" s="239"/>
      <c r="Q26" s="1188"/>
      <c r="R26" s="1191"/>
      <c r="S26" s="1191"/>
      <c r="T26" s="1191"/>
      <c r="U26" s="1191"/>
      <c r="V26" s="1190"/>
      <c r="W26" s="1"/>
      <c r="X26" s="1"/>
      <c r="Y26" s="1"/>
    </row>
    <row r="27" spans="1:25" s="513" customFormat="1" ht="18" x14ac:dyDescent="0.35">
      <c r="A27" s="1"/>
      <c r="B27" s="521"/>
      <c r="C27" s="59"/>
      <c r="D27" s="59"/>
      <c r="E27" s="61"/>
      <c r="F27" s="61"/>
      <c r="G27" s="61"/>
      <c r="H27" s="1"/>
      <c r="I27" s="609" t="s">
        <v>877</v>
      </c>
      <c r="J27" s="609" t="s">
        <v>879</v>
      </c>
      <c r="K27" s="614"/>
      <c r="L27" s="614"/>
      <c r="M27" s="614"/>
      <c r="N27" s="614"/>
      <c r="O27" s="1"/>
      <c r="P27" s="239"/>
      <c r="Q27" s="1188"/>
      <c r="R27" s="1191"/>
      <c r="S27" s="1191"/>
      <c r="T27" s="1191"/>
      <c r="U27" s="1191"/>
      <c r="V27" s="1190"/>
      <c r="W27" s="1"/>
      <c r="X27" s="1"/>
      <c r="Y27" s="1"/>
    </row>
    <row r="28" spans="1:25" s="513" customFormat="1" ht="18" x14ac:dyDescent="0.35">
      <c r="A28" s="1"/>
      <c r="B28" s="521"/>
      <c r="C28" s="59"/>
      <c r="D28" s="59"/>
      <c r="E28" s="61"/>
      <c r="F28" s="61"/>
      <c r="G28" s="61"/>
      <c r="H28" s="1"/>
      <c r="I28" s="609" t="s">
        <v>881</v>
      </c>
      <c r="J28" s="619" t="s">
        <v>884</v>
      </c>
      <c r="K28" s="614"/>
      <c r="L28" s="614"/>
      <c r="M28" s="614"/>
      <c r="N28" s="614"/>
      <c r="O28" s="1"/>
      <c r="P28" s="239"/>
      <c r="Q28" s="1188"/>
      <c r="R28" s="1189"/>
      <c r="S28" s="1189"/>
      <c r="T28" s="1189"/>
      <c r="U28" s="1189"/>
      <c r="V28" s="1190"/>
      <c r="W28" s="1"/>
      <c r="X28" s="1"/>
      <c r="Y28" s="1"/>
    </row>
    <row r="29" spans="1:25" s="513" customFormat="1" ht="18" x14ac:dyDescent="0.35">
      <c r="A29" s="1"/>
      <c r="B29" s="521"/>
      <c r="C29" s="59"/>
      <c r="D29" s="59"/>
      <c r="E29" s="61"/>
      <c r="F29" s="61"/>
      <c r="G29" s="61"/>
      <c r="H29" s="1"/>
      <c r="I29" s="614" t="s">
        <v>878</v>
      </c>
      <c r="J29" s="614" t="s">
        <v>880</v>
      </c>
      <c r="K29" s="614"/>
      <c r="L29" s="614"/>
      <c r="M29" s="614"/>
      <c r="N29" s="614"/>
      <c r="O29" s="1"/>
      <c r="P29" s="239"/>
      <c r="Q29" s="620"/>
      <c r="R29" s="519"/>
      <c r="S29" s="519"/>
      <c r="T29" s="519"/>
      <c r="U29" s="519"/>
      <c r="V29" s="519"/>
      <c r="W29" s="1"/>
      <c r="X29" s="1"/>
      <c r="Y29" s="1"/>
    </row>
    <row r="30" spans="1:25" s="513" customFormat="1" ht="18" x14ac:dyDescent="0.35">
      <c r="A30" s="1"/>
      <c r="B30" s="521"/>
      <c r="C30" s="59"/>
      <c r="D30" s="59" t="s">
        <v>278</v>
      </c>
      <c r="E30" s="61"/>
      <c r="F30" s="61" t="s">
        <v>37</v>
      </c>
      <c r="G30" s="61"/>
      <c r="H30" s="1"/>
      <c r="I30" s="614"/>
      <c r="J30" s="614" t="s">
        <v>846</v>
      </c>
      <c r="K30" s="616"/>
      <c r="L30" s="616"/>
      <c r="M30" s="616"/>
      <c r="N30" s="616"/>
      <c r="O30" s="1"/>
      <c r="P30" s="239"/>
      <c r="Q30" s="1188"/>
      <c r="R30" s="1191"/>
      <c r="S30" s="1191"/>
      <c r="T30" s="1191"/>
      <c r="U30" s="1191"/>
      <c r="V30" s="1190"/>
      <c r="W30" s="1"/>
      <c r="X30" s="1"/>
      <c r="Y30" s="1"/>
    </row>
    <row r="31" spans="1:25" s="513" customFormat="1" ht="18" x14ac:dyDescent="0.35">
      <c r="A31" s="1"/>
      <c r="B31" s="521"/>
      <c r="C31" s="59"/>
      <c r="D31" s="59"/>
      <c r="E31" s="61"/>
      <c r="F31" s="61"/>
      <c r="G31" s="61"/>
      <c r="H31" s="1"/>
      <c r="I31" s="609"/>
      <c r="J31" s="609" t="s">
        <v>883</v>
      </c>
      <c r="K31" s="618"/>
      <c r="L31" s="618"/>
      <c r="M31" s="618"/>
      <c r="N31" s="618"/>
      <c r="O31" s="1"/>
      <c r="P31" s="239"/>
      <c r="Q31" s="1188"/>
      <c r="R31" s="1189"/>
      <c r="S31" s="1189"/>
      <c r="T31" s="1189"/>
      <c r="U31" s="1189"/>
      <c r="V31" s="1190"/>
      <c r="W31" s="1"/>
      <c r="X31" s="1"/>
      <c r="Y31" s="1"/>
    </row>
    <row r="32" spans="1:25" s="505" customFormat="1" ht="18" x14ac:dyDescent="0.35">
      <c r="A32" s="1"/>
      <c r="B32" s="59"/>
      <c r="C32" s="59"/>
      <c r="D32" s="59"/>
      <c r="E32" s="61"/>
      <c r="F32" s="61"/>
      <c r="G32" s="61"/>
      <c r="H32" s="1"/>
      <c r="I32" s="616"/>
      <c r="J32" s="616"/>
      <c r="K32" s="616"/>
      <c r="L32" s="616"/>
      <c r="M32" s="616"/>
      <c r="N32" s="616"/>
      <c r="O32" s="1"/>
      <c r="P32" s="239"/>
      <c r="Q32" s="240"/>
      <c r="R32" s="238"/>
      <c r="S32" s="1"/>
      <c r="T32" s="1"/>
      <c r="U32" s="1"/>
      <c r="V32" s="1"/>
      <c r="W32" s="1"/>
      <c r="X32" s="1"/>
      <c r="Y32" s="1"/>
    </row>
    <row r="33" spans="1:26" s="505" customFormat="1" ht="18.600000000000001" thickBot="1" x14ac:dyDescent="0.4">
      <c r="A33" s="1"/>
      <c r="B33" s="59"/>
      <c r="C33" s="59"/>
      <c r="D33" s="59"/>
      <c r="E33" s="61"/>
      <c r="F33" s="61"/>
      <c r="G33" s="61"/>
      <c r="H33" s="1"/>
      <c r="I33" s="616"/>
      <c r="J33" s="616"/>
      <c r="K33" s="616"/>
      <c r="L33" s="616"/>
      <c r="M33" s="616"/>
      <c r="N33" s="616"/>
      <c r="O33" s="1"/>
      <c r="P33" s="239"/>
      <c r="Q33" s="240"/>
      <c r="R33" s="238"/>
      <c r="S33" s="1"/>
      <c r="T33" s="1"/>
      <c r="U33" s="1"/>
      <c r="V33" s="1"/>
      <c r="W33" s="1"/>
      <c r="X33" s="1"/>
      <c r="Y33" s="1"/>
    </row>
    <row r="34" spans="1:26" ht="32.4" thickTop="1" thickBot="1" x14ac:dyDescent="0.65">
      <c r="B34" s="1181"/>
      <c r="C34" s="1182"/>
      <c r="D34" s="1182"/>
      <c r="E34" s="1182"/>
      <c r="F34" s="1182"/>
      <c r="G34" s="1183"/>
      <c r="H34" s="1"/>
      <c r="I34" s="599" t="s">
        <v>480</v>
      </c>
      <c r="J34" s="89"/>
      <c r="K34" s="89"/>
      <c r="L34" s="89"/>
      <c r="M34" s="89"/>
      <c r="N34" s="89"/>
      <c r="O34" s="1"/>
      <c r="P34" s="242"/>
      <c r="Q34" s="243"/>
      <c r="R34" s="238"/>
      <c r="S34" s="1"/>
      <c r="T34" s="1"/>
      <c r="U34" s="1"/>
      <c r="V34" s="1"/>
      <c r="W34" s="1"/>
      <c r="X34" s="1"/>
      <c r="Y34" s="1"/>
      <c r="Z34" s="1"/>
    </row>
    <row r="35" spans="1:26" ht="19.2" thickTop="1" thickBot="1" x14ac:dyDescent="0.4">
      <c r="B35" s="85" t="s">
        <v>7</v>
      </c>
      <c r="C35" s="86"/>
      <c r="D35" s="86"/>
      <c r="E35" s="86"/>
      <c r="F35" s="86"/>
      <c r="G35" s="86"/>
      <c r="H35" s="1"/>
      <c r="I35" s="1195" t="s">
        <v>979</v>
      </c>
      <c r="J35" s="1098"/>
      <c r="K35" s="1098"/>
      <c r="L35" s="1098"/>
      <c r="M35" s="1098"/>
      <c r="N35" s="1098"/>
      <c r="O35" s="1"/>
      <c r="P35" s="242"/>
      <c r="Q35" s="243"/>
      <c r="R35" s="238"/>
      <c r="S35" s="1"/>
      <c r="T35" s="1"/>
      <c r="U35" s="1"/>
      <c r="V35" s="1"/>
      <c r="W35" s="1"/>
      <c r="X35" s="1"/>
      <c r="Y35" s="1"/>
      <c r="Z35" s="1"/>
    </row>
    <row r="36" spans="1:26" ht="18.600000000000001" thickTop="1" x14ac:dyDescent="0.35">
      <c r="B36" s="85"/>
      <c r="C36" s="86"/>
      <c r="D36" s="86"/>
      <c r="E36" s="538" t="s">
        <v>4</v>
      </c>
      <c r="F36" s="539" t="s">
        <v>5</v>
      </c>
      <c r="G36" s="540" t="s">
        <v>6</v>
      </c>
      <c r="H36" s="1"/>
      <c r="I36" s="1098"/>
      <c r="J36" s="1098"/>
      <c r="K36" s="1098"/>
      <c r="L36" s="1098"/>
      <c r="M36" s="1098"/>
      <c r="N36" s="1098"/>
      <c r="O36" s="1"/>
      <c r="P36" s="244"/>
      <c r="Q36" s="243"/>
      <c r="R36" s="238"/>
      <c r="S36" s="1"/>
      <c r="T36" s="1"/>
      <c r="U36" s="1"/>
      <c r="V36" s="1"/>
      <c r="W36" s="1"/>
      <c r="X36" s="1"/>
      <c r="Y36" s="1"/>
      <c r="Z36" s="1"/>
    </row>
    <row r="37" spans="1:26" ht="21" customHeight="1" thickBot="1" x14ac:dyDescent="0.4">
      <c r="B37" s="85" t="s">
        <v>13</v>
      </c>
      <c r="C37" s="86"/>
      <c r="D37" s="86"/>
      <c r="E37" s="541">
        <f>Frontier!Q4</f>
        <v>49.99</v>
      </c>
      <c r="F37" s="542">
        <f>Frontier!R4</f>
        <v>59.99</v>
      </c>
      <c r="G37" s="543">
        <f>Frontier!Q7</f>
        <v>85</v>
      </c>
      <c r="H37" s="1"/>
      <c r="I37" s="1098"/>
      <c r="J37" s="1098"/>
      <c r="K37" s="1098"/>
      <c r="L37" s="1098"/>
      <c r="M37" s="1098"/>
      <c r="N37" s="1098"/>
      <c r="O37" s="1"/>
      <c r="P37" s="245"/>
      <c r="Q37" s="238"/>
      <c r="R37" s="238"/>
      <c r="S37" s="1"/>
      <c r="T37" s="1"/>
      <c r="U37" s="1"/>
      <c r="V37" s="1"/>
      <c r="W37" s="1"/>
      <c r="X37" s="1"/>
      <c r="Y37" s="1"/>
      <c r="Z37" s="1"/>
    </row>
    <row r="38" spans="1:26" ht="18.600000000000001" thickTop="1" x14ac:dyDescent="0.35">
      <c r="B38" s="85"/>
      <c r="C38" s="86"/>
      <c r="D38" s="85"/>
      <c r="E38" s="86"/>
      <c r="F38" s="86"/>
      <c r="G38" s="86"/>
      <c r="H38" s="1"/>
      <c r="I38" s="1098"/>
      <c r="J38" s="1098"/>
      <c r="K38" s="1098"/>
      <c r="L38" s="1098"/>
      <c r="M38" s="1098"/>
      <c r="N38" s="1098"/>
      <c r="O38" s="1"/>
      <c r="P38" s="242"/>
      <c r="Q38" s="243"/>
      <c r="R38" s="238"/>
      <c r="S38" s="1"/>
      <c r="T38" s="1"/>
      <c r="U38" s="1"/>
      <c r="V38" s="1"/>
      <c r="W38" s="1"/>
      <c r="X38" s="1"/>
      <c r="Y38" s="1"/>
      <c r="Z38" s="1"/>
    </row>
    <row r="39" spans="1:26" s="525" customFormat="1" ht="22.5" customHeight="1" x14ac:dyDescent="0.35">
      <c r="A39" s="1"/>
      <c r="B39" s="85"/>
      <c r="C39" s="86"/>
      <c r="D39" s="85"/>
      <c r="E39" s="86"/>
      <c r="F39" s="86"/>
      <c r="G39" s="86"/>
      <c r="H39" s="1"/>
      <c r="I39" s="1216" t="s">
        <v>976</v>
      </c>
      <c r="J39" s="1098"/>
      <c r="K39" s="1098"/>
      <c r="L39" s="1098"/>
      <c r="M39" s="1098"/>
      <c r="N39" s="1098"/>
      <c r="O39" s="1"/>
      <c r="P39" s="242"/>
      <c r="Q39" s="243"/>
      <c r="R39" s="238"/>
      <c r="S39" s="1"/>
      <c r="T39" s="1"/>
      <c r="U39" s="1"/>
      <c r="V39" s="1"/>
      <c r="W39" s="1"/>
      <c r="X39" s="1"/>
      <c r="Y39" s="1"/>
      <c r="Z39" s="1"/>
    </row>
    <row r="40" spans="1:26" s="525" customFormat="1" ht="22.5" customHeight="1" x14ac:dyDescent="0.35">
      <c r="A40" s="1"/>
      <c r="B40" s="85"/>
      <c r="C40" s="86"/>
      <c r="D40" s="85"/>
      <c r="E40" s="86"/>
      <c r="F40" s="86"/>
      <c r="G40" s="86"/>
      <c r="H40" s="1"/>
      <c r="I40" s="609" t="s">
        <v>975</v>
      </c>
      <c r="J40" s="617"/>
      <c r="K40" s="617"/>
      <c r="L40" s="625"/>
      <c r="M40" s="625"/>
      <c r="N40" s="625"/>
      <c r="O40" s="1"/>
      <c r="P40" s="242"/>
      <c r="Q40" s="243"/>
      <c r="R40" s="238"/>
      <c r="S40" s="1"/>
      <c r="T40" s="1"/>
      <c r="U40" s="1"/>
      <c r="V40" s="1"/>
      <c r="W40" s="1"/>
      <c r="X40" s="1"/>
      <c r="Y40" s="1"/>
      <c r="Z40" s="1"/>
    </row>
    <row r="41" spans="1:26" s="525" customFormat="1" ht="18.75" customHeight="1" x14ac:dyDescent="0.35">
      <c r="A41" s="1"/>
      <c r="B41" s="85"/>
      <c r="C41" s="86"/>
      <c r="D41" s="85"/>
      <c r="E41" s="86"/>
      <c r="F41" s="86"/>
      <c r="G41" s="86"/>
      <c r="H41" s="1"/>
      <c r="I41" s="609" t="s">
        <v>899</v>
      </c>
      <c r="J41" s="617"/>
      <c r="K41" s="617"/>
      <c r="L41" s="625"/>
      <c r="M41" s="625"/>
      <c r="N41" s="625"/>
      <c r="O41" s="1"/>
      <c r="P41" s="242"/>
      <c r="Q41" s="243"/>
      <c r="R41" s="238"/>
      <c r="S41" s="1"/>
      <c r="T41" s="1"/>
      <c r="U41" s="1"/>
      <c r="V41" s="1"/>
      <c r="W41" s="1"/>
      <c r="X41" s="1"/>
      <c r="Y41" s="1"/>
      <c r="Z41" s="1"/>
    </row>
    <row r="42" spans="1:26" s="525" customFormat="1" ht="18" x14ac:dyDescent="0.35">
      <c r="A42" s="1"/>
      <c r="B42" s="85"/>
      <c r="C42" s="86"/>
      <c r="D42" s="85"/>
      <c r="E42" s="86"/>
      <c r="F42" s="86"/>
      <c r="G42" s="86"/>
      <c r="H42" s="1"/>
      <c r="I42" s="609" t="s">
        <v>900</v>
      </c>
      <c r="J42" s="617"/>
      <c r="K42" s="617"/>
      <c r="L42" s="625"/>
      <c r="M42" s="625"/>
      <c r="N42" s="625"/>
      <c r="O42" s="1"/>
      <c r="P42" s="242"/>
      <c r="Q42" s="243"/>
      <c r="R42" s="238"/>
      <c r="S42" s="1"/>
      <c r="T42" s="1"/>
      <c r="U42" s="1"/>
      <c r="V42" s="1"/>
      <c r="W42" s="1"/>
      <c r="X42" s="1"/>
      <c r="Y42" s="1"/>
      <c r="Z42" s="1"/>
    </row>
    <row r="43" spans="1:26" ht="18.600000000000001" thickBot="1" x14ac:dyDescent="0.4">
      <c r="B43" s="85"/>
      <c r="C43" s="86"/>
      <c r="D43" s="86"/>
      <c r="E43" s="86"/>
      <c r="F43" s="86"/>
      <c r="G43" s="86"/>
      <c r="H43" s="1"/>
      <c r="I43" s="614"/>
      <c r="J43" s="617"/>
      <c r="K43" s="617"/>
      <c r="L43" s="609"/>
      <c r="M43" s="609"/>
      <c r="N43" s="609"/>
      <c r="O43" s="1"/>
      <c r="P43" s="238"/>
      <c r="Q43" s="238"/>
      <c r="R43" s="238"/>
      <c r="S43" s="1"/>
      <c r="T43" s="1"/>
      <c r="U43" s="1"/>
      <c r="V43" s="1"/>
      <c r="W43" s="1"/>
      <c r="X43" s="1"/>
      <c r="Y43" s="1"/>
      <c r="Z43" s="1"/>
    </row>
    <row r="44" spans="1:26" ht="32.4" thickTop="1" thickBot="1" x14ac:dyDescent="0.65">
      <c r="B44" s="1192"/>
      <c r="C44" s="1193"/>
      <c r="D44" s="1193"/>
      <c r="E44" s="1193"/>
      <c r="F44" s="1193"/>
      <c r="G44" s="1194"/>
      <c r="H44" s="1"/>
      <c r="I44" s="600" t="s">
        <v>169</v>
      </c>
      <c r="J44" s="93"/>
      <c r="K44" s="93"/>
      <c r="L44" s="93"/>
      <c r="M44" s="93"/>
      <c r="N44" s="93"/>
      <c r="O44" s="473"/>
      <c r="P44" s="473"/>
      <c r="Q44" s="1"/>
      <c r="R44" s="1"/>
      <c r="S44" s="1"/>
      <c r="T44" s="1"/>
      <c r="U44" s="1"/>
      <c r="V44" s="1"/>
      <c r="W44" s="1"/>
      <c r="X44" s="1"/>
      <c r="Y44" s="1"/>
      <c r="Z44" s="1"/>
    </row>
    <row r="45" spans="1:26" ht="15.6" thickTop="1" thickBot="1" x14ac:dyDescent="0.35">
      <c r="B45" s="67" t="s">
        <v>7</v>
      </c>
      <c r="C45" s="64"/>
      <c r="D45" s="64"/>
      <c r="E45" s="66"/>
      <c r="F45" s="66"/>
      <c r="G45" s="65"/>
      <c r="H45" s="1"/>
      <c r="I45" s="671" t="s">
        <v>901</v>
      </c>
      <c r="J45" s="671"/>
      <c r="K45" s="671"/>
      <c r="L45" s="671"/>
      <c r="M45" s="671"/>
      <c r="N45" s="671"/>
      <c r="O45" s="1"/>
      <c r="P45" s="1"/>
      <c r="Q45" s="1"/>
      <c r="R45" s="1"/>
      <c r="S45" s="1"/>
      <c r="T45" s="1"/>
      <c r="U45" s="1"/>
      <c r="V45" s="1"/>
      <c r="W45" s="1"/>
      <c r="X45" s="1"/>
      <c r="Y45" s="1"/>
      <c r="Z45" s="1"/>
    </row>
    <row r="46" spans="1:26" x14ac:dyDescent="0.3">
      <c r="B46" s="68"/>
      <c r="C46" s="64"/>
      <c r="D46" s="65"/>
      <c r="E46" s="584" t="s">
        <v>4</v>
      </c>
      <c r="F46" s="585" t="s">
        <v>5</v>
      </c>
      <c r="G46" s="586" t="s">
        <v>6</v>
      </c>
      <c r="H46" s="1"/>
      <c r="I46" s="671" t="s">
        <v>902</v>
      </c>
      <c r="J46" s="671"/>
      <c r="K46" s="671"/>
      <c r="L46" s="671"/>
      <c r="M46" s="671"/>
      <c r="N46" s="671"/>
      <c r="O46" s="1"/>
      <c r="P46" s="1"/>
      <c r="Q46" s="1"/>
      <c r="R46" s="1"/>
      <c r="S46" s="1"/>
      <c r="T46" s="1"/>
      <c r="U46" s="1"/>
      <c r="V46" s="1"/>
      <c r="W46" s="1"/>
      <c r="X46" s="1"/>
      <c r="Y46" s="1"/>
      <c r="Z46" s="1"/>
    </row>
    <row r="47" spans="1:26" ht="17.25" customHeight="1" thickBot="1" x14ac:dyDescent="0.35">
      <c r="B47" s="64"/>
      <c r="C47" s="69"/>
      <c r="D47" s="65"/>
      <c r="E47" s="587">
        <f>ATT!M7</f>
        <v>50</v>
      </c>
      <c r="F47" s="588">
        <f>ATT!N7</f>
        <v>70</v>
      </c>
      <c r="G47" s="589">
        <f>ATT!M10</f>
        <v>99</v>
      </c>
      <c r="H47" s="1"/>
      <c r="I47" s="671" t="s">
        <v>903</v>
      </c>
      <c r="J47" s="671"/>
      <c r="K47" s="671"/>
      <c r="L47" s="671"/>
      <c r="M47" s="671"/>
      <c r="N47" s="671"/>
      <c r="O47" s="1"/>
      <c r="P47" s="1"/>
      <c r="Q47" s="1"/>
      <c r="R47" s="1"/>
      <c r="S47" s="1"/>
      <c r="T47" s="1"/>
      <c r="U47" s="1"/>
      <c r="V47" s="1"/>
      <c r="W47" s="1"/>
      <c r="X47" s="1"/>
      <c r="Y47" s="1"/>
      <c r="Z47" s="1"/>
    </row>
    <row r="48" spans="1:26" ht="18" customHeight="1" x14ac:dyDescent="0.45">
      <c r="B48" s="64" t="s">
        <v>852</v>
      </c>
      <c r="C48" s="70"/>
      <c r="D48" s="1210" t="s">
        <v>972</v>
      </c>
      <c r="E48" s="582"/>
      <c r="F48" s="582"/>
      <c r="G48" s="582"/>
      <c r="H48" s="1"/>
      <c r="I48" s="671" t="s">
        <v>904</v>
      </c>
      <c r="J48" s="671"/>
      <c r="K48" s="671"/>
      <c r="L48" s="671"/>
      <c r="M48" s="671"/>
      <c r="N48" s="671"/>
      <c r="O48" s="1"/>
      <c r="P48" s="1"/>
      <c r="Q48" s="1"/>
      <c r="R48" s="1"/>
      <c r="S48" s="1"/>
      <c r="T48" s="1"/>
      <c r="U48" s="1"/>
      <c r="V48" s="1"/>
      <c r="W48" s="1"/>
      <c r="X48" s="1"/>
      <c r="Y48" s="1"/>
      <c r="Z48" s="1"/>
    </row>
    <row r="49" spans="1:26" ht="21" x14ac:dyDescent="0.35">
      <c r="B49" s="64"/>
      <c r="C49" s="69"/>
      <c r="D49" s="1098"/>
      <c r="E49" s="1214"/>
      <c r="F49" s="1215"/>
      <c r="G49" s="1215"/>
      <c r="H49" s="1"/>
      <c r="I49" s="672" t="s">
        <v>905</v>
      </c>
      <c r="J49" s="670"/>
      <c r="K49" s="670"/>
      <c r="L49" s="670"/>
      <c r="M49" s="670"/>
      <c r="N49" s="670"/>
      <c r="O49" s="1"/>
      <c r="P49" s="1"/>
      <c r="Q49" s="1"/>
      <c r="R49" s="1"/>
      <c r="S49" s="1"/>
      <c r="T49" s="1"/>
      <c r="U49" s="1"/>
      <c r="V49" s="1"/>
      <c r="W49" s="1"/>
      <c r="X49" s="1"/>
      <c r="Y49" s="1"/>
      <c r="Z49" s="1"/>
    </row>
    <row r="50" spans="1:26" s="525" customFormat="1" ht="15" customHeight="1" x14ac:dyDescent="0.3">
      <c r="A50" s="1"/>
      <c r="B50" s="64"/>
      <c r="C50" s="69"/>
      <c r="D50" s="1098"/>
      <c r="E50" s="904"/>
      <c r="F50" s="904"/>
      <c r="G50" s="904"/>
      <c r="H50" s="1"/>
      <c r="I50" s="609" t="s">
        <v>898</v>
      </c>
      <c r="J50" s="617"/>
      <c r="K50" s="617"/>
      <c r="L50" s="617"/>
      <c r="M50" s="617"/>
      <c r="N50" s="617"/>
      <c r="O50" s="1"/>
      <c r="P50" s="1"/>
      <c r="Q50" s="1"/>
      <c r="R50" s="1"/>
      <c r="S50" s="1"/>
      <c r="T50" s="1"/>
      <c r="U50" s="1"/>
      <c r="V50" s="1"/>
      <c r="W50" s="1"/>
      <c r="X50" s="1"/>
      <c r="Y50" s="1"/>
      <c r="Z50" s="1"/>
    </row>
    <row r="51" spans="1:26" s="525" customFormat="1" x14ac:dyDescent="0.3">
      <c r="A51" s="1"/>
      <c r="B51" s="64"/>
      <c r="C51" s="69"/>
      <c r="D51" s="1098"/>
      <c r="E51" s="904"/>
      <c r="F51" s="904"/>
      <c r="G51" s="904"/>
      <c r="H51" s="1"/>
      <c r="I51" s="609" t="s">
        <v>899</v>
      </c>
      <c r="J51" s="617"/>
      <c r="K51" s="617"/>
      <c r="L51" s="617"/>
      <c r="M51" s="617"/>
      <c r="N51" s="617"/>
      <c r="O51" s="1"/>
      <c r="P51" s="1"/>
      <c r="Q51" s="1"/>
      <c r="R51" s="1"/>
      <c r="S51" s="1"/>
      <c r="T51" s="1"/>
      <c r="U51" s="1"/>
      <c r="V51" s="1"/>
      <c r="W51" s="1"/>
      <c r="X51" s="1"/>
      <c r="Y51" s="1"/>
      <c r="Z51" s="1"/>
    </row>
    <row r="52" spans="1:26" s="525" customFormat="1" x14ac:dyDescent="0.3">
      <c r="A52" s="1"/>
      <c r="B52" s="64"/>
      <c r="C52" s="69"/>
      <c r="D52" s="1098"/>
      <c r="E52" s="583"/>
      <c r="F52" s="583"/>
      <c r="G52" s="583"/>
      <c r="H52" s="1"/>
      <c r="I52" s="609" t="s">
        <v>977</v>
      </c>
      <c r="J52" s="617"/>
      <c r="K52" s="617"/>
      <c r="L52" s="617"/>
      <c r="M52" s="617"/>
      <c r="N52" s="617"/>
      <c r="O52" s="1"/>
      <c r="P52" s="1"/>
      <c r="Q52" s="1"/>
      <c r="R52" s="1"/>
      <c r="S52" s="1"/>
      <c r="T52" s="1"/>
      <c r="U52" s="1"/>
      <c r="V52" s="1"/>
      <c r="W52" s="1"/>
      <c r="X52" s="1"/>
      <c r="Y52" s="1"/>
      <c r="Z52" s="1"/>
    </row>
    <row r="53" spans="1:26" ht="18" customHeight="1" x14ac:dyDescent="0.45">
      <c r="B53" s="905"/>
      <c r="C53" s="905"/>
      <c r="D53" s="906"/>
      <c r="E53" s="907"/>
      <c r="F53" s="908"/>
      <c r="G53" s="909"/>
      <c r="H53" s="1"/>
      <c r="I53" s="614" t="s">
        <v>181</v>
      </c>
      <c r="J53" s="617"/>
      <c r="K53" s="617"/>
      <c r="L53" s="617"/>
      <c r="M53" s="617"/>
      <c r="N53" s="617"/>
      <c r="O53" s="1"/>
      <c r="P53" s="1"/>
      <c r="Q53" s="1"/>
      <c r="R53" s="1"/>
      <c r="S53" s="1"/>
      <c r="T53" s="1"/>
      <c r="U53" s="1"/>
      <c r="V53" s="1"/>
      <c r="W53" s="1"/>
      <c r="X53" s="1"/>
      <c r="Y53" s="1"/>
      <c r="Z53" s="1"/>
    </row>
    <row r="54" spans="1:26" ht="15" customHeight="1" thickBot="1" x14ac:dyDescent="0.35">
      <c r="B54" s="910"/>
      <c r="C54" s="911"/>
      <c r="D54" s="911"/>
      <c r="E54" s="911"/>
      <c r="F54" s="911"/>
      <c r="G54" s="911"/>
      <c r="H54" s="1"/>
      <c r="I54" s="1189" t="s">
        <v>17</v>
      </c>
      <c r="J54" s="1189"/>
      <c r="K54" s="1"/>
      <c r="L54" s="1"/>
      <c r="M54" s="1"/>
      <c r="N54" s="1"/>
      <c r="O54" s="1"/>
      <c r="P54" s="1"/>
      <c r="Q54" s="1"/>
      <c r="R54" s="1"/>
      <c r="S54" s="1"/>
      <c r="T54" s="1"/>
      <c r="U54" s="1"/>
      <c r="V54" s="1"/>
      <c r="W54" s="1"/>
      <c r="X54" s="1"/>
      <c r="Y54" s="1"/>
      <c r="Z54" s="1"/>
    </row>
    <row r="55" spans="1:26" ht="36" customHeight="1" thickTop="1" thickBot="1" x14ac:dyDescent="0.65">
      <c r="B55" s="1211"/>
      <c r="C55" s="1212"/>
      <c r="D55" s="1212"/>
      <c r="E55" s="1212"/>
      <c r="F55" s="1212"/>
      <c r="G55" s="1213"/>
      <c r="H55" s="1"/>
      <c r="I55" s="601" t="s">
        <v>170</v>
      </c>
      <c r="J55" s="94"/>
      <c r="K55" s="48"/>
      <c r="L55" s="48"/>
      <c r="M55" s="48"/>
      <c r="N55" s="48"/>
      <c r="O55" s="1"/>
      <c r="P55" s="1"/>
      <c r="Q55" s="1"/>
      <c r="R55" s="1"/>
      <c r="S55" s="1"/>
      <c r="T55" s="1"/>
      <c r="U55" s="1"/>
      <c r="V55" s="1"/>
      <c r="W55" s="1"/>
      <c r="X55" s="1"/>
      <c r="Y55" s="1"/>
      <c r="Z55" s="1"/>
    </row>
    <row r="56" spans="1:26" ht="17.25" customHeight="1" thickTop="1" x14ac:dyDescent="0.3">
      <c r="B56" s="71" t="s">
        <v>7</v>
      </c>
      <c r="C56" s="72"/>
      <c r="D56" s="73"/>
      <c r="E56" s="74"/>
      <c r="F56" s="74"/>
      <c r="G56" s="72"/>
      <c r="H56" s="1"/>
      <c r="I56" s="681"/>
      <c r="J56" s="680"/>
      <c r="K56" s="680"/>
      <c r="L56" s="680"/>
      <c r="M56" s="680"/>
      <c r="N56" s="680"/>
      <c r="O56" s="1"/>
      <c r="P56" s="1"/>
      <c r="Q56" s="1"/>
      <c r="R56" s="1"/>
      <c r="S56" s="1"/>
      <c r="T56" s="1"/>
      <c r="U56" s="1"/>
      <c r="V56" s="1"/>
      <c r="W56" s="1"/>
      <c r="X56" s="1"/>
      <c r="Y56" s="1"/>
      <c r="Z56" s="1"/>
    </row>
    <row r="57" spans="1:26" ht="19.5" customHeight="1" thickBot="1" x14ac:dyDescent="0.35">
      <c r="B57" s="72"/>
      <c r="C57" s="72"/>
      <c r="D57" s="72"/>
      <c r="E57" s="96"/>
      <c r="F57" s="75" t="s">
        <v>30</v>
      </c>
      <c r="G57" s="72"/>
      <c r="H57" s="1"/>
      <c r="I57" s="1201" t="s">
        <v>934</v>
      </c>
      <c r="J57" s="1201"/>
      <c r="K57" s="1201"/>
      <c r="L57" s="1201"/>
      <c r="M57" s="680"/>
      <c r="N57" s="680"/>
      <c r="O57" s="1"/>
      <c r="P57" s="1"/>
      <c r="Q57" s="1"/>
      <c r="R57" s="1"/>
      <c r="S57" s="1"/>
      <c r="T57" s="1"/>
      <c r="U57" s="1"/>
      <c r="V57" s="1"/>
      <c r="W57" s="1"/>
      <c r="X57" s="1"/>
      <c r="Y57" s="1"/>
      <c r="Z57" s="1"/>
    </row>
    <row r="58" spans="1:26" ht="18.75" customHeight="1" x14ac:dyDescent="0.3">
      <c r="B58" s="72"/>
      <c r="C58" s="76"/>
      <c r="D58" s="97"/>
      <c r="E58" s="544" t="s">
        <v>4</v>
      </c>
      <c r="F58" s="545" t="s">
        <v>5</v>
      </c>
      <c r="G58" s="546" t="s">
        <v>6</v>
      </c>
      <c r="H58" s="1"/>
      <c r="I58" s="1201"/>
      <c r="J58" s="1201"/>
      <c r="K58" s="1201"/>
      <c r="L58" s="1201"/>
      <c r="M58" s="680"/>
      <c r="N58" s="680"/>
      <c r="O58" s="1"/>
      <c r="P58" s="1"/>
      <c r="Q58" s="1"/>
      <c r="R58" s="1"/>
      <c r="S58" s="1"/>
      <c r="T58" s="1"/>
      <c r="U58" s="1"/>
      <c r="V58" s="1"/>
      <c r="W58" s="1"/>
      <c r="X58" s="1"/>
      <c r="Y58" s="1"/>
      <c r="Z58" s="1"/>
    </row>
    <row r="59" spans="1:26" ht="15.75" customHeight="1" thickBot="1" x14ac:dyDescent="0.35">
      <c r="B59" s="71"/>
      <c r="C59" s="76"/>
      <c r="D59" s="72"/>
      <c r="E59" s="547" t="e">
        <f>Comcast!U8</f>
        <v>#VALUE!</v>
      </c>
      <c r="F59" s="548" t="e">
        <f>Comcast!V8</f>
        <v>#VALUE!</v>
      </c>
      <c r="G59" s="549">
        <f>Comcast!U11</f>
        <v>15</v>
      </c>
      <c r="H59" s="1"/>
      <c r="I59" s="1201"/>
      <c r="J59" s="1201"/>
      <c r="K59" s="1201"/>
      <c r="L59" s="1201"/>
      <c r="M59" s="680"/>
      <c r="N59" s="680"/>
      <c r="O59" s="1"/>
      <c r="P59" s="1"/>
      <c r="Q59" s="1"/>
      <c r="R59" s="1"/>
      <c r="S59" s="1"/>
      <c r="T59" s="1"/>
      <c r="U59" s="1"/>
      <c r="V59" s="1"/>
      <c r="W59" s="1"/>
      <c r="X59" s="1"/>
      <c r="Y59" s="1"/>
      <c r="Z59" s="1"/>
    </row>
    <row r="60" spans="1:26" x14ac:dyDescent="0.3">
      <c r="B60" s="72" t="s">
        <v>8</v>
      </c>
      <c r="C60" s="72" t="s">
        <v>923</v>
      </c>
      <c r="D60" s="72"/>
      <c r="E60" s="77"/>
      <c r="F60" s="72"/>
      <c r="G60" s="72"/>
      <c r="H60" s="1"/>
      <c r="I60" s="1201"/>
      <c r="J60" s="1201"/>
      <c r="K60" s="1201"/>
      <c r="L60" s="1201"/>
      <c r="M60" s="680"/>
      <c r="N60" s="680"/>
      <c r="O60" s="1"/>
      <c r="P60" s="1"/>
      <c r="Q60" s="1"/>
      <c r="R60" s="1"/>
      <c r="S60" s="1"/>
      <c r="T60" s="1"/>
      <c r="U60" s="1"/>
      <c r="V60" s="1"/>
      <c r="W60" s="1"/>
      <c r="X60" s="1"/>
      <c r="Y60" s="1"/>
      <c r="Z60" s="1"/>
    </row>
    <row r="61" spans="1:26" x14ac:dyDescent="0.3">
      <c r="B61" s="76"/>
      <c r="C61" s="72"/>
      <c r="D61" s="72"/>
      <c r="E61" s="1202" t="s">
        <v>924</v>
      </c>
      <c r="F61" s="1201"/>
      <c r="G61" s="1201"/>
      <c r="H61" s="1"/>
      <c r="I61" s="1200" t="s">
        <v>989</v>
      </c>
      <c r="J61" s="1201"/>
      <c r="K61" s="1201"/>
      <c r="L61" s="1201"/>
      <c r="M61" s="1201"/>
      <c r="N61" s="1201"/>
      <c r="O61" s="1"/>
      <c r="P61" s="1"/>
      <c r="Q61" s="1"/>
      <c r="R61" s="1"/>
      <c r="S61" s="1"/>
      <c r="T61" s="1"/>
      <c r="U61" s="1"/>
      <c r="V61" s="1"/>
      <c r="W61" s="1"/>
      <c r="X61" s="1"/>
      <c r="Y61" s="1"/>
      <c r="Z61" s="1"/>
    </row>
    <row r="62" spans="1:26" ht="23.25" customHeight="1" x14ac:dyDescent="0.3">
      <c r="B62" s="78"/>
      <c r="C62" s="72"/>
      <c r="D62" s="72"/>
      <c r="E62" s="1201"/>
      <c r="F62" s="1201"/>
      <c r="G62" s="1201"/>
      <c r="H62" s="1"/>
      <c r="I62" s="1201"/>
      <c r="J62" s="1201"/>
      <c r="K62" s="1201"/>
      <c r="L62" s="1201"/>
      <c r="M62" s="1201"/>
      <c r="N62" s="1201"/>
      <c r="O62" s="1"/>
      <c r="P62" s="1"/>
      <c r="Q62" s="1"/>
      <c r="R62" s="1"/>
      <c r="S62" s="1"/>
      <c r="T62" s="1"/>
      <c r="U62" s="1"/>
      <c r="V62" s="1"/>
      <c r="W62" s="1"/>
      <c r="X62" s="1"/>
      <c r="Y62" s="1"/>
      <c r="Z62" s="1"/>
    </row>
    <row r="63" spans="1:26" ht="23.4" x14ac:dyDescent="0.45">
      <c r="B63" s="78"/>
      <c r="C63" s="72"/>
      <c r="D63" s="80"/>
      <c r="E63" s="1201"/>
      <c r="F63" s="1201"/>
      <c r="G63" s="1201"/>
      <c r="H63" s="1"/>
      <c r="I63" s="680" t="s">
        <v>933</v>
      </c>
      <c r="J63" s="680"/>
      <c r="K63" s="680"/>
      <c r="L63" s="680"/>
      <c r="M63" s="680"/>
      <c r="N63" s="680"/>
      <c r="O63" s="1"/>
      <c r="P63" s="1"/>
      <c r="Q63" s="1"/>
      <c r="R63" s="1"/>
      <c r="S63" s="1"/>
      <c r="T63" s="1"/>
      <c r="U63" s="1"/>
      <c r="V63" s="1"/>
      <c r="W63" s="1"/>
      <c r="X63" s="1"/>
      <c r="Y63" s="1"/>
      <c r="Z63" s="1"/>
    </row>
    <row r="64" spans="1:26" x14ac:dyDescent="0.3">
      <c r="B64" s="82"/>
      <c r="C64" s="72"/>
      <c r="D64" s="72"/>
      <c r="E64" s="81"/>
      <c r="F64" s="76"/>
      <c r="G64" s="72"/>
      <c r="H64" s="1"/>
      <c r="I64" s="682" t="s">
        <v>447</v>
      </c>
      <c r="J64" s="682" t="s">
        <v>925</v>
      </c>
      <c r="K64" s="682" t="s">
        <v>171</v>
      </c>
      <c r="L64" s="682" t="s">
        <v>33</v>
      </c>
      <c r="M64" s="682" t="s">
        <v>986</v>
      </c>
      <c r="N64" s="682" t="s">
        <v>987</v>
      </c>
      <c r="O64" s="1"/>
      <c r="P64" s="1"/>
      <c r="Q64" s="1"/>
      <c r="R64" s="1"/>
      <c r="S64" s="1"/>
      <c r="T64" s="1"/>
      <c r="U64" s="1"/>
      <c r="V64" s="1"/>
      <c r="W64" s="1"/>
      <c r="X64" s="1"/>
      <c r="Y64" s="1"/>
      <c r="Z64" s="1"/>
    </row>
    <row r="65" spans="1:26" x14ac:dyDescent="0.3">
      <c r="B65" s="72"/>
      <c r="C65" s="72"/>
      <c r="D65" s="72"/>
      <c r="E65" s="79"/>
      <c r="F65" s="76"/>
      <c r="G65" s="72"/>
      <c r="H65" s="1"/>
      <c r="I65" s="680" t="s">
        <v>910</v>
      </c>
      <c r="J65" s="680" t="s">
        <v>911</v>
      </c>
      <c r="K65" s="680" t="s">
        <v>912</v>
      </c>
      <c r="L65" s="680" t="s">
        <v>980</v>
      </c>
      <c r="M65" s="680" t="s">
        <v>910</v>
      </c>
      <c r="N65" s="680" t="s">
        <v>911</v>
      </c>
      <c r="O65" s="1"/>
      <c r="P65" s="1"/>
      <c r="Q65" s="1"/>
      <c r="R65" s="1"/>
      <c r="S65" s="1"/>
      <c r="T65" s="1"/>
      <c r="U65" s="1"/>
      <c r="V65" s="1"/>
      <c r="W65" s="1"/>
      <c r="X65" s="1"/>
      <c r="Y65" s="1"/>
      <c r="Z65" s="1"/>
    </row>
    <row r="66" spans="1:26" ht="14.25" customHeight="1" x14ac:dyDescent="0.3">
      <c r="B66" s="429"/>
      <c r="C66" s="72"/>
      <c r="D66" s="72"/>
      <c r="E66" s="83"/>
      <c r="F66" s="72"/>
      <c r="G66" s="72"/>
      <c r="H66" s="1"/>
      <c r="I66" s="680" t="s">
        <v>911</v>
      </c>
      <c r="J66" s="680" t="s">
        <v>912</v>
      </c>
      <c r="K66" s="680" t="s">
        <v>980</v>
      </c>
      <c r="L66" s="680"/>
      <c r="M66" s="680" t="s">
        <v>911</v>
      </c>
      <c r="N66" s="680" t="s">
        <v>985</v>
      </c>
      <c r="O66" s="1"/>
      <c r="P66" s="1"/>
      <c r="Q66" s="1"/>
      <c r="R66" s="1"/>
      <c r="S66" s="1"/>
      <c r="T66" s="1"/>
      <c r="U66" s="1"/>
      <c r="V66" s="1"/>
      <c r="W66" s="1"/>
      <c r="X66" s="1"/>
      <c r="Y66" s="1"/>
      <c r="Z66" s="1"/>
    </row>
    <row r="67" spans="1:26" x14ac:dyDescent="0.3">
      <c r="B67" s="84"/>
      <c r="C67" s="84"/>
      <c r="D67" s="84"/>
      <c r="E67" s="84"/>
      <c r="F67" s="84"/>
      <c r="G67" s="84"/>
      <c r="H67" s="1"/>
      <c r="I67" s="680" t="s">
        <v>985</v>
      </c>
      <c r="J67" s="680"/>
      <c r="K67" s="680"/>
      <c r="L67" s="680"/>
      <c r="M67" s="680" t="s">
        <v>985</v>
      </c>
      <c r="N67" s="680"/>
      <c r="O67" s="1"/>
      <c r="P67" s="1"/>
      <c r="Q67" s="1"/>
      <c r="R67" s="1"/>
      <c r="S67" s="1"/>
      <c r="T67" s="1"/>
      <c r="U67" s="1"/>
      <c r="V67" s="1"/>
      <c r="W67" s="1"/>
      <c r="X67" s="1"/>
      <c r="Y67" s="1"/>
      <c r="Z67" s="1"/>
    </row>
    <row r="68" spans="1:26" s="522" customFormat="1" x14ac:dyDescent="0.3">
      <c r="A68" s="1"/>
      <c r="B68" s="84"/>
      <c r="C68" s="84"/>
      <c r="D68" s="84"/>
      <c r="E68" s="84"/>
      <c r="F68" s="84"/>
      <c r="G68" s="84"/>
      <c r="H68" s="1"/>
      <c r="I68" s="680"/>
      <c r="J68" s="680"/>
      <c r="K68" s="680"/>
      <c r="L68" s="680"/>
      <c r="M68" s="680"/>
      <c r="N68" s="680"/>
      <c r="O68" s="1"/>
      <c r="P68" s="1"/>
      <c r="Q68" s="1"/>
      <c r="R68" s="1"/>
      <c r="S68" s="1"/>
      <c r="T68" s="1"/>
      <c r="U68" s="1"/>
      <c r="V68" s="1"/>
      <c r="W68" s="1"/>
      <c r="X68" s="1"/>
      <c r="Y68" s="1"/>
      <c r="Z68" s="1"/>
    </row>
    <row r="69" spans="1:26" s="522" customFormat="1" ht="15" thickBot="1" x14ac:dyDescent="0.35">
      <c r="A69" s="1"/>
      <c r="B69" s="84"/>
      <c r="C69" s="84"/>
      <c r="D69" s="84"/>
      <c r="E69" s="84"/>
      <c r="F69" s="84"/>
      <c r="G69" s="84"/>
      <c r="H69" s="1"/>
      <c r="I69" s="680"/>
      <c r="J69" s="680"/>
      <c r="K69" s="680"/>
      <c r="L69" s="680"/>
      <c r="M69" s="680"/>
      <c r="N69" s="680"/>
      <c r="O69" s="1"/>
      <c r="P69" s="1"/>
      <c r="Q69" s="1"/>
      <c r="R69" s="1"/>
      <c r="S69" s="1"/>
      <c r="T69" s="1"/>
      <c r="U69" s="1"/>
      <c r="V69" s="1"/>
      <c r="W69" s="1"/>
      <c r="X69" s="1"/>
      <c r="Y69" s="1"/>
      <c r="Z69" s="1"/>
    </row>
    <row r="70" spans="1:26" ht="39" customHeight="1" thickTop="1" thickBot="1" x14ac:dyDescent="0.65">
      <c r="B70" s="1197" t="s">
        <v>31</v>
      </c>
      <c r="C70" s="1198"/>
      <c r="D70" s="1198"/>
      <c r="E70" s="1198"/>
      <c r="F70" s="1198"/>
      <c r="G70" s="1199"/>
      <c r="H70" s="1"/>
      <c r="I70" s="135" t="s">
        <v>558</v>
      </c>
      <c r="J70" s="129"/>
      <c r="K70" s="130"/>
      <c r="L70" s="131" t="s">
        <v>556</v>
      </c>
      <c r="M70" s="130"/>
      <c r="N70" s="137" t="s">
        <v>561</v>
      </c>
      <c r="O70" s="129"/>
      <c r="P70" s="130"/>
      <c r="Q70" s="131" t="s">
        <v>563</v>
      </c>
      <c r="R70" s="1"/>
      <c r="S70" s="1"/>
      <c r="T70" s="1"/>
      <c r="U70" s="1"/>
      <c r="V70" s="1"/>
      <c r="W70" s="1"/>
      <c r="X70" s="1"/>
      <c r="Y70" s="1"/>
      <c r="Z70" s="1"/>
    </row>
    <row r="71" spans="1:26" ht="15" thickTop="1" x14ac:dyDescent="0.3">
      <c r="B71" s="10" t="s">
        <v>7</v>
      </c>
      <c r="C71" s="11" t="s">
        <v>15</v>
      </c>
      <c r="D71" s="15" t="s">
        <v>32</v>
      </c>
      <c r="E71" s="17"/>
      <c r="F71" s="17"/>
      <c r="G71" s="11"/>
      <c r="H71" s="1"/>
      <c r="I71" s="120" t="s">
        <v>197</v>
      </c>
      <c r="J71" s="118"/>
      <c r="K71" s="119"/>
      <c r="L71" s="121"/>
      <c r="M71" s="119"/>
      <c r="N71" s="122" t="s">
        <v>197</v>
      </c>
      <c r="O71" s="118"/>
      <c r="P71" s="119"/>
      <c r="Q71" s="121"/>
      <c r="R71" s="1"/>
      <c r="S71" s="1"/>
      <c r="T71" s="1"/>
      <c r="U71" s="1"/>
      <c r="V71" s="1"/>
      <c r="W71" s="1"/>
      <c r="X71" s="1"/>
      <c r="Y71" s="1"/>
      <c r="Z71" s="1"/>
    </row>
    <row r="72" spans="1:26" ht="15" thickBot="1" x14ac:dyDescent="0.35">
      <c r="B72" s="11"/>
      <c r="C72" s="11"/>
      <c r="D72" s="11"/>
      <c r="E72" s="12"/>
      <c r="F72" s="14" t="s">
        <v>34</v>
      </c>
      <c r="G72" s="11"/>
      <c r="H72" s="1"/>
      <c r="I72" s="120" t="s">
        <v>198</v>
      </c>
      <c r="J72" s="118"/>
      <c r="K72" s="119"/>
      <c r="L72" s="121"/>
      <c r="M72" s="119"/>
      <c r="N72" s="122" t="s">
        <v>198</v>
      </c>
      <c r="O72" s="118"/>
      <c r="P72" s="119"/>
      <c r="Q72" s="121"/>
      <c r="R72" s="1"/>
      <c r="S72" s="1"/>
      <c r="T72" s="1"/>
      <c r="U72" s="1"/>
      <c r="V72" s="1"/>
      <c r="W72" s="1"/>
      <c r="X72" s="1"/>
      <c r="Y72" s="1"/>
      <c r="Z72" s="1"/>
    </row>
    <row r="73" spans="1:26" ht="19.5" customHeight="1" thickBot="1" x14ac:dyDescent="0.35">
      <c r="B73" s="11"/>
      <c r="C73" s="11" t="s">
        <v>22</v>
      </c>
      <c r="D73" s="19"/>
      <c r="E73" s="550" t="s">
        <v>4</v>
      </c>
      <c r="F73" s="551" t="s">
        <v>5</v>
      </c>
      <c r="G73" s="552" t="s">
        <v>6</v>
      </c>
      <c r="H73" s="1"/>
      <c r="I73" s="120" t="s">
        <v>254</v>
      </c>
      <c r="J73" s="119"/>
      <c r="K73" s="119"/>
      <c r="L73" s="123"/>
      <c r="M73" s="119"/>
      <c r="N73" s="122" t="s">
        <v>562</v>
      </c>
      <c r="O73" s="119"/>
      <c r="P73" s="119"/>
      <c r="Q73" s="123"/>
      <c r="R73" s="1"/>
      <c r="S73" s="1"/>
      <c r="T73" s="1"/>
      <c r="U73" s="1"/>
      <c r="V73" s="1"/>
      <c r="W73" s="1"/>
      <c r="X73" s="1"/>
      <c r="Y73" s="1"/>
      <c r="Z73" s="1"/>
    </row>
    <row r="74" spans="1:26" ht="16.2" thickBot="1" x14ac:dyDescent="0.35">
      <c r="B74" s="10" t="s">
        <v>34</v>
      </c>
      <c r="C74" s="11" t="s">
        <v>23</v>
      </c>
      <c r="D74" s="15"/>
      <c r="E74" s="553">
        <f>Grande!Q3</f>
        <v>77.48</v>
      </c>
      <c r="F74" s="554">
        <f>Grande!R3</f>
        <v>87.48</v>
      </c>
      <c r="G74" s="555">
        <f>Grande!Q6</f>
        <v>35</v>
      </c>
      <c r="H74" s="1"/>
      <c r="I74" s="136" t="s">
        <v>253</v>
      </c>
      <c r="J74" s="132"/>
      <c r="K74" s="133"/>
      <c r="L74" s="134" t="s">
        <v>557</v>
      </c>
      <c r="M74" s="133"/>
      <c r="N74" s="138" t="s">
        <v>255</v>
      </c>
      <c r="O74" s="132"/>
      <c r="P74" s="133"/>
      <c r="Q74" s="134" t="s">
        <v>199</v>
      </c>
      <c r="R74" s="1"/>
      <c r="S74" s="1"/>
      <c r="T74" s="1"/>
      <c r="U74" s="1"/>
      <c r="V74" s="1"/>
      <c r="W74" s="1"/>
      <c r="X74" s="1"/>
      <c r="Y74" s="1"/>
      <c r="Z74" s="1"/>
    </row>
    <row r="75" spans="1:26" x14ac:dyDescent="0.3">
      <c r="B75" s="11"/>
      <c r="C75" s="11"/>
      <c r="D75" s="11"/>
      <c r="E75" s="23"/>
      <c r="F75" s="11"/>
      <c r="G75" s="11"/>
      <c r="H75" s="1"/>
      <c r="I75" s="120" t="s">
        <v>200</v>
      </c>
      <c r="J75" s="118"/>
      <c r="K75" s="119"/>
      <c r="L75" s="121"/>
      <c r="M75" s="119"/>
      <c r="N75" s="122" t="s">
        <v>200</v>
      </c>
      <c r="O75" s="118"/>
      <c r="P75" s="119"/>
      <c r="Q75" s="121"/>
      <c r="R75" s="1"/>
      <c r="S75" s="1"/>
      <c r="T75" s="1"/>
      <c r="U75" s="1"/>
      <c r="V75" s="1"/>
      <c r="W75" s="1"/>
      <c r="X75" s="1"/>
      <c r="Y75" s="1"/>
      <c r="Z75" s="1"/>
    </row>
    <row r="76" spans="1:26" x14ac:dyDescent="0.3">
      <c r="B76" s="18"/>
      <c r="C76" s="11" t="s">
        <v>175</v>
      </c>
      <c r="D76" s="11"/>
      <c r="E76" s="21" t="s">
        <v>203</v>
      </c>
      <c r="F76" s="13"/>
      <c r="G76" s="11"/>
      <c r="H76" s="1"/>
      <c r="I76" s="120" t="s">
        <v>256</v>
      </c>
      <c r="J76" s="118"/>
      <c r="K76" s="119"/>
      <c r="L76" s="121"/>
      <c r="M76" s="119"/>
      <c r="N76" s="122" t="s">
        <v>256</v>
      </c>
      <c r="O76" s="118"/>
      <c r="P76" s="119"/>
      <c r="Q76" s="121"/>
      <c r="R76" s="1"/>
      <c r="S76" s="1"/>
      <c r="T76" s="1"/>
      <c r="U76" s="1"/>
      <c r="V76" s="1"/>
    </row>
    <row r="77" spans="1:26" ht="22.5" customHeight="1" thickBot="1" x14ac:dyDescent="0.35">
      <c r="B77" s="20" t="s">
        <v>35</v>
      </c>
      <c r="C77" s="11"/>
      <c r="D77" s="11"/>
      <c r="E77" s="11"/>
      <c r="F77" s="11"/>
      <c r="G77" s="11"/>
      <c r="H77" s="1"/>
      <c r="I77" s="120" t="s">
        <v>260</v>
      </c>
      <c r="J77" s="119"/>
      <c r="K77" s="119"/>
      <c r="L77" s="123"/>
      <c r="M77" s="119"/>
      <c r="N77" s="122" t="s">
        <v>564</v>
      </c>
      <c r="O77" s="119"/>
      <c r="P77" s="119"/>
      <c r="Q77" s="123"/>
      <c r="R77" s="1"/>
      <c r="S77" s="1"/>
      <c r="T77" s="1"/>
      <c r="U77" s="1"/>
      <c r="V77" s="1"/>
    </row>
    <row r="78" spans="1:26" ht="23.4" x14ac:dyDescent="0.45">
      <c r="B78" s="20"/>
      <c r="C78" s="11"/>
      <c r="D78" s="144"/>
      <c r="E78" s="24"/>
      <c r="F78" s="25"/>
      <c r="G78" s="11"/>
      <c r="H78" s="1"/>
      <c r="I78" s="136" t="s">
        <v>261</v>
      </c>
      <c r="J78" s="132"/>
      <c r="K78" s="133"/>
      <c r="L78" s="134" t="s">
        <v>201</v>
      </c>
      <c r="M78" s="133"/>
      <c r="N78" s="138" t="s">
        <v>257</v>
      </c>
      <c r="O78" s="132"/>
      <c r="P78" s="133"/>
      <c r="Q78" s="134" t="s">
        <v>565</v>
      </c>
      <c r="R78" s="1"/>
      <c r="S78" s="1"/>
      <c r="T78" s="1"/>
      <c r="U78" s="1"/>
      <c r="V78" s="1"/>
    </row>
    <row r="79" spans="1:26" ht="21" x14ac:dyDescent="0.4">
      <c r="B79" s="16"/>
      <c r="C79" s="11"/>
      <c r="D79" s="25"/>
      <c r="E79" s="24"/>
      <c r="F79" s="25"/>
      <c r="G79" s="11"/>
      <c r="H79" s="1"/>
      <c r="I79" s="120" t="s">
        <v>263</v>
      </c>
      <c r="J79" s="118"/>
      <c r="K79" s="119"/>
      <c r="L79" s="121"/>
      <c r="M79" s="119"/>
      <c r="N79" s="122" t="s">
        <v>258</v>
      </c>
      <c r="O79" s="118"/>
      <c r="P79" s="119"/>
      <c r="Q79" s="121"/>
      <c r="R79" s="1"/>
      <c r="S79" s="1"/>
      <c r="T79" s="1"/>
      <c r="U79" s="1"/>
      <c r="V79" s="1"/>
    </row>
    <row r="80" spans="1:26" ht="15" thickBot="1" x14ac:dyDescent="0.35">
      <c r="B80" s="16"/>
      <c r="C80" s="11"/>
      <c r="D80" s="11"/>
      <c r="E80" s="21"/>
      <c r="F80" s="18"/>
      <c r="G80" s="11"/>
      <c r="H80" s="1"/>
      <c r="I80" s="120" t="s">
        <v>262</v>
      </c>
      <c r="J80" s="118"/>
      <c r="K80" s="119"/>
      <c r="L80" s="121"/>
      <c r="M80" s="119"/>
      <c r="N80" s="122" t="s">
        <v>259</v>
      </c>
      <c r="O80" s="118"/>
      <c r="P80" s="119"/>
      <c r="Q80" s="121"/>
      <c r="R80" s="1"/>
      <c r="S80" s="1"/>
      <c r="T80" s="1"/>
      <c r="U80" s="1"/>
      <c r="V80" s="1"/>
    </row>
    <row r="81" spans="1:22" ht="36" customHeight="1" thickBot="1" x14ac:dyDescent="0.35">
      <c r="B81" s="16"/>
      <c r="C81" s="11"/>
      <c r="D81" s="11"/>
      <c r="E81" s="22"/>
      <c r="F81" s="11"/>
      <c r="G81" s="11"/>
      <c r="H81" s="1"/>
      <c r="I81" s="136" t="s">
        <v>559</v>
      </c>
      <c r="J81" s="132"/>
      <c r="K81" s="133"/>
      <c r="L81" s="134" t="s">
        <v>560</v>
      </c>
      <c r="M81" s="133"/>
      <c r="N81" s="138" t="s">
        <v>566</v>
      </c>
      <c r="O81" s="132"/>
      <c r="P81" s="133"/>
      <c r="Q81" s="134" t="s">
        <v>567</v>
      </c>
      <c r="R81" s="1"/>
      <c r="S81" s="1"/>
      <c r="T81" s="1"/>
      <c r="U81" s="1"/>
      <c r="V81" s="1"/>
    </row>
    <row r="82" spans="1:22" s="687" customFormat="1" ht="32.4" thickTop="1" thickBot="1" x14ac:dyDescent="0.65">
      <c r="A82" s="688"/>
      <c r="B82" s="1203" t="s">
        <v>337</v>
      </c>
      <c r="C82" s="1204"/>
      <c r="D82" s="1204"/>
      <c r="E82" s="1204"/>
      <c r="F82" s="1204"/>
      <c r="G82" s="1205"/>
      <c r="H82" s="690"/>
      <c r="I82" s="705" t="s">
        <v>938</v>
      </c>
      <c r="J82" s="704"/>
      <c r="K82" s="704"/>
      <c r="L82" s="704"/>
      <c r="M82" s="704"/>
      <c r="N82" s="704"/>
      <c r="O82" s="684"/>
      <c r="P82" s="685"/>
      <c r="Q82" s="686"/>
      <c r="R82" s="688"/>
      <c r="S82" s="688"/>
      <c r="T82" s="688"/>
      <c r="U82" s="688"/>
      <c r="V82" s="688"/>
    </row>
    <row r="83" spans="1:22" s="687" customFormat="1" ht="15" thickTop="1" x14ac:dyDescent="0.3">
      <c r="A83" s="688"/>
      <c r="B83" s="691" t="s">
        <v>7</v>
      </c>
      <c r="C83" s="691" t="s">
        <v>948</v>
      </c>
      <c r="D83" s="1206" t="s">
        <v>950</v>
      </c>
      <c r="E83" s="1207"/>
      <c r="F83" s="695"/>
      <c r="G83" s="692"/>
      <c r="H83" s="690"/>
      <c r="I83" s="706"/>
      <c r="J83" s="703"/>
      <c r="K83" s="703"/>
      <c r="L83" s="703"/>
      <c r="M83" s="703"/>
      <c r="N83" s="703"/>
      <c r="O83" s="684"/>
      <c r="P83" s="685"/>
      <c r="Q83" s="686"/>
      <c r="R83" s="688"/>
      <c r="S83" s="688"/>
      <c r="T83" s="688"/>
      <c r="U83" s="688"/>
      <c r="V83" s="688"/>
    </row>
    <row r="84" spans="1:22" s="687" customFormat="1" ht="15" thickBot="1" x14ac:dyDescent="0.35">
      <c r="A84" s="688"/>
      <c r="B84" s="692"/>
      <c r="C84" s="692"/>
      <c r="D84" s="692"/>
      <c r="E84" s="693"/>
      <c r="F84" s="694" t="s">
        <v>30</v>
      </c>
      <c r="G84" s="692"/>
      <c r="H84" s="690"/>
      <c r="I84" s="706" t="s">
        <v>939</v>
      </c>
      <c r="J84" s="703"/>
      <c r="K84" s="703"/>
      <c r="L84" s="703"/>
      <c r="M84" s="703"/>
      <c r="N84" s="703"/>
      <c r="O84" s="684"/>
      <c r="P84" s="685"/>
      <c r="Q84" s="686"/>
      <c r="R84" s="688"/>
      <c r="S84" s="688"/>
      <c r="T84" s="688"/>
      <c r="U84" s="688"/>
      <c r="V84" s="688"/>
    </row>
    <row r="85" spans="1:22" s="687" customFormat="1" x14ac:dyDescent="0.3">
      <c r="A85" s="688"/>
      <c r="B85" s="692"/>
      <c r="C85" s="696" t="s">
        <v>22</v>
      </c>
      <c r="D85" s="720" t="s">
        <v>22</v>
      </c>
      <c r="E85" s="709"/>
      <c r="F85" s="716" t="s">
        <v>4</v>
      </c>
      <c r="G85" s="710" t="s">
        <v>5</v>
      </c>
      <c r="H85" s="690"/>
      <c r="I85" s="703"/>
      <c r="J85" s="703"/>
      <c r="K85" s="703"/>
      <c r="L85" s="703"/>
      <c r="M85" s="703"/>
      <c r="N85" s="703"/>
      <c r="O85" s="684"/>
      <c r="P85" s="685"/>
      <c r="Q85" s="686"/>
      <c r="R85" s="688"/>
      <c r="S85" s="688"/>
      <c r="T85" s="688"/>
      <c r="U85" s="688"/>
      <c r="V85" s="688"/>
    </row>
    <row r="86" spans="1:22" s="687" customFormat="1" ht="15" thickBot="1" x14ac:dyDescent="0.35">
      <c r="A86" s="688"/>
      <c r="B86" s="691" t="s">
        <v>13</v>
      </c>
      <c r="C86" s="696" t="s">
        <v>23</v>
      </c>
      <c r="D86" s="721" t="s">
        <v>23</v>
      </c>
      <c r="E86" s="709"/>
      <c r="F86" s="722">
        <f>SuddenLink!T4</f>
        <v>95</v>
      </c>
      <c r="G86" s="715">
        <f>SuddenLink!U4</f>
        <v>119.99</v>
      </c>
      <c r="H86" s="690"/>
      <c r="I86" s="703" t="s">
        <v>940</v>
      </c>
      <c r="J86" s="703"/>
      <c r="K86" s="703"/>
      <c r="L86" s="703"/>
      <c r="M86" s="703"/>
      <c r="N86" s="703"/>
      <c r="O86" s="684"/>
      <c r="P86" s="685"/>
      <c r="Q86" s="686"/>
      <c r="R86" s="688"/>
      <c r="S86" s="688"/>
      <c r="T86" s="688"/>
      <c r="U86" s="688"/>
      <c r="V86" s="688"/>
    </row>
    <row r="87" spans="1:22" s="687" customFormat="1" x14ac:dyDescent="0.3">
      <c r="A87" s="688"/>
      <c r="B87" s="692"/>
      <c r="C87" s="692"/>
      <c r="D87" s="1208"/>
      <c r="E87" s="1209"/>
      <c r="F87" s="712" t="s">
        <v>946</v>
      </c>
      <c r="G87" s="713"/>
      <c r="H87" s="690"/>
      <c r="I87" s="707" t="s">
        <v>941</v>
      </c>
      <c r="J87" s="707"/>
      <c r="K87" s="707"/>
      <c r="L87" s="707"/>
      <c r="M87" s="707"/>
      <c r="N87" s="707"/>
      <c r="O87" s="684"/>
      <c r="P87" s="685"/>
      <c r="Q87" s="686"/>
      <c r="R87" s="688"/>
      <c r="S87" s="688"/>
      <c r="T87" s="688"/>
      <c r="U87" s="688"/>
      <c r="V87" s="688"/>
    </row>
    <row r="88" spans="1:22" s="687" customFormat="1" ht="18.600000000000001" thickBot="1" x14ac:dyDescent="0.4">
      <c r="A88" s="688"/>
      <c r="B88" s="691"/>
      <c r="C88" s="692"/>
      <c r="D88" s="692"/>
      <c r="E88" s="711"/>
      <c r="F88" s="714"/>
      <c r="G88" s="723">
        <f>SuddenLink!T7</f>
        <v>154</v>
      </c>
      <c r="H88" s="690"/>
      <c r="I88" s="719" t="s">
        <v>949</v>
      </c>
      <c r="J88" s="703"/>
      <c r="K88" s="703"/>
      <c r="L88" s="703"/>
      <c r="M88" s="703"/>
      <c r="N88" s="703"/>
      <c r="O88" s="684"/>
      <c r="P88" s="685"/>
      <c r="Q88" s="686"/>
      <c r="R88" s="688"/>
      <c r="S88" s="688"/>
      <c r="T88" s="688"/>
      <c r="U88" s="688"/>
      <c r="V88" s="688"/>
    </row>
    <row r="89" spans="1:22" s="687" customFormat="1" ht="18" x14ac:dyDescent="0.35">
      <c r="A89" s="688"/>
      <c r="B89" s="698" t="s">
        <v>8</v>
      </c>
      <c r="C89" s="692"/>
      <c r="D89" s="718" t="s">
        <v>947</v>
      </c>
      <c r="E89" s="697"/>
      <c r="F89" s="708"/>
      <c r="G89" s="708"/>
      <c r="H89" s="690"/>
      <c r="I89" s="719" t="s">
        <v>951</v>
      </c>
      <c r="J89" s="703"/>
      <c r="K89" s="703"/>
      <c r="L89" s="703"/>
      <c r="M89" s="703"/>
      <c r="N89" s="703"/>
      <c r="O89" s="684"/>
      <c r="P89" s="685"/>
      <c r="Q89" s="686"/>
      <c r="R89" s="688"/>
      <c r="S89" s="688"/>
      <c r="T89" s="688"/>
      <c r="U89" s="688"/>
      <c r="V89" s="688"/>
    </row>
    <row r="90" spans="1:22" s="687" customFormat="1" ht="23.4" x14ac:dyDescent="0.45">
      <c r="A90" s="688"/>
      <c r="B90" s="698"/>
      <c r="C90" s="692"/>
      <c r="D90" s="699"/>
      <c r="E90" s="717"/>
      <c r="F90" s="696"/>
      <c r="G90" s="692"/>
      <c r="H90" s="690"/>
      <c r="I90" s="703"/>
      <c r="J90" s="703"/>
      <c r="K90" s="703"/>
      <c r="L90" s="703"/>
      <c r="M90" s="703"/>
      <c r="N90" s="703"/>
      <c r="O90" s="684"/>
      <c r="P90" s="685"/>
      <c r="Q90" s="686"/>
      <c r="R90" s="688"/>
      <c r="S90" s="688"/>
      <c r="T90" s="688"/>
      <c r="U90" s="688"/>
      <c r="V90" s="688"/>
    </row>
    <row r="91" spans="1:22" s="687" customFormat="1" x14ac:dyDescent="0.3">
      <c r="A91" s="688"/>
      <c r="B91" s="701"/>
      <c r="C91" s="692"/>
      <c r="D91" s="692"/>
      <c r="E91" s="700"/>
      <c r="F91" s="696"/>
      <c r="G91" s="692"/>
      <c r="H91" s="690"/>
      <c r="I91" s="703"/>
      <c r="J91" s="703"/>
      <c r="K91" s="703"/>
      <c r="L91" s="703"/>
      <c r="M91" s="703"/>
      <c r="N91" s="703"/>
      <c r="O91" s="684"/>
      <c r="P91" s="685"/>
      <c r="Q91" s="686"/>
      <c r="R91" s="688"/>
      <c r="S91" s="688"/>
      <c r="T91" s="688"/>
      <c r="U91" s="688"/>
      <c r="V91" s="688"/>
    </row>
    <row r="92" spans="1:22" s="687" customFormat="1" x14ac:dyDescent="0.3">
      <c r="A92" s="688"/>
      <c r="B92" s="701"/>
      <c r="C92" s="692"/>
      <c r="D92" s="692"/>
      <c r="E92" s="697"/>
      <c r="F92" s="696"/>
      <c r="G92" s="692"/>
      <c r="H92" s="690"/>
      <c r="I92" s="703"/>
      <c r="J92" s="703"/>
      <c r="K92" s="703"/>
      <c r="L92" s="703"/>
      <c r="M92" s="703"/>
      <c r="N92" s="703"/>
      <c r="O92" s="684"/>
      <c r="P92" s="685"/>
      <c r="Q92" s="686"/>
      <c r="R92" s="688"/>
      <c r="S92" s="688"/>
      <c r="T92" s="688"/>
      <c r="U92" s="688"/>
      <c r="V92" s="688"/>
    </row>
    <row r="93" spans="1:22" s="687" customFormat="1" ht="15" thickBot="1" x14ac:dyDescent="0.35">
      <c r="A93" s="688"/>
      <c r="B93" s="701"/>
      <c r="C93" s="692"/>
      <c r="D93" s="692"/>
      <c r="E93" s="702"/>
      <c r="F93" s="692"/>
      <c r="G93" s="692"/>
      <c r="H93" s="690"/>
      <c r="I93" s="703"/>
      <c r="J93" s="703"/>
      <c r="K93" s="703"/>
      <c r="L93" s="703"/>
      <c r="M93" s="703"/>
      <c r="N93" s="703"/>
      <c r="O93" s="684"/>
      <c r="P93" s="685"/>
      <c r="Q93" s="686"/>
      <c r="R93" s="688"/>
      <c r="S93" s="688"/>
      <c r="T93" s="688"/>
      <c r="U93" s="688"/>
      <c r="V93" s="688"/>
    </row>
    <row r="94" spans="1:22" hidden="1" x14ac:dyDescent="0.3">
      <c r="B94" s="1196"/>
      <c r="C94" s="1196"/>
      <c r="D94" s="90"/>
      <c r="E94" s="90"/>
      <c r="F94" s="90"/>
      <c r="G94" s="90"/>
      <c r="H94" s="1"/>
      <c r="I94" s="120"/>
      <c r="J94" s="118"/>
      <c r="K94" s="119"/>
      <c r="L94" s="121"/>
      <c r="M94" s="119"/>
      <c r="N94" s="122"/>
      <c r="O94" s="118"/>
      <c r="P94" s="119"/>
      <c r="Q94" s="121"/>
      <c r="R94" s="1"/>
      <c r="S94" s="1"/>
      <c r="T94" s="1"/>
      <c r="U94" s="1"/>
      <c r="V94" s="1"/>
    </row>
    <row r="95" spans="1:22" ht="15" hidden="1" thickBot="1" x14ac:dyDescent="0.35">
      <c r="B95" s="90"/>
      <c r="C95" s="90"/>
      <c r="D95" s="90"/>
      <c r="E95" s="90"/>
      <c r="F95" s="90"/>
      <c r="G95" s="90"/>
      <c r="H95" s="1"/>
      <c r="I95" s="124"/>
      <c r="J95" s="125"/>
      <c r="K95" s="126"/>
      <c r="L95" s="127"/>
      <c r="M95" s="126"/>
      <c r="N95" s="128"/>
      <c r="O95" s="118"/>
      <c r="P95" s="119"/>
      <c r="Q95" s="121"/>
      <c r="R95" s="1"/>
      <c r="S95" s="1"/>
      <c r="T95" s="1"/>
      <c r="U95" s="1"/>
      <c r="V95" s="1"/>
    </row>
    <row r="96" spans="1:22" x14ac:dyDescent="0.3">
      <c r="B96" s="1169" t="s">
        <v>330</v>
      </c>
      <c r="C96" s="1169"/>
      <c r="D96" s="1169"/>
      <c r="E96" s="1169"/>
      <c r="F96" s="1169"/>
      <c r="G96" s="1169"/>
      <c r="H96" s="1"/>
      <c r="I96" s="1170" t="s">
        <v>378</v>
      </c>
      <c r="J96" s="1170"/>
      <c r="K96" s="217"/>
      <c r="L96" s="217"/>
      <c r="M96" s="217"/>
      <c r="N96" s="217"/>
      <c r="O96" s="1"/>
      <c r="P96" s="1"/>
      <c r="Q96" s="1"/>
      <c r="R96" s="1"/>
      <c r="S96" s="1"/>
      <c r="T96" s="1"/>
      <c r="U96" s="1"/>
      <c r="V96" s="1"/>
    </row>
    <row r="97" spans="2:26" x14ac:dyDescent="0.3">
      <c r="B97" s="1169"/>
      <c r="C97" s="1169"/>
      <c r="D97" s="1169"/>
      <c r="E97" s="1169"/>
      <c r="F97" s="1169"/>
      <c r="G97" s="1169"/>
      <c r="H97" s="1"/>
      <c r="I97" s="1171"/>
      <c r="J97" s="1171"/>
      <c r="K97" s="217"/>
      <c r="L97" s="217"/>
      <c r="M97" s="217"/>
      <c r="N97" s="217"/>
      <c r="O97" s="1"/>
      <c r="P97" s="1"/>
      <c r="Q97" s="1"/>
      <c r="R97" s="1"/>
      <c r="S97" s="1"/>
      <c r="T97" s="1"/>
      <c r="U97" s="1"/>
      <c r="V97" s="1"/>
    </row>
    <row r="98" spans="2:26" ht="26.4" thickBot="1" x14ac:dyDescent="0.55000000000000004">
      <c r="B98" s="216" t="s">
        <v>373</v>
      </c>
      <c r="C98" s="218"/>
      <c r="D98" s="216"/>
      <c r="E98" s="216"/>
      <c r="F98" s="216"/>
      <c r="G98" s="216"/>
      <c r="H98" s="1"/>
      <c r="I98" s="151" t="s">
        <v>379</v>
      </c>
      <c r="J98" s="151"/>
      <c r="K98" s="151"/>
      <c r="L98" s="151"/>
      <c r="M98" s="151"/>
      <c r="N98" s="151"/>
      <c r="O98" s="1"/>
      <c r="P98" s="1"/>
      <c r="Q98" s="1"/>
      <c r="R98" s="1"/>
      <c r="S98" s="1"/>
      <c r="T98" s="1"/>
      <c r="U98" s="1"/>
      <c r="V98" s="1"/>
    </row>
    <row r="99" spans="2:26" x14ac:dyDescent="0.3">
      <c r="B99" s="216"/>
      <c r="C99" s="216"/>
      <c r="D99" s="216"/>
      <c r="E99" s="274" t="s">
        <v>4</v>
      </c>
      <c r="F99" s="275" t="s">
        <v>377</v>
      </c>
      <c r="G99" s="276" t="s">
        <v>375</v>
      </c>
      <c r="H99" s="1"/>
      <c r="I99" s="151" t="s">
        <v>380</v>
      </c>
      <c r="J99" s="151"/>
      <c r="K99" s="151"/>
      <c r="L99" s="151"/>
      <c r="M99" s="151"/>
      <c r="N99" s="151"/>
      <c r="O99" s="1"/>
      <c r="P99" s="1"/>
      <c r="Q99" s="1"/>
      <c r="R99" s="1"/>
      <c r="S99" s="1"/>
      <c r="T99" s="1"/>
      <c r="U99" s="1"/>
      <c r="V99" s="1"/>
    </row>
    <row r="100" spans="2:26" ht="16.2" thickBot="1" x14ac:dyDescent="0.35">
      <c r="B100" s="216"/>
      <c r="C100" s="216"/>
      <c r="D100" s="216"/>
      <c r="E100" s="556">
        <f>HughesNet!K5</f>
        <v>84.97999999999999</v>
      </c>
      <c r="F100" s="557">
        <f>HughesNet!L5</f>
        <v>84.97999999999999</v>
      </c>
      <c r="G100" s="558">
        <f>HughesNet!N5</f>
        <v>0</v>
      </c>
      <c r="H100" s="1"/>
      <c r="I100" s="151"/>
      <c r="J100" s="151"/>
      <c r="K100" s="151"/>
      <c r="L100" s="151"/>
      <c r="M100" s="151"/>
      <c r="N100" s="151"/>
      <c r="O100" s="1"/>
      <c r="P100" s="1"/>
      <c r="Q100" s="1"/>
      <c r="R100" s="1"/>
      <c r="S100" s="1"/>
      <c r="T100" s="1"/>
      <c r="U100" s="1"/>
      <c r="V100" s="1"/>
    </row>
    <row r="101" spans="2:26" ht="15.75" customHeight="1" thickBot="1" x14ac:dyDescent="0.35">
      <c r="B101" s="216"/>
      <c r="C101" s="216"/>
      <c r="D101" s="216"/>
      <c r="E101" s="216"/>
      <c r="F101" s="216"/>
      <c r="G101" s="220" t="s">
        <v>366</v>
      </c>
      <c r="H101" s="1"/>
      <c r="I101" s="151"/>
      <c r="J101" s="151"/>
      <c r="K101" s="151"/>
      <c r="L101" s="151"/>
      <c r="M101" s="151"/>
      <c r="N101" s="151"/>
      <c r="O101" s="1"/>
      <c r="P101" s="1"/>
      <c r="Q101" s="1"/>
      <c r="R101" s="1"/>
      <c r="S101" s="1"/>
      <c r="T101" s="1"/>
      <c r="U101" s="1"/>
      <c r="V101" s="1"/>
    </row>
    <row r="102" spans="2:26" ht="15" customHeight="1" thickBot="1" x14ac:dyDescent="0.35">
      <c r="B102" s="216"/>
      <c r="C102" s="216"/>
      <c r="D102" s="216"/>
      <c r="E102" s="219" t="s">
        <v>361</v>
      </c>
      <c r="F102" s="216"/>
      <c r="G102" s="559">
        <f>HughesNet!M5</f>
        <v>0</v>
      </c>
      <c r="H102" s="1"/>
      <c r="I102" s="151"/>
      <c r="J102" s="151"/>
      <c r="K102" s="151"/>
      <c r="L102" s="151"/>
      <c r="M102" s="151"/>
      <c r="N102" s="151"/>
      <c r="O102" s="1"/>
      <c r="P102" s="1"/>
      <c r="Q102" s="1"/>
      <c r="R102" s="1"/>
      <c r="S102" s="1"/>
      <c r="T102" s="1"/>
      <c r="U102" s="1"/>
      <c r="V102" s="1"/>
      <c r="W102" s="1"/>
      <c r="X102" s="1"/>
      <c r="Y102" s="1"/>
      <c r="Z102" s="1"/>
    </row>
    <row r="103" spans="2:26" ht="21" customHeight="1" thickBot="1" x14ac:dyDescent="0.35">
      <c r="B103" s="216"/>
      <c r="C103" s="216"/>
      <c r="D103" s="216"/>
      <c r="E103" s="222" t="str">
        <f>HughesNet!K8</f>
        <v>30GB</v>
      </c>
      <c r="F103" s="216"/>
      <c r="G103" s="220" t="s">
        <v>93</v>
      </c>
      <c r="H103" s="1"/>
      <c r="I103" s="151"/>
      <c r="J103" s="151"/>
      <c r="K103" s="151"/>
      <c r="L103" s="151"/>
      <c r="M103" s="151"/>
      <c r="N103" s="151"/>
      <c r="O103" s="1"/>
      <c r="P103" s="1"/>
      <c r="Q103" s="1"/>
      <c r="R103" s="1"/>
      <c r="S103" s="1"/>
      <c r="T103" s="1"/>
      <c r="U103" s="1"/>
      <c r="V103" s="1"/>
      <c r="W103" s="1"/>
      <c r="X103" s="1"/>
      <c r="Y103" s="1"/>
      <c r="Z103" s="1"/>
    </row>
    <row r="104" spans="2:26" ht="16.2" thickBot="1" x14ac:dyDescent="0.35">
      <c r="B104" s="216"/>
      <c r="C104" s="216"/>
      <c r="D104" s="216"/>
      <c r="E104" s="216"/>
      <c r="F104" s="216"/>
      <c r="G104" s="559">
        <f>HughesNet!O5</f>
        <v>349.98</v>
      </c>
      <c r="H104" s="1"/>
      <c r="I104" s="151"/>
      <c r="J104" s="151"/>
      <c r="K104" s="151"/>
      <c r="L104" s="151"/>
      <c r="M104" s="151"/>
      <c r="N104" s="151"/>
      <c r="O104" s="1"/>
      <c r="P104" s="1"/>
      <c r="Q104" s="1"/>
      <c r="R104" s="1"/>
      <c r="S104" s="1"/>
      <c r="T104" s="1"/>
      <c r="U104" s="1"/>
      <c r="V104" s="1"/>
      <c r="W104" s="1"/>
      <c r="X104" s="1"/>
      <c r="Y104" s="1"/>
      <c r="Z104" s="1"/>
    </row>
    <row r="105" spans="2:26" ht="15" thickBot="1" x14ac:dyDescent="0.35">
      <c r="B105" s="216"/>
      <c r="C105" s="216"/>
      <c r="D105" s="216"/>
      <c r="E105" s="216"/>
      <c r="F105" s="216"/>
      <c r="G105" s="216"/>
      <c r="H105" s="1"/>
      <c r="I105" s="151"/>
      <c r="J105" s="151"/>
      <c r="K105" s="151"/>
      <c r="L105" s="151"/>
      <c r="M105" s="151"/>
      <c r="N105" s="151"/>
      <c r="O105" s="1"/>
      <c r="P105" s="1"/>
      <c r="Q105" s="1"/>
      <c r="R105" s="1"/>
      <c r="S105" s="1"/>
      <c r="T105" s="1"/>
      <c r="U105" s="1"/>
      <c r="V105" s="1"/>
      <c r="W105" s="1"/>
      <c r="X105" s="1"/>
      <c r="Y105" s="1"/>
      <c r="Z105" s="1"/>
    </row>
    <row r="106" spans="2:26" ht="32.4" thickTop="1" thickBot="1" x14ac:dyDescent="0.65">
      <c r="B106" s="1172"/>
      <c r="C106" s="1173"/>
      <c r="D106" s="1173"/>
      <c r="E106" s="1173"/>
      <c r="F106" s="1173"/>
      <c r="G106" s="1174"/>
      <c r="H106" s="1"/>
      <c r="I106" s="1172"/>
      <c r="J106" s="1173"/>
      <c r="K106" s="1173"/>
      <c r="L106" s="1173"/>
      <c r="M106" s="1173"/>
      <c r="N106" s="1174"/>
      <c r="O106" s="1"/>
      <c r="P106" s="1"/>
      <c r="Q106" s="1"/>
      <c r="R106" s="1"/>
      <c r="S106" s="1"/>
      <c r="T106" s="1"/>
      <c r="U106" s="1"/>
      <c r="V106" s="1"/>
      <c r="W106" s="1"/>
      <c r="X106" s="1"/>
      <c r="Y106" s="1"/>
      <c r="Z106" s="1"/>
    </row>
    <row r="107" spans="2:26" ht="15" thickTop="1" x14ac:dyDescent="0.3">
      <c r="B107" s="58" t="s">
        <v>7</v>
      </c>
      <c r="C107" s="292" t="s">
        <v>14</v>
      </c>
      <c r="D107" s="58" t="s">
        <v>535</v>
      </c>
      <c r="E107" s="61"/>
      <c r="F107" s="61"/>
      <c r="G107" s="59"/>
      <c r="H107" s="1"/>
      <c r="I107" s="91"/>
      <c r="J107" s="91"/>
      <c r="K107" s="91"/>
      <c r="L107" s="91"/>
      <c r="M107" s="91"/>
      <c r="N107" s="91"/>
      <c r="O107" s="1"/>
      <c r="P107" s="1"/>
      <c r="Q107" s="1"/>
      <c r="R107" s="1"/>
      <c r="S107" s="1"/>
      <c r="T107" s="1"/>
      <c r="U107" s="1"/>
      <c r="V107" s="1"/>
      <c r="W107" s="1"/>
      <c r="X107" s="1"/>
      <c r="Y107" s="1"/>
      <c r="Z107" s="1"/>
    </row>
    <row r="108" spans="2:26" ht="15" thickBot="1" x14ac:dyDescent="0.35">
      <c r="B108" s="58"/>
      <c r="C108" s="59"/>
      <c r="D108" s="59"/>
      <c r="E108" s="61"/>
      <c r="F108" s="293" t="s">
        <v>30</v>
      </c>
      <c r="G108" s="59"/>
      <c r="H108" s="1"/>
      <c r="I108" s="91"/>
      <c r="J108" s="91"/>
      <c r="K108" s="91"/>
      <c r="L108" s="91"/>
      <c r="M108" s="91"/>
      <c r="N108" s="91"/>
      <c r="O108" s="1"/>
      <c r="P108" s="1"/>
      <c r="Q108" s="1"/>
      <c r="R108" s="1"/>
      <c r="S108" s="1"/>
      <c r="T108" s="1"/>
      <c r="U108" s="1"/>
      <c r="V108" s="1"/>
      <c r="W108" s="1"/>
      <c r="X108" s="1"/>
      <c r="Y108" s="1"/>
      <c r="Z108" s="1"/>
    </row>
    <row r="109" spans="2:26" ht="15" thickTop="1" x14ac:dyDescent="0.3">
      <c r="B109" s="58"/>
      <c r="C109" s="59" t="s">
        <v>60</v>
      </c>
      <c r="D109" s="59"/>
      <c r="E109" s="560" t="s">
        <v>4</v>
      </c>
      <c r="F109" s="561" t="s">
        <v>5</v>
      </c>
      <c r="G109" s="562" t="s">
        <v>6</v>
      </c>
      <c r="H109" s="1"/>
      <c r="I109" s="91"/>
      <c r="J109" s="91"/>
      <c r="K109" s="91"/>
      <c r="L109" s="91"/>
      <c r="M109" s="91"/>
      <c r="N109" s="91"/>
      <c r="O109" s="1"/>
      <c r="P109" s="1"/>
      <c r="Q109" s="1"/>
      <c r="R109" s="1"/>
      <c r="S109" s="1"/>
      <c r="T109" s="1"/>
      <c r="U109" s="1"/>
      <c r="V109" s="1"/>
      <c r="W109" s="1"/>
      <c r="X109" s="1"/>
      <c r="Y109" s="1"/>
      <c r="Z109" s="1"/>
    </row>
    <row r="110" spans="2:26" ht="16.2" thickBot="1" x14ac:dyDescent="0.35">
      <c r="B110" s="58" t="s">
        <v>8</v>
      </c>
      <c r="C110" s="59"/>
      <c r="D110" s="58"/>
      <c r="E110" s="563">
        <f>Cox!Q4</f>
        <v>154.99</v>
      </c>
      <c r="F110" s="564">
        <f>Cox!R4</f>
        <v>169.99</v>
      </c>
      <c r="G110" s="565">
        <f>Cox!Q7</f>
        <v>80</v>
      </c>
      <c r="H110" s="1"/>
      <c r="I110" s="91"/>
      <c r="J110" s="91"/>
      <c r="K110" s="91"/>
      <c r="L110" s="91"/>
      <c r="M110" s="91"/>
      <c r="N110" s="91"/>
      <c r="O110" s="1"/>
      <c r="P110" s="1"/>
      <c r="Q110" s="1"/>
      <c r="R110" s="1"/>
      <c r="S110" s="1"/>
      <c r="T110" s="1"/>
      <c r="U110" s="1"/>
      <c r="V110" s="1"/>
      <c r="W110" s="1"/>
      <c r="X110" s="1"/>
      <c r="Y110" s="1"/>
      <c r="Z110" s="1"/>
    </row>
    <row r="111" spans="2:26" ht="15" thickTop="1" x14ac:dyDescent="0.3">
      <c r="B111" s="58"/>
      <c r="C111" s="59"/>
      <c r="D111" s="59"/>
      <c r="E111" s="59"/>
      <c r="F111" s="59"/>
      <c r="G111" s="59"/>
      <c r="H111" s="1"/>
      <c r="I111" s="91"/>
      <c r="J111" s="91"/>
      <c r="K111" s="91"/>
      <c r="L111" s="91"/>
      <c r="M111" s="91"/>
      <c r="N111" s="91"/>
      <c r="O111" s="1"/>
      <c r="P111" s="1"/>
      <c r="Q111" s="1"/>
      <c r="R111" s="1"/>
      <c r="S111" s="1"/>
      <c r="T111" s="1"/>
      <c r="U111" s="1"/>
      <c r="V111" s="1"/>
      <c r="W111" s="1"/>
      <c r="X111" s="1"/>
      <c r="Y111" s="1"/>
      <c r="Z111" s="1"/>
    </row>
    <row r="112" spans="2:26" x14ac:dyDescent="0.3">
      <c r="B112" s="58"/>
      <c r="C112" s="59"/>
      <c r="D112" s="59"/>
      <c r="E112" s="59"/>
      <c r="F112" s="59"/>
      <c r="G112" s="59"/>
      <c r="H112" s="1"/>
      <c r="I112" s="91"/>
      <c r="J112" s="91"/>
      <c r="K112" s="91"/>
      <c r="L112" s="91"/>
      <c r="M112" s="91"/>
      <c r="N112" s="91"/>
      <c r="O112" s="1"/>
      <c r="P112" s="1"/>
      <c r="Q112" s="1"/>
      <c r="R112" s="1"/>
      <c r="S112" s="1"/>
      <c r="T112" s="1"/>
      <c r="U112" s="1"/>
      <c r="V112" s="1"/>
      <c r="W112" s="1"/>
      <c r="X112" s="1"/>
      <c r="Y112" s="1"/>
      <c r="Z112" s="1"/>
    </row>
    <row r="113" spans="2:26" x14ac:dyDescent="0.3">
      <c r="B113" s="58" t="s">
        <v>12</v>
      </c>
      <c r="C113" s="59"/>
      <c r="D113" s="59"/>
      <c r="E113" s="59"/>
      <c r="F113" s="59"/>
      <c r="G113" s="59"/>
      <c r="H113" s="1"/>
      <c r="I113" s="91"/>
      <c r="J113" s="91"/>
      <c r="K113" s="91"/>
      <c r="L113" s="91"/>
      <c r="M113" s="91"/>
      <c r="N113" s="91"/>
      <c r="O113" s="1"/>
      <c r="P113" s="1"/>
      <c r="Q113" s="1"/>
      <c r="R113" s="1"/>
      <c r="S113" s="1"/>
      <c r="T113" s="1"/>
      <c r="U113" s="1"/>
      <c r="V113" s="1"/>
      <c r="W113" s="1"/>
      <c r="X113" s="1"/>
      <c r="Y113" s="1"/>
      <c r="Z113" s="1"/>
    </row>
    <row r="114" spans="2:26" ht="23.4" x14ac:dyDescent="0.45">
      <c r="B114" s="58"/>
      <c r="C114" s="59"/>
      <c r="D114" s="59"/>
      <c r="E114" s="1167"/>
      <c r="F114" s="1167"/>
      <c r="G114" s="1167"/>
      <c r="H114" s="1"/>
      <c r="I114" s="1168"/>
      <c r="J114" s="1168"/>
      <c r="K114" s="91"/>
      <c r="L114" s="91"/>
      <c r="M114" s="91"/>
      <c r="N114" s="91"/>
      <c r="O114" s="1"/>
      <c r="P114" s="1"/>
      <c r="Q114" s="1"/>
      <c r="R114" s="1"/>
      <c r="S114" s="1"/>
      <c r="T114" s="1"/>
      <c r="U114" s="1"/>
      <c r="V114" s="1"/>
      <c r="W114" s="1"/>
      <c r="X114" s="1"/>
      <c r="Y114" s="1"/>
      <c r="Z114" s="1"/>
    </row>
    <row r="115" spans="2:26" x14ac:dyDescent="0.3">
      <c r="B115" s="59"/>
      <c r="C115" s="59"/>
      <c r="D115" s="59"/>
      <c r="E115" s="59"/>
      <c r="F115" s="59"/>
      <c r="G115" s="59"/>
      <c r="H115" s="1"/>
      <c r="I115" s="91"/>
      <c r="J115" s="91"/>
      <c r="K115" s="91"/>
      <c r="L115" s="91"/>
      <c r="M115" s="91"/>
      <c r="N115" s="91"/>
      <c r="O115" s="1"/>
      <c r="P115" s="1"/>
      <c r="Q115" s="1"/>
      <c r="R115" s="1"/>
      <c r="S115" s="1"/>
      <c r="T115" s="1"/>
      <c r="U115" s="1"/>
      <c r="V115" s="1"/>
      <c r="W115" s="1"/>
      <c r="X115" s="1"/>
      <c r="Y115" s="1"/>
      <c r="Z115" s="1"/>
    </row>
    <row r="116" spans="2:26" x14ac:dyDescent="0.3">
      <c r="B116" s="59"/>
      <c r="C116" s="59"/>
      <c r="D116" s="59"/>
      <c r="E116" s="59"/>
      <c r="F116" s="59"/>
      <c r="G116" s="59"/>
      <c r="H116" s="1"/>
      <c r="I116" s="91"/>
      <c r="J116" s="92"/>
      <c r="K116" s="91"/>
      <c r="L116" s="91"/>
      <c r="M116" s="91"/>
      <c r="N116" s="91"/>
      <c r="O116" s="1"/>
      <c r="P116" s="1"/>
      <c r="Q116" s="1"/>
      <c r="R116" s="1"/>
      <c r="S116" s="1"/>
      <c r="T116" s="1"/>
      <c r="U116" s="1"/>
      <c r="V116" s="1"/>
      <c r="W116" s="1"/>
      <c r="X116" s="1"/>
      <c r="Y116" s="1"/>
      <c r="Z116" s="1"/>
    </row>
    <row r="117" spans="2:26" x14ac:dyDescent="0.3">
      <c r="B117" s="294"/>
      <c r="C117" s="59"/>
      <c r="D117" s="59"/>
      <c r="E117" s="59"/>
      <c r="F117" s="59"/>
      <c r="G117" s="59"/>
      <c r="H117" s="1"/>
      <c r="I117" s="1168"/>
      <c r="J117" s="1168"/>
      <c r="K117" s="91"/>
      <c r="L117" s="91"/>
      <c r="M117" s="91"/>
      <c r="N117" s="91"/>
      <c r="O117" s="1"/>
      <c r="P117" s="1"/>
      <c r="Q117" s="1"/>
      <c r="R117" s="1"/>
      <c r="S117" s="1"/>
      <c r="T117" s="1"/>
      <c r="U117" s="1"/>
      <c r="V117" s="1"/>
      <c r="W117" s="1"/>
      <c r="X117" s="1"/>
      <c r="Y117" s="1"/>
      <c r="Z117" s="1"/>
    </row>
    <row r="118" spans="2:26" ht="15" thickBot="1" x14ac:dyDescent="0.35">
      <c r="B118" s="295"/>
      <c r="C118" s="59"/>
      <c r="D118" s="59"/>
      <c r="E118" s="295"/>
      <c r="F118" s="59"/>
      <c r="G118" s="59"/>
      <c r="H118" s="1"/>
      <c r="I118" s="91"/>
      <c r="J118" s="91"/>
      <c r="K118" s="91"/>
      <c r="L118" s="91"/>
      <c r="M118" s="91"/>
      <c r="N118" s="91"/>
      <c r="O118" s="1"/>
      <c r="P118" s="1"/>
      <c r="Q118" s="1"/>
      <c r="R118" s="1"/>
      <c r="S118" s="1"/>
      <c r="T118" s="1"/>
      <c r="U118" s="1"/>
      <c r="V118" s="1"/>
      <c r="W118" s="1"/>
      <c r="X118" s="1"/>
      <c r="Y118" s="1"/>
      <c r="Z118" s="1"/>
    </row>
    <row r="119" spans="2:26" x14ac:dyDescent="0.3">
      <c r="B119" s="327"/>
      <c r="C119" s="328"/>
      <c r="D119" s="328"/>
      <c r="E119" s="328"/>
      <c r="F119" s="328"/>
      <c r="G119" s="329"/>
      <c r="H119" s="1"/>
      <c r="I119" s="327"/>
      <c r="J119" s="328"/>
      <c r="K119" s="328"/>
      <c r="L119" s="328"/>
      <c r="M119" s="328"/>
      <c r="N119" s="329"/>
      <c r="O119" s="1"/>
      <c r="P119" s="1"/>
      <c r="Q119" s="1"/>
      <c r="R119" s="1"/>
      <c r="S119" s="1"/>
      <c r="T119" s="1"/>
      <c r="U119" s="1"/>
      <c r="V119" s="1"/>
      <c r="W119" s="1"/>
      <c r="X119" s="1"/>
      <c r="Y119" s="1"/>
      <c r="Z119" s="1"/>
    </row>
    <row r="120" spans="2:26" x14ac:dyDescent="0.3">
      <c r="B120" s="330"/>
      <c r="C120" s="48"/>
      <c r="D120" s="48"/>
      <c r="E120" s="48"/>
      <c r="F120" s="48"/>
      <c r="G120" s="331"/>
      <c r="H120" s="1"/>
      <c r="I120" s="330"/>
      <c r="J120" s="48"/>
      <c r="K120" s="48"/>
      <c r="L120" s="48"/>
      <c r="M120" s="48"/>
      <c r="N120" s="331"/>
      <c r="O120" s="1"/>
      <c r="P120" s="1"/>
      <c r="Q120" s="1"/>
      <c r="R120" s="1"/>
      <c r="S120" s="1"/>
      <c r="T120" s="1"/>
      <c r="U120" s="1"/>
      <c r="V120" s="1"/>
      <c r="W120" s="1"/>
      <c r="X120" s="1"/>
      <c r="Y120" s="1"/>
      <c r="Z120" s="1"/>
    </row>
    <row r="121" spans="2:26" ht="15" thickBot="1" x14ac:dyDescent="0.35">
      <c r="B121" s="332"/>
      <c r="C121" s="333"/>
      <c r="D121" s="333"/>
      <c r="E121" s="333"/>
      <c r="F121" s="333"/>
      <c r="G121" s="334"/>
      <c r="H121" s="1"/>
      <c r="I121" s="332"/>
      <c r="J121" s="333"/>
      <c r="K121" s="333"/>
      <c r="L121" s="333"/>
      <c r="M121" s="333"/>
      <c r="N121" s="334"/>
      <c r="O121" s="1"/>
      <c r="P121" s="1"/>
      <c r="Q121" s="1"/>
      <c r="R121" s="1"/>
      <c r="S121" s="1"/>
      <c r="T121" s="1"/>
      <c r="U121" s="1"/>
      <c r="V121" s="1"/>
      <c r="W121" s="1"/>
      <c r="X121" s="1"/>
      <c r="Y121" s="1"/>
      <c r="Z121" s="1"/>
    </row>
    <row r="122" spans="2:26" ht="15" thickBot="1" x14ac:dyDescent="0.35">
      <c r="B122" s="336" t="s">
        <v>7</v>
      </c>
      <c r="C122" s="336"/>
      <c r="D122" s="337"/>
      <c r="E122" s="337"/>
      <c r="F122" s="337"/>
      <c r="G122" s="337"/>
      <c r="H122" s="1"/>
      <c r="I122" s="337" t="s">
        <v>800</v>
      </c>
      <c r="J122" s="337"/>
      <c r="K122" s="337"/>
      <c r="L122" s="337"/>
      <c r="M122" s="337"/>
      <c r="N122" s="337"/>
      <c r="O122" s="1"/>
      <c r="P122" s="1"/>
      <c r="Q122" s="1"/>
      <c r="R122" s="1"/>
      <c r="S122" s="1"/>
      <c r="T122" s="1"/>
      <c r="U122" s="1"/>
      <c r="V122" s="1"/>
      <c r="W122" s="1"/>
      <c r="X122" s="1"/>
      <c r="Y122" s="1"/>
      <c r="Z122" s="1"/>
    </row>
    <row r="123" spans="2:26" x14ac:dyDescent="0.3">
      <c r="B123" s="337"/>
      <c r="C123" s="337"/>
      <c r="D123" s="337"/>
      <c r="E123" s="566" t="s">
        <v>4</v>
      </c>
      <c r="F123" s="567" t="s">
        <v>5</v>
      </c>
      <c r="G123" s="568" t="s">
        <v>6</v>
      </c>
      <c r="H123" s="1"/>
      <c r="I123" s="337" t="s">
        <v>647</v>
      </c>
      <c r="J123" s="337"/>
      <c r="K123" s="337"/>
      <c r="L123" s="337"/>
      <c r="M123" s="337"/>
      <c r="N123" s="337"/>
      <c r="O123" s="1"/>
      <c r="P123" s="1"/>
      <c r="Q123" s="1"/>
      <c r="R123" s="1"/>
      <c r="S123" s="1"/>
      <c r="T123" s="1"/>
      <c r="U123" s="1"/>
      <c r="V123" s="1"/>
      <c r="W123" s="1"/>
      <c r="X123" s="1"/>
      <c r="Y123" s="1"/>
      <c r="Z123" s="1"/>
    </row>
    <row r="124" spans="2:26" ht="16.2" thickBot="1" x14ac:dyDescent="0.35">
      <c r="B124" s="337"/>
      <c r="C124" s="337"/>
      <c r="D124" s="337"/>
      <c r="E124" s="569">
        <f>Table102[1st Year]</f>
        <v>49.95</v>
      </c>
      <c r="F124" s="570">
        <f>Table102[2nd Year]</f>
        <v>59.95</v>
      </c>
      <c r="G124" s="571">
        <f>Table99[One Time Fee Exemption]</f>
        <v>75</v>
      </c>
      <c r="H124" s="1"/>
      <c r="I124" s="430" t="s">
        <v>801</v>
      </c>
      <c r="J124" s="337"/>
      <c r="K124" s="337"/>
      <c r="L124" s="337"/>
      <c r="M124" s="337"/>
      <c r="N124" s="337"/>
      <c r="O124" s="1"/>
      <c r="P124" s="1"/>
      <c r="Q124" s="1"/>
      <c r="R124" s="1"/>
      <c r="S124" s="1"/>
      <c r="T124" s="1"/>
      <c r="U124" s="1"/>
      <c r="V124" s="1"/>
      <c r="W124" s="1"/>
      <c r="X124" s="1"/>
      <c r="Y124" s="1"/>
      <c r="Z124" s="1"/>
    </row>
    <row r="125" spans="2:26" x14ac:dyDescent="0.3">
      <c r="B125" s="337"/>
      <c r="C125" s="337"/>
      <c r="D125" s="337"/>
      <c r="E125" s="1166" t="s">
        <v>808</v>
      </c>
      <c r="F125" s="1166"/>
      <c r="G125" s="1166"/>
      <c r="H125" s="1"/>
      <c r="I125" s="337"/>
      <c r="J125" s="337"/>
      <c r="K125" s="337"/>
      <c r="L125" s="337"/>
      <c r="M125" s="337"/>
      <c r="N125" s="337"/>
      <c r="O125" s="1"/>
      <c r="P125" s="1"/>
      <c r="Q125" s="1"/>
      <c r="R125" s="1"/>
      <c r="S125" s="1"/>
      <c r="T125" s="1"/>
      <c r="U125" s="1"/>
      <c r="V125" s="1"/>
      <c r="W125" s="1"/>
      <c r="X125" s="1"/>
      <c r="Y125" s="1"/>
      <c r="Z125" s="1"/>
    </row>
    <row r="126" spans="2:26" x14ac:dyDescent="0.3">
      <c r="B126" s="337"/>
      <c r="C126" s="337"/>
      <c r="D126" s="337"/>
      <c r="E126" s="337"/>
      <c r="F126" s="337"/>
      <c r="G126" s="337"/>
      <c r="H126" s="1"/>
      <c r="I126" s="337"/>
      <c r="J126" s="337"/>
      <c r="K126" s="337"/>
      <c r="L126" s="337"/>
      <c r="M126" s="337"/>
      <c r="N126" s="337"/>
      <c r="O126" s="1"/>
      <c r="P126" s="1"/>
      <c r="Q126" s="1"/>
      <c r="R126" s="1"/>
      <c r="S126" s="1"/>
      <c r="T126" s="1"/>
      <c r="U126" s="1"/>
      <c r="V126" s="1"/>
      <c r="W126" s="1"/>
      <c r="X126" s="1"/>
      <c r="Y126" s="1"/>
      <c r="Z126" s="1"/>
    </row>
    <row r="127" spans="2:26" ht="15" thickBot="1" x14ac:dyDescent="0.35">
      <c r="B127" s="337"/>
      <c r="C127" s="337"/>
      <c r="D127" s="337"/>
      <c r="E127" s="337"/>
      <c r="F127" s="337"/>
      <c r="G127" s="337"/>
      <c r="H127" s="1"/>
      <c r="I127" s="337"/>
      <c r="J127" s="337"/>
      <c r="K127" s="337"/>
      <c r="L127" s="337"/>
      <c r="M127" s="337"/>
      <c r="N127" s="337"/>
      <c r="O127" s="1"/>
      <c r="P127" s="1"/>
      <c r="Q127" s="1"/>
      <c r="R127" s="1"/>
      <c r="S127" s="1"/>
      <c r="T127" s="1"/>
      <c r="U127" s="1"/>
      <c r="V127" s="1"/>
      <c r="W127" s="1"/>
      <c r="X127" s="1"/>
      <c r="Y127" s="1"/>
      <c r="Z127" s="1"/>
    </row>
    <row r="128" spans="2:26" x14ac:dyDescent="0.3">
      <c r="B128" s="356"/>
      <c r="C128" s="357"/>
      <c r="D128" s="357"/>
      <c r="E128" s="357"/>
      <c r="F128" s="357"/>
      <c r="G128" s="358"/>
      <c r="H128" s="1"/>
      <c r="I128" s="356"/>
      <c r="J128" s="357"/>
      <c r="K128" s="357"/>
      <c r="L128" s="357"/>
      <c r="M128" s="357"/>
      <c r="N128" s="358"/>
      <c r="O128" s="1"/>
      <c r="P128" s="1"/>
      <c r="Q128" s="1"/>
      <c r="R128" s="1"/>
      <c r="S128" s="1"/>
      <c r="T128" s="1"/>
      <c r="U128" s="1"/>
      <c r="V128" s="1"/>
      <c r="W128" s="1"/>
      <c r="X128" s="1"/>
      <c r="Y128" s="1"/>
      <c r="Z128" s="1"/>
    </row>
    <row r="129" spans="2:26" x14ac:dyDescent="0.3">
      <c r="B129" s="359"/>
      <c r="C129" s="355"/>
      <c r="D129" s="355"/>
      <c r="E129" s="355"/>
      <c r="F129" s="355"/>
      <c r="G129" s="360"/>
      <c r="H129" s="1"/>
      <c r="I129" s="359"/>
      <c r="J129" s="355"/>
      <c r="K129" s="355"/>
      <c r="L129" s="355"/>
      <c r="M129" s="355"/>
      <c r="N129" s="360"/>
      <c r="O129" s="1"/>
      <c r="P129" s="1"/>
      <c r="Q129" s="1"/>
      <c r="R129" s="1"/>
      <c r="S129" s="1"/>
      <c r="T129" s="1"/>
      <c r="U129" s="1"/>
      <c r="V129" s="1"/>
      <c r="W129" s="1"/>
      <c r="X129" s="1"/>
      <c r="Y129" s="1"/>
      <c r="Z129" s="1"/>
    </row>
    <row r="130" spans="2:26" ht="15" thickBot="1" x14ac:dyDescent="0.35">
      <c r="B130" s="361"/>
      <c r="C130" s="362"/>
      <c r="D130" s="362"/>
      <c r="E130" s="362"/>
      <c r="F130" s="362"/>
      <c r="G130" s="363"/>
      <c r="H130" s="1"/>
      <c r="I130" s="361"/>
      <c r="J130" s="362"/>
      <c r="K130" s="362"/>
      <c r="L130" s="362"/>
      <c r="M130" s="362"/>
      <c r="N130" s="363"/>
      <c r="O130" s="1"/>
      <c r="P130" s="1"/>
      <c r="Q130" s="1"/>
      <c r="R130" s="1"/>
      <c r="S130" s="1"/>
      <c r="T130" s="1"/>
      <c r="U130" s="1"/>
      <c r="V130" s="1"/>
      <c r="W130" s="1"/>
      <c r="X130" s="1"/>
      <c r="Y130" s="1"/>
      <c r="Z130" s="1"/>
    </row>
    <row r="131" spans="2:26" ht="15" thickBot="1" x14ac:dyDescent="0.35">
      <c r="B131" s="365" t="s">
        <v>723</v>
      </c>
      <c r="C131" s="354"/>
      <c r="D131" s="354"/>
      <c r="E131" s="354"/>
      <c r="F131" s="354"/>
      <c r="G131" s="354"/>
      <c r="H131" s="1"/>
      <c r="I131" s="1177" t="s">
        <v>739</v>
      </c>
      <c r="J131" s="1177"/>
      <c r="K131" s="1177"/>
      <c r="L131" s="1177"/>
      <c r="M131" s="1177"/>
      <c r="N131" s="1177"/>
      <c r="O131" s="1"/>
      <c r="P131" s="1"/>
      <c r="Q131" s="1"/>
      <c r="R131" s="1"/>
      <c r="S131" s="1"/>
      <c r="T131" s="1"/>
      <c r="U131" s="1"/>
      <c r="V131" s="1"/>
      <c r="W131" s="1"/>
      <c r="X131" s="1"/>
      <c r="Y131" s="1"/>
      <c r="Z131" s="1"/>
    </row>
    <row r="132" spans="2:26" x14ac:dyDescent="0.3">
      <c r="B132" s="354"/>
      <c r="C132" s="354"/>
      <c r="D132" s="354"/>
      <c r="E132" s="572" t="s">
        <v>721</v>
      </c>
      <c r="F132" s="573" t="s">
        <v>722</v>
      </c>
      <c r="G132" s="364"/>
      <c r="H132" s="1"/>
      <c r="I132" s="1176"/>
      <c r="J132" s="1176"/>
      <c r="K132" s="1176"/>
      <c r="L132" s="1176"/>
      <c r="M132" s="1176"/>
      <c r="N132" s="1176"/>
      <c r="O132" s="1"/>
      <c r="P132" s="1"/>
      <c r="Q132" s="1"/>
      <c r="R132" s="1"/>
      <c r="S132" s="1"/>
      <c r="T132" s="1"/>
      <c r="U132" s="1"/>
      <c r="V132" s="1"/>
      <c r="W132" s="1"/>
      <c r="X132" s="1"/>
      <c r="Y132" s="1"/>
      <c r="Z132" s="1"/>
    </row>
    <row r="133" spans="2:26" ht="16.2" thickBot="1" x14ac:dyDescent="0.35">
      <c r="B133" s="354"/>
      <c r="C133" s="354"/>
      <c r="D133" s="354"/>
      <c r="E133" s="574">
        <f>Table110[First 3 Months]</f>
        <v>150</v>
      </c>
      <c r="F133" s="575">
        <f>Table110[3+ Months]</f>
        <v>200</v>
      </c>
      <c r="G133" s="373"/>
      <c r="H133" s="1"/>
      <c r="I133" s="1176"/>
      <c r="J133" s="1176"/>
      <c r="K133" s="1176"/>
      <c r="L133" s="1176"/>
      <c r="M133" s="1176"/>
      <c r="N133" s="1176"/>
      <c r="O133" s="1"/>
      <c r="P133" s="1"/>
      <c r="Q133" s="1"/>
      <c r="R133" s="1"/>
      <c r="S133" s="1"/>
      <c r="T133" s="1"/>
      <c r="U133" s="1"/>
      <c r="V133" s="1"/>
      <c r="W133" s="1"/>
      <c r="X133" s="1"/>
      <c r="Y133" s="1"/>
      <c r="Z133" s="1"/>
    </row>
    <row r="134" spans="2:26" ht="15" thickBot="1" x14ac:dyDescent="0.35">
      <c r="B134" s="354"/>
      <c r="C134" s="354"/>
      <c r="D134" s="354"/>
      <c r="E134" s="354"/>
      <c r="F134" s="354"/>
      <c r="G134" s="354"/>
      <c r="H134" s="1"/>
      <c r="I134" s="1175"/>
      <c r="J134" s="1175"/>
      <c r="K134" s="1175"/>
      <c r="L134" s="1175"/>
      <c r="M134" s="1175"/>
      <c r="N134" s="1175"/>
      <c r="O134" s="1"/>
      <c r="P134" s="1"/>
      <c r="Q134" s="1"/>
      <c r="R134" s="1"/>
      <c r="S134" s="1"/>
      <c r="T134" s="1"/>
      <c r="U134" s="1"/>
      <c r="V134" s="1"/>
      <c r="W134" s="1"/>
      <c r="X134" s="1"/>
      <c r="Y134" s="1"/>
      <c r="Z134" s="1"/>
    </row>
    <row r="135" spans="2:26" x14ac:dyDescent="0.3">
      <c r="B135" s="375"/>
      <c r="C135" s="376"/>
      <c r="D135" s="376"/>
      <c r="E135" s="376"/>
      <c r="F135" s="376"/>
      <c r="G135" s="377"/>
      <c r="H135" s="378"/>
      <c r="I135" s="375"/>
      <c r="J135" s="376"/>
      <c r="K135" s="376"/>
      <c r="L135" s="376"/>
      <c r="M135" s="376"/>
      <c r="N135" s="377"/>
      <c r="O135" s="1"/>
      <c r="P135" s="1"/>
      <c r="Q135" s="1"/>
      <c r="R135" s="1"/>
      <c r="S135" s="1"/>
      <c r="T135" s="1"/>
      <c r="U135" s="1"/>
      <c r="V135" s="1"/>
      <c r="W135" s="1"/>
      <c r="X135" s="1"/>
      <c r="Y135" s="1"/>
      <c r="Z135" s="1"/>
    </row>
    <row r="136" spans="2:26" x14ac:dyDescent="0.3">
      <c r="B136" s="379"/>
      <c r="C136" s="378"/>
      <c r="D136" s="378"/>
      <c r="E136" s="378"/>
      <c r="F136" s="378"/>
      <c r="G136" s="380"/>
      <c r="H136" s="378"/>
      <c r="I136" s="379"/>
      <c r="J136" s="378"/>
      <c r="K136" s="378"/>
      <c r="L136" s="378"/>
      <c r="M136" s="378"/>
      <c r="N136" s="380"/>
      <c r="O136" s="1"/>
      <c r="P136" s="1"/>
      <c r="Q136" s="1"/>
      <c r="R136" s="1"/>
      <c r="S136" s="1"/>
      <c r="T136" s="1"/>
      <c r="U136" s="1"/>
      <c r="V136" s="1"/>
      <c r="W136" s="1"/>
      <c r="X136" s="1"/>
      <c r="Y136" s="1"/>
      <c r="Z136" s="1"/>
    </row>
    <row r="137" spans="2:26" ht="7.5" customHeight="1" thickBot="1" x14ac:dyDescent="0.35">
      <c r="B137" s="381"/>
      <c r="C137" s="382"/>
      <c r="D137" s="382"/>
      <c r="E137" s="382"/>
      <c r="F137" s="382"/>
      <c r="G137" s="383"/>
      <c r="H137" s="378"/>
      <c r="I137" s="381"/>
      <c r="J137" s="382"/>
      <c r="K137" s="382"/>
      <c r="L137" s="382"/>
      <c r="M137" s="382"/>
      <c r="N137" s="383"/>
      <c r="O137" s="1"/>
      <c r="P137" s="1"/>
      <c r="Q137" s="1"/>
      <c r="R137" s="1"/>
      <c r="S137" s="1"/>
      <c r="T137" s="1"/>
      <c r="U137" s="1"/>
      <c r="V137" s="1"/>
      <c r="W137" s="1"/>
      <c r="X137" s="1"/>
      <c r="Y137" s="1"/>
      <c r="Z137" s="1"/>
    </row>
    <row r="138" spans="2:26" ht="15" thickBot="1" x14ac:dyDescent="0.35">
      <c r="B138" s="385" t="s">
        <v>723</v>
      </c>
      <c r="C138" s="389" t="s">
        <v>13</v>
      </c>
      <c r="D138" s="384"/>
      <c r="E138" s="376"/>
      <c r="F138" s="376"/>
      <c r="G138" s="377"/>
      <c r="H138" s="1"/>
      <c r="I138" s="386" t="s">
        <v>763</v>
      </c>
      <c r="J138" s="387"/>
      <c r="K138" s="387"/>
      <c r="L138" s="387"/>
      <c r="M138" s="387"/>
      <c r="N138" s="388"/>
      <c r="O138" s="1"/>
      <c r="P138" s="1"/>
      <c r="Q138" s="1"/>
      <c r="R138" s="1"/>
      <c r="S138" s="1"/>
      <c r="T138" s="1"/>
      <c r="U138" s="1"/>
      <c r="V138" s="1"/>
      <c r="W138" s="1"/>
      <c r="X138" s="1"/>
      <c r="Y138" s="1"/>
      <c r="Z138" s="1"/>
    </row>
    <row r="139" spans="2:26" x14ac:dyDescent="0.3">
      <c r="B139" s="379"/>
      <c r="C139" s="378"/>
      <c r="D139" s="378"/>
      <c r="E139" s="576" t="s">
        <v>756</v>
      </c>
      <c r="F139" s="577" t="s">
        <v>760</v>
      </c>
      <c r="G139" s="578" t="s">
        <v>69</v>
      </c>
      <c r="H139" s="1"/>
      <c r="I139" s="386" t="s">
        <v>764</v>
      </c>
      <c r="J139" s="387"/>
      <c r="K139" s="387"/>
      <c r="L139" s="387"/>
      <c r="M139" s="387"/>
      <c r="N139" s="388"/>
      <c r="O139" s="1"/>
      <c r="P139" s="1"/>
      <c r="Q139" s="1"/>
      <c r="R139" s="1"/>
      <c r="S139" s="1"/>
      <c r="T139" s="1"/>
      <c r="U139" s="1"/>
      <c r="V139" s="1"/>
      <c r="W139" s="1"/>
      <c r="X139" s="1"/>
      <c r="Y139" s="1"/>
      <c r="Z139" s="1"/>
    </row>
    <row r="140" spans="2:26" ht="16.2" thickBot="1" x14ac:dyDescent="0.35">
      <c r="B140" s="379"/>
      <c r="C140" s="378"/>
      <c r="D140" s="378"/>
      <c r="E140" s="579">
        <f>Table121[Price for Life]</f>
        <v>49</v>
      </c>
      <c r="F140" s="580">
        <v>15</v>
      </c>
      <c r="G140" s="581">
        <f>F140+E140</f>
        <v>64</v>
      </c>
      <c r="H140" s="1"/>
      <c r="I140" s="386" t="s">
        <v>766</v>
      </c>
      <c r="J140" s="387"/>
      <c r="K140" s="387"/>
      <c r="L140" s="387"/>
      <c r="M140" s="387"/>
      <c r="N140" s="388"/>
      <c r="O140" s="1"/>
      <c r="P140" s="1"/>
      <c r="Q140" s="1"/>
      <c r="R140" s="1"/>
      <c r="S140" s="1"/>
      <c r="T140" s="1"/>
      <c r="U140" s="1"/>
      <c r="V140" s="1"/>
      <c r="W140" s="1"/>
      <c r="X140" s="1"/>
      <c r="Y140" s="1"/>
      <c r="Z140" s="1"/>
    </row>
    <row r="141" spans="2:26" x14ac:dyDescent="0.3">
      <c r="B141" s="379"/>
      <c r="C141" s="378"/>
      <c r="D141" s="378"/>
      <c r="E141" s="378"/>
      <c r="F141" s="378"/>
      <c r="G141" s="380"/>
      <c r="H141" s="1"/>
      <c r="I141" s="386" t="s">
        <v>765</v>
      </c>
      <c r="J141" s="387"/>
      <c r="K141" s="387"/>
      <c r="L141" s="387"/>
      <c r="M141" s="387"/>
      <c r="N141" s="388"/>
      <c r="O141" s="1"/>
      <c r="P141" s="1"/>
      <c r="Q141" s="1"/>
      <c r="R141" s="1"/>
      <c r="S141" s="1"/>
      <c r="T141" s="1"/>
      <c r="U141" s="1"/>
      <c r="V141" s="1"/>
      <c r="W141" s="1"/>
      <c r="X141" s="1"/>
      <c r="Y141" s="1"/>
      <c r="Z141" s="1"/>
    </row>
    <row r="142" spans="2:26" ht="39.75" customHeight="1" x14ac:dyDescent="0.3">
      <c r="B142" s="379"/>
      <c r="C142" s="378"/>
      <c r="E142" s="378"/>
      <c r="F142" s="378"/>
      <c r="G142" s="380"/>
      <c r="H142" s="1"/>
      <c r="I142" s="386"/>
      <c r="J142" s="387"/>
      <c r="K142" s="387"/>
      <c r="L142" s="387"/>
      <c r="M142" s="387"/>
      <c r="N142" s="388"/>
      <c r="O142" s="1"/>
      <c r="P142" s="1"/>
      <c r="Q142" s="1"/>
      <c r="R142" s="1"/>
      <c r="S142" s="1"/>
      <c r="T142" s="1"/>
      <c r="U142" s="1"/>
      <c r="V142" s="1"/>
      <c r="W142" s="1"/>
      <c r="X142" s="1"/>
      <c r="Y142" s="1"/>
      <c r="Z142" s="1"/>
    </row>
    <row r="143" spans="2:26" ht="16.5" customHeight="1" x14ac:dyDescent="0.3">
      <c r="B143" s="379"/>
      <c r="C143" s="378"/>
      <c r="D143" s="378"/>
      <c r="E143" s="378"/>
      <c r="F143" s="378"/>
      <c r="G143" s="380"/>
      <c r="H143" s="1"/>
      <c r="I143" s="386"/>
      <c r="J143" s="387"/>
      <c r="K143" s="387"/>
      <c r="L143" s="387"/>
      <c r="M143" s="387"/>
      <c r="N143" s="388"/>
      <c r="O143" s="1"/>
      <c r="P143" s="1"/>
      <c r="Q143" s="1"/>
      <c r="R143" s="1"/>
      <c r="S143" s="1"/>
      <c r="T143" s="1"/>
      <c r="U143" s="1"/>
      <c r="V143" s="1"/>
      <c r="W143" s="1"/>
      <c r="X143" s="1"/>
      <c r="Y143" s="1"/>
      <c r="Z143" s="1"/>
    </row>
    <row r="144" spans="2:26" x14ac:dyDescent="0.3">
      <c r="B144" s="379"/>
      <c r="C144" s="378"/>
      <c r="D144" s="378"/>
      <c r="E144" s="378"/>
      <c r="F144" s="378"/>
      <c r="G144" s="380"/>
      <c r="H144" s="1"/>
      <c r="I144" s="386"/>
      <c r="J144" s="387"/>
      <c r="K144" s="387"/>
      <c r="L144" s="387"/>
      <c r="M144" s="387"/>
      <c r="N144" s="388"/>
      <c r="O144" s="1"/>
      <c r="P144" s="1"/>
      <c r="Q144" s="1"/>
      <c r="R144" s="1"/>
      <c r="S144" s="1"/>
      <c r="T144" s="1"/>
      <c r="U144" s="1"/>
      <c r="V144" s="1"/>
      <c r="W144" s="1"/>
      <c r="X144" s="1"/>
      <c r="Y144" s="1"/>
      <c r="Z144" s="1"/>
    </row>
    <row r="145" spans="2:26" x14ac:dyDescent="0.3">
      <c r="B145" s="390"/>
      <c r="C145" s="1"/>
      <c r="D145" s="1"/>
      <c r="E145" s="1"/>
      <c r="F145" s="1"/>
      <c r="G145" s="391"/>
      <c r="H145" s="1"/>
      <c r="I145" s="392"/>
      <c r="J145" s="393"/>
      <c r="K145" s="393"/>
      <c r="L145" s="393"/>
      <c r="M145" s="393"/>
      <c r="N145" s="394"/>
      <c r="O145" s="1"/>
      <c r="P145" s="1"/>
      <c r="Q145" s="1"/>
      <c r="R145" s="1"/>
      <c r="S145" s="1"/>
      <c r="T145" s="1"/>
      <c r="U145" s="1"/>
      <c r="V145" s="1"/>
      <c r="W145" s="1"/>
      <c r="X145" s="1"/>
      <c r="Y145" s="1"/>
      <c r="Z145" s="1"/>
    </row>
    <row r="146" spans="2:26" x14ac:dyDescent="0.3">
      <c r="B146" s="390"/>
      <c r="C146" s="1"/>
      <c r="D146" s="1"/>
      <c r="E146" s="1"/>
      <c r="F146" s="1"/>
      <c r="G146" s="391"/>
      <c r="H146" s="1"/>
      <c r="I146" s="392"/>
      <c r="J146" s="393"/>
      <c r="K146" s="393"/>
      <c r="L146" s="393"/>
      <c r="M146" s="393"/>
      <c r="N146" s="394"/>
      <c r="O146" s="1"/>
      <c r="P146" s="1"/>
      <c r="Q146" s="1"/>
      <c r="R146" s="1"/>
      <c r="S146" s="1"/>
      <c r="T146" s="1"/>
      <c r="U146" s="1"/>
      <c r="V146" s="1"/>
      <c r="W146" s="1"/>
      <c r="X146" s="1"/>
      <c r="Y146" s="1"/>
      <c r="Z146" s="1"/>
    </row>
    <row r="147" spans="2:26" x14ac:dyDescent="0.3">
      <c r="B147" s="390"/>
      <c r="C147" s="1"/>
      <c r="D147" s="1"/>
      <c r="E147" s="1"/>
      <c r="F147" s="1"/>
      <c r="G147" s="391"/>
      <c r="H147" s="1"/>
      <c r="I147" s="392"/>
      <c r="J147" s="393"/>
      <c r="K147" s="393"/>
      <c r="L147" s="393"/>
      <c r="M147" s="393"/>
      <c r="N147" s="394"/>
      <c r="O147" s="1"/>
      <c r="P147" s="1"/>
      <c r="Q147" s="1"/>
      <c r="R147" s="1"/>
      <c r="S147" s="1"/>
      <c r="T147" s="1"/>
      <c r="U147" s="1"/>
      <c r="V147" s="1"/>
      <c r="W147" s="1"/>
      <c r="X147" s="1"/>
      <c r="Y147" s="1"/>
      <c r="Z147" s="1"/>
    </row>
    <row r="148" spans="2:26" x14ac:dyDescent="0.3">
      <c r="B148" s="390"/>
      <c r="C148" s="1"/>
      <c r="D148" s="1"/>
      <c r="E148" s="1"/>
      <c r="F148" s="1"/>
      <c r="G148" s="391"/>
      <c r="H148" s="1"/>
      <c r="I148" s="392"/>
      <c r="J148" s="393"/>
      <c r="K148" s="393"/>
      <c r="L148" s="393"/>
      <c r="M148" s="393"/>
      <c r="N148" s="394"/>
      <c r="O148" s="1"/>
      <c r="P148" s="1"/>
      <c r="Q148" s="1"/>
      <c r="R148" s="1"/>
      <c r="S148" s="1"/>
      <c r="T148" s="1"/>
      <c r="U148" s="1"/>
      <c r="V148" s="1"/>
      <c r="W148" s="1"/>
      <c r="X148" s="1"/>
      <c r="Y148" s="1"/>
      <c r="Z148" s="1"/>
    </row>
    <row r="149" spans="2:26" x14ac:dyDescent="0.3">
      <c r="B149" s="390"/>
      <c r="C149" s="1"/>
      <c r="D149" s="1"/>
      <c r="E149" s="1"/>
      <c r="F149" s="1"/>
      <c r="G149" s="391"/>
      <c r="H149" s="1"/>
      <c r="I149" s="392"/>
      <c r="J149" s="393"/>
      <c r="K149" s="393"/>
      <c r="L149" s="393"/>
      <c r="M149" s="393"/>
      <c r="N149" s="394"/>
      <c r="O149" s="1"/>
      <c r="P149" s="1"/>
      <c r="Q149" s="1"/>
      <c r="R149" s="1"/>
      <c r="S149" s="1"/>
      <c r="T149" s="1"/>
      <c r="U149" s="1"/>
      <c r="V149" s="1"/>
      <c r="W149" s="1"/>
      <c r="X149" s="1"/>
      <c r="Y149" s="1"/>
      <c r="Z149" s="1"/>
    </row>
    <row r="150" spans="2:26" ht="15" thickBot="1" x14ac:dyDescent="0.35">
      <c r="B150" s="395"/>
      <c r="C150" s="396"/>
      <c r="D150" s="396"/>
      <c r="E150" s="396"/>
      <c r="F150" s="396"/>
      <c r="G150" s="397"/>
      <c r="H150" s="1"/>
      <c r="I150" s="398"/>
      <c r="J150" s="399"/>
      <c r="K150" s="399"/>
      <c r="L150" s="399"/>
      <c r="M150" s="399"/>
      <c r="N150" s="400"/>
      <c r="O150" s="1"/>
      <c r="P150" s="1"/>
      <c r="Q150" s="1"/>
      <c r="R150" s="1"/>
      <c r="S150" s="1"/>
      <c r="T150" s="1"/>
      <c r="U150" s="1"/>
      <c r="V150" s="1"/>
      <c r="W150" s="1"/>
      <c r="X150" s="1"/>
      <c r="Y150" s="1"/>
      <c r="Z150" s="1"/>
    </row>
    <row r="151" spans="2:26" x14ac:dyDescent="0.3">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x14ac:dyDescent="0.3">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x14ac:dyDescent="0.3">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x14ac:dyDescent="0.3">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x14ac:dyDescent="0.3">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x14ac:dyDescent="0.3">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x14ac:dyDescent="0.3">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x14ac:dyDescent="0.3">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x14ac:dyDescent="0.3">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x14ac:dyDescent="0.3">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x14ac:dyDescent="0.3">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x14ac:dyDescent="0.3">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x14ac:dyDescent="0.3">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x14ac:dyDescent="0.3">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x14ac:dyDescent="0.3">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x14ac:dyDescent="0.3">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x14ac:dyDescent="0.3">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x14ac:dyDescent="0.3">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x14ac:dyDescent="0.3">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x14ac:dyDescent="0.3">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x14ac:dyDescent="0.3">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x14ac:dyDescent="0.3">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x14ac:dyDescent="0.3">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x14ac:dyDescent="0.3">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x14ac:dyDescent="0.3">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x14ac:dyDescent="0.3">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x14ac:dyDescent="0.3">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x14ac:dyDescent="0.3">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x14ac:dyDescent="0.3">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x14ac:dyDescent="0.3">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x14ac:dyDescent="0.3">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x14ac:dyDescent="0.3">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x14ac:dyDescent="0.3">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x14ac:dyDescent="0.3">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x14ac:dyDescent="0.3">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x14ac:dyDescent="0.3">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x14ac:dyDescent="0.3">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x14ac:dyDescent="0.3">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x14ac:dyDescent="0.3">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x14ac:dyDescent="0.3">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x14ac:dyDescent="0.3">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x14ac:dyDescent="0.3">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x14ac:dyDescent="0.3">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x14ac:dyDescent="0.3">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x14ac:dyDescent="0.3">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x14ac:dyDescent="0.3">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x14ac:dyDescent="0.3">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x14ac:dyDescent="0.3">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x14ac:dyDescent="0.3">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x14ac:dyDescent="0.3">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x14ac:dyDescent="0.3">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x14ac:dyDescent="0.3">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x14ac:dyDescent="0.3">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x14ac:dyDescent="0.3">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x14ac:dyDescent="0.3">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x14ac:dyDescent="0.3">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x14ac:dyDescent="0.3">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x14ac:dyDescent="0.3">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x14ac:dyDescent="0.3">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x14ac:dyDescent="0.3">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x14ac:dyDescent="0.3">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x14ac:dyDescent="0.3">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x14ac:dyDescent="0.3">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x14ac:dyDescent="0.3">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x14ac:dyDescent="0.3">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x14ac:dyDescent="0.3">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x14ac:dyDescent="0.3">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x14ac:dyDescent="0.3">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x14ac:dyDescent="0.3">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x14ac:dyDescent="0.3">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x14ac:dyDescent="0.3">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x14ac:dyDescent="0.3">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x14ac:dyDescent="0.3">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x14ac:dyDescent="0.3">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x14ac:dyDescent="0.3">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x14ac:dyDescent="0.3">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x14ac:dyDescent="0.3">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x14ac:dyDescent="0.3">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x14ac:dyDescent="0.3">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x14ac:dyDescent="0.3">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x14ac:dyDescent="0.3">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x14ac:dyDescent="0.3">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x14ac:dyDescent="0.3">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2:26" x14ac:dyDescent="0.3">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2:26" x14ac:dyDescent="0.3">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2:26" x14ac:dyDescent="0.3">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2:26" x14ac:dyDescent="0.3">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2:26" x14ac:dyDescent="0.3">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2:26" x14ac:dyDescent="0.3">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2:26" x14ac:dyDescent="0.3">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2:26" x14ac:dyDescent="0.3">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2:26" x14ac:dyDescent="0.3">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2:26" x14ac:dyDescent="0.3">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2:26" x14ac:dyDescent="0.3">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2:26" x14ac:dyDescent="0.3">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2:26" x14ac:dyDescent="0.3">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2:26" x14ac:dyDescent="0.3">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2:26" x14ac:dyDescent="0.3">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2:26" x14ac:dyDescent="0.3">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2:26" x14ac:dyDescent="0.3">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2:26" x14ac:dyDescent="0.3">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2:26" x14ac:dyDescent="0.3">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2:26" x14ac:dyDescent="0.3">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2:26" x14ac:dyDescent="0.3">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2:26" x14ac:dyDescent="0.3">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2:26" x14ac:dyDescent="0.3">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2:26" x14ac:dyDescent="0.3">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2:26" x14ac:dyDescent="0.3">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2:26" x14ac:dyDescent="0.3">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2:26" x14ac:dyDescent="0.3">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2:26" x14ac:dyDescent="0.3">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2:26" x14ac:dyDescent="0.3">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2:26" x14ac:dyDescent="0.3">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2:26" x14ac:dyDescent="0.3">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2:26" x14ac:dyDescent="0.3">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2:26" x14ac:dyDescent="0.3">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2:26" x14ac:dyDescent="0.3">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2:26" x14ac:dyDescent="0.3">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2:26" x14ac:dyDescent="0.3">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2:26" x14ac:dyDescent="0.3">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2:26" x14ac:dyDescent="0.3">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2:26" x14ac:dyDescent="0.3">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2:26" x14ac:dyDescent="0.3">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2:26" x14ac:dyDescent="0.3">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2:26" x14ac:dyDescent="0.3">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2:26" x14ac:dyDescent="0.3">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2:26" x14ac:dyDescent="0.3">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2:26" x14ac:dyDescent="0.3">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2:26" x14ac:dyDescent="0.3">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2:26" x14ac:dyDescent="0.3">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2:26" x14ac:dyDescent="0.3">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2:26" x14ac:dyDescent="0.3">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2:26" x14ac:dyDescent="0.3">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2:26" x14ac:dyDescent="0.3">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2:26" x14ac:dyDescent="0.3">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2:26" x14ac:dyDescent="0.3">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2:26" x14ac:dyDescent="0.3">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2:26" x14ac:dyDescent="0.3">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2:26" x14ac:dyDescent="0.3">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2:26" x14ac:dyDescent="0.3">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2:26" x14ac:dyDescent="0.3">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2:26" x14ac:dyDescent="0.3">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2:26" x14ac:dyDescent="0.3">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2:26" x14ac:dyDescent="0.3">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2:26" x14ac:dyDescent="0.3">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2:26" x14ac:dyDescent="0.3">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2:26" x14ac:dyDescent="0.3">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2:26" x14ac:dyDescent="0.3">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2:26" x14ac:dyDescent="0.3">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2:26" x14ac:dyDescent="0.3">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2:26" x14ac:dyDescent="0.3">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2:26" x14ac:dyDescent="0.3">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2:26" x14ac:dyDescent="0.3">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2:26" x14ac:dyDescent="0.3">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2:26" x14ac:dyDescent="0.3">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2:26" x14ac:dyDescent="0.3">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2:26" x14ac:dyDescent="0.3">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2:26" x14ac:dyDescent="0.3">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2:26" x14ac:dyDescent="0.3">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2:26" x14ac:dyDescent="0.3">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2:26" x14ac:dyDescent="0.3">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2:26" x14ac:dyDescent="0.3">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2:26" x14ac:dyDescent="0.3">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2:26" x14ac:dyDescent="0.3">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2:26" x14ac:dyDescent="0.3">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2:26" x14ac:dyDescent="0.3">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2:26" x14ac:dyDescent="0.3">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2:26" x14ac:dyDescent="0.3">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2:26" x14ac:dyDescent="0.3">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2:26" x14ac:dyDescent="0.3">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2:26" x14ac:dyDescent="0.3">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2:26" x14ac:dyDescent="0.3">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2:26" x14ac:dyDescent="0.3">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2:26" x14ac:dyDescent="0.3">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2:26" x14ac:dyDescent="0.3">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2:26" x14ac:dyDescent="0.3">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2:26" x14ac:dyDescent="0.3">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2:26" x14ac:dyDescent="0.3">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2:26" x14ac:dyDescent="0.3">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2:26" x14ac:dyDescent="0.3">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2:26" x14ac:dyDescent="0.3">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2:26" x14ac:dyDescent="0.3">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2:26" x14ac:dyDescent="0.3">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2:26" x14ac:dyDescent="0.3">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2:26" x14ac:dyDescent="0.3">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2:26" x14ac:dyDescent="0.3">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2:26" x14ac:dyDescent="0.3">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2:26" x14ac:dyDescent="0.3">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2:26" x14ac:dyDescent="0.3">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2:26" x14ac:dyDescent="0.3">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2:26" x14ac:dyDescent="0.3">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2:26" x14ac:dyDescent="0.3">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2:26" x14ac:dyDescent="0.3">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2:26" x14ac:dyDescent="0.3">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2:26" x14ac:dyDescent="0.3">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2:26" x14ac:dyDescent="0.3">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2:26" x14ac:dyDescent="0.3">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2:26" x14ac:dyDescent="0.3">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2:26" x14ac:dyDescent="0.3">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2:26" x14ac:dyDescent="0.3">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2:26" x14ac:dyDescent="0.3">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2:26" x14ac:dyDescent="0.3">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2:26" x14ac:dyDescent="0.3">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2:26" x14ac:dyDescent="0.3">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2:26" x14ac:dyDescent="0.3">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2:26" x14ac:dyDescent="0.3">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2:26" x14ac:dyDescent="0.3">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2:26" x14ac:dyDescent="0.3">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2:26" x14ac:dyDescent="0.3">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2:26" x14ac:dyDescent="0.3">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2:26" x14ac:dyDescent="0.3">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2:26" x14ac:dyDescent="0.3">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2:26" x14ac:dyDescent="0.3">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2:26" x14ac:dyDescent="0.3">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2:26" x14ac:dyDescent="0.3">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2:26" x14ac:dyDescent="0.3">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2:26" x14ac:dyDescent="0.3">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2:26" x14ac:dyDescent="0.3">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2:26" x14ac:dyDescent="0.3">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2:26" x14ac:dyDescent="0.3">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2:26" x14ac:dyDescent="0.3">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2:26" x14ac:dyDescent="0.3">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2:26" x14ac:dyDescent="0.3">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2:26" x14ac:dyDescent="0.3">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2:26" x14ac:dyDescent="0.3">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2:26" x14ac:dyDescent="0.3">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2:26" x14ac:dyDescent="0.3">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2:26" x14ac:dyDescent="0.3">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2:26" x14ac:dyDescent="0.3">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2:26" x14ac:dyDescent="0.3">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2:26" x14ac:dyDescent="0.3">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2:26" x14ac:dyDescent="0.3">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2:26" x14ac:dyDescent="0.3">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2:26" x14ac:dyDescent="0.3">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2:26" x14ac:dyDescent="0.3">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2:26" x14ac:dyDescent="0.3">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2:26" x14ac:dyDescent="0.3">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2:26" x14ac:dyDescent="0.3">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2:26" x14ac:dyDescent="0.3">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2:26" x14ac:dyDescent="0.3">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2:26" x14ac:dyDescent="0.3">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2:26" x14ac:dyDescent="0.3">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2:26" x14ac:dyDescent="0.3">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2:26" x14ac:dyDescent="0.3">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2:26" x14ac:dyDescent="0.3">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2:26" x14ac:dyDescent="0.3">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2:26" x14ac:dyDescent="0.3">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2:26" x14ac:dyDescent="0.3">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2:26" x14ac:dyDescent="0.3">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2:26" x14ac:dyDescent="0.3">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2:26" x14ac:dyDescent="0.3">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2:26" x14ac:dyDescent="0.3">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2:26" x14ac:dyDescent="0.3">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2:26" x14ac:dyDescent="0.3">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2:26" x14ac:dyDescent="0.3">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2:26" x14ac:dyDescent="0.3">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2:26" x14ac:dyDescent="0.3">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2:26" x14ac:dyDescent="0.3">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2:26" x14ac:dyDescent="0.3">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2:26" x14ac:dyDescent="0.3">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2:26" x14ac:dyDescent="0.3">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2:26" x14ac:dyDescent="0.3">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2:26" x14ac:dyDescent="0.3">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2:26" x14ac:dyDescent="0.3">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2:26" x14ac:dyDescent="0.3">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2:26" x14ac:dyDescent="0.3">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2:26" x14ac:dyDescent="0.3">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2:26" x14ac:dyDescent="0.3">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2:26" x14ac:dyDescent="0.3">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2:26" x14ac:dyDescent="0.3">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2:26" x14ac:dyDescent="0.3">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2:26" x14ac:dyDescent="0.3">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2:26" x14ac:dyDescent="0.3">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2:26" x14ac:dyDescent="0.3">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2:26" x14ac:dyDescent="0.3">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2:26" x14ac:dyDescent="0.3">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2:26" x14ac:dyDescent="0.3">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2:26" x14ac:dyDescent="0.3">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2:26" x14ac:dyDescent="0.3">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2:26" x14ac:dyDescent="0.3">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2:26" x14ac:dyDescent="0.3">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2:26" x14ac:dyDescent="0.3">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2:26" x14ac:dyDescent="0.3">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2:26" x14ac:dyDescent="0.3">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2:26" x14ac:dyDescent="0.3">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2:26" x14ac:dyDescent="0.3">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2:26" x14ac:dyDescent="0.3">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2:26" x14ac:dyDescent="0.3">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2:26" x14ac:dyDescent="0.3">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2:26" x14ac:dyDescent="0.3">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2:26" x14ac:dyDescent="0.3">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2:26" x14ac:dyDescent="0.3">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2:26" x14ac:dyDescent="0.3">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2:26" x14ac:dyDescent="0.3">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2:26" x14ac:dyDescent="0.3">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2:26" x14ac:dyDescent="0.3">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2:26" x14ac:dyDescent="0.3">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2:26" x14ac:dyDescent="0.3">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2:26" x14ac:dyDescent="0.3">
      <c r="B452" s="1"/>
      <c r="C452" s="1"/>
      <c r="D452" s="1"/>
      <c r="E452" s="1"/>
      <c r="F452" s="1"/>
      <c r="G452" s="1"/>
      <c r="H452" s="1"/>
      <c r="O452" s="1"/>
      <c r="P452" s="1"/>
      <c r="Q452" s="1"/>
      <c r="R452" s="1"/>
      <c r="S452" s="1"/>
      <c r="T452" s="1"/>
      <c r="U452" s="1"/>
      <c r="V452" s="1"/>
      <c r="W452" s="1"/>
      <c r="X452" s="1"/>
      <c r="Y452" s="1"/>
      <c r="Z452" s="1"/>
    </row>
    <row r="453" spans="2:26" x14ac:dyDescent="0.3">
      <c r="B453" s="1"/>
      <c r="C453" s="1"/>
      <c r="D453" s="1"/>
      <c r="E453" s="1"/>
      <c r="F453" s="1"/>
      <c r="G453" s="1"/>
      <c r="O453" s="1"/>
      <c r="P453" s="1"/>
      <c r="Q453" s="1"/>
      <c r="R453" s="1"/>
      <c r="S453" s="1"/>
      <c r="T453" s="1"/>
      <c r="U453" s="1"/>
      <c r="V453" s="1"/>
      <c r="W453" s="1"/>
      <c r="X453" s="1"/>
      <c r="Y453" s="1"/>
      <c r="Z453" s="1"/>
    </row>
    <row r="454" spans="2:26" x14ac:dyDescent="0.3">
      <c r="B454" s="1"/>
      <c r="C454" s="1"/>
      <c r="D454" s="1"/>
      <c r="E454" s="1"/>
      <c r="F454" s="1"/>
      <c r="G454" s="1"/>
      <c r="O454" s="1"/>
      <c r="P454" s="1"/>
      <c r="Q454" s="1"/>
      <c r="R454" s="1"/>
      <c r="S454" s="1"/>
      <c r="T454" s="1"/>
      <c r="U454" s="1"/>
      <c r="V454" s="1"/>
      <c r="W454" s="1"/>
      <c r="X454" s="1"/>
      <c r="Y454" s="1"/>
      <c r="Z454" s="1"/>
    </row>
    <row r="455" spans="2:26" x14ac:dyDescent="0.3">
      <c r="B455" s="1"/>
      <c r="C455" s="1"/>
      <c r="D455" s="1"/>
      <c r="E455" s="1"/>
      <c r="F455" s="1"/>
      <c r="G455" s="1"/>
      <c r="O455" s="1"/>
      <c r="P455" s="1"/>
      <c r="Q455" s="1"/>
      <c r="R455" s="1"/>
      <c r="S455" s="1"/>
      <c r="T455" s="1"/>
      <c r="U455" s="1"/>
      <c r="V455" s="1"/>
      <c r="W455" s="1"/>
      <c r="X455" s="1"/>
      <c r="Y455" s="1"/>
      <c r="Z455" s="1"/>
    </row>
    <row r="456" spans="2:26" x14ac:dyDescent="0.3">
      <c r="B456" s="1"/>
      <c r="C456" s="1"/>
      <c r="D456" s="1"/>
      <c r="E456" s="1"/>
      <c r="F456" s="1"/>
      <c r="G456" s="1"/>
      <c r="O456" s="1"/>
      <c r="P456" s="1"/>
      <c r="Q456" s="1"/>
      <c r="R456" s="1"/>
      <c r="S456" s="1"/>
      <c r="T456" s="1"/>
      <c r="U456" s="1"/>
      <c r="V456" s="1"/>
      <c r="W456" s="1"/>
      <c r="X456" s="1"/>
      <c r="Y456" s="1"/>
      <c r="Z456" s="1"/>
    </row>
    <row r="457" spans="2:26" x14ac:dyDescent="0.3">
      <c r="B457" s="1"/>
      <c r="C457" s="1"/>
      <c r="D457" s="1"/>
      <c r="E457" s="1"/>
      <c r="F457" s="1"/>
      <c r="G457" s="1"/>
      <c r="R457" s="1"/>
      <c r="U457" s="1"/>
      <c r="V457" s="1"/>
      <c r="W457" s="1"/>
      <c r="X457" s="1"/>
      <c r="Y457" s="1"/>
      <c r="Z457" s="1"/>
    </row>
    <row r="458" spans="2:26" x14ac:dyDescent="0.3">
      <c r="B458" s="1"/>
      <c r="C458" s="1"/>
      <c r="D458" s="1"/>
      <c r="E458" s="1"/>
      <c r="F458" s="1"/>
      <c r="G458" s="1"/>
      <c r="R458" s="1"/>
    </row>
    <row r="459" spans="2:26" x14ac:dyDescent="0.3">
      <c r="B459" s="1"/>
      <c r="C459" s="1"/>
      <c r="D459" s="1"/>
      <c r="E459" s="1"/>
      <c r="F459" s="1"/>
      <c r="G459" s="1"/>
      <c r="R459" s="1"/>
    </row>
    <row r="460" spans="2:26" x14ac:dyDescent="0.3">
      <c r="B460" s="1"/>
      <c r="C460" s="1"/>
      <c r="D460" s="1"/>
      <c r="E460" s="1"/>
      <c r="F460" s="1"/>
      <c r="G460" s="1"/>
      <c r="R460" s="1"/>
    </row>
    <row r="461" spans="2:26" x14ac:dyDescent="0.3">
      <c r="B461" s="1"/>
      <c r="C461" s="1"/>
      <c r="D461" s="1"/>
      <c r="E461" s="1"/>
      <c r="F461" s="1"/>
      <c r="G461" s="1"/>
      <c r="R461" s="1"/>
    </row>
    <row r="462" spans="2:26" x14ac:dyDescent="0.3">
      <c r="B462" s="1"/>
      <c r="C462" s="1"/>
      <c r="D462" s="1"/>
      <c r="E462" s="1"/>
      <c r="F462" s="1"/>
      <c r="G462" s="1"/>
    </row>
    <row r="463" spans="2:26" x14ac:dyDescent="0.3">
      <c r="B463" s="1"/>
      <c r="C463" s="1"/>
      <c r="D463" s="1"/>
      <c r="E463" s="1"/>
      <c r="F463" s="1"/>
      <c r="G463" s="1"/>
    </row>
    <row r="464" spans="2:26" x14ac:dyDescent="0.3">
      <c r="B464" s="1"/>
      <c r="C464" s="1"/>
      <c r="D464" s="1"/>
      <c r="E464" s="1"/>
      <c r="F464" s="1"/>
      <c r="G464" s="1"/>
    </row>
    <row r="465" spans="2:7" x14ac:dyDescent="0.3">
      <c r="B465" s="1"/>
      <c r="D465" s="1"/>
      <c r="E465" s="1"/>
      <c r="F465" s="1"/>
      <c r="G465" s="1"/>
    </row>
  </sheetData>
  <mergeCells count="39">
    <mergeCell ref="I54:J54"/>
    <mergeCell ref="B44:G44"/>
    <mergeCell ref="I35:N38"/>
    <mergeCell ref="B94:C94"/>
    <mergeCell ref="B70:G70"/>
    <mergeCell ref="I61:N62"/>
    <mergeCell ref="E61:G63"/>
    <mergeCell ref="I57:L60"/>
    <mergeCell ref="B82:G82"/>
    <mergeCell ref="D83:E83"/>
    <mergeCell ref="D87:E87"/>
    <mergeCell ref="D48:D52"/>
    <mergeCell ref="B55:G55"/>
    <mergeCell ref="E49:G49"/>
    <mergeCell ref="I39:N39"/>
    <mergeCell ref="B3:G3"/>
    <mergeCell ref="B34:G34"/>
    <mergeCell ref="I3:N3"/>
    <mergeCell ref="Q9:V9"/>
    <mergeCell ref="Q10:V10"/>
    <mergeCell ref="Q25:V25"/>
    <mergeCell ref="Q26:V26"/>
    <mergeCell ref="Q27:V27"/>
    <mergeCell ref="Q28:V28"/>
    <mergeCell ref="Q30:V30"/>
    <mergeCell ref="Q12:V12"/>
    <mergeCell ref="Q31:V31"/>
    <mergeCell ref="I134:N134"/>
    <mergeCell ref="I133:N133"/>
    <mergeCell ref="I132:N132"/>
    <mergeCell ref="I131:N131"/>
    <mergeCell ref="I117:J117"/>
    <mergeCell ref="E125:G125"/>
    <mergeCell ref="E114:G114"/>
    <mergeCell ref="I114:J114"/>
    <mergeCell ref="B96:G97"/>
    <mergeCell ref="I96:J97"/>
    <mergeCell ref="I106:N106"/>
    <mergeCell ref="B106:G106"/>
  </mergeCells>
  <conditionalFormatting sqref="D7">
    <cfRule type="cellIs" dxfId="134" priority="6" operator="equal">
      <formula>0</formula>
    </cfRule>
    <cfRule type="cellIs" dxfId="133" priority="10" operator="equal">
      <formula>0</formula>
    </cfRule>
  </conditionalFormatting>
  <conditionalFormatting sqref="D10">
    <cfRule type="cellIs" dxfId="132" priority="7" operator="equal">
      <formula>0</formula>
    </cfRule>
  </conditionalFormatting>
  <hyperlinks>
    <hyperlink ref="F72" r:id="rId1" xr:uid="{00000000-0004-0000-0500-000005000000}"/>
    <hyperlink ref="F57" r:id="rId2" xr:uid="{00000000-0004-0000-0500-000006000000}"/>
    <hyperlink ref="C16" r:id="rId3" xr:uid="{00000000-0004-0000-0500-000007000000}"/>
    <hyperlink ref="F108" r:id="rId4" xr:uid="{00000000-0004-0000-0500-00000B000000}"/>
    <hyperlink ref="C20" r:id="rId5" xr:uid="{4A29B8A1-9574-47D9-884B-2E7A5C54C065}"/>
    <hyperlink ref="C4" r:id="rId6" xr:uid="{C82996D7-C576-4287-BF6B-4E861CB0ACE6}"/>
    <hyperlink ref="F84" r:id="rId7" xr:uid="{00000000-0004-0000-0500-000003000000}"/>
  </hyperlinks>
  <pageMargins left="0.7" right="0.7" top="0.75" bottom="0.75" header="0.3" footer="0.3"/>
  <pageSetup scale="85"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1030" r:id="rId11" name="Drop Down 6">
              <controlPr defaultSize="0" autoLine="0" autoPict="0">
                <anchor moveWithCells="1">
                  <from>
                    <xdr:col>1</xdr:col>
                    <xdr:colOff>152400</xdr:colOff>
                    <xdr:row>5</xdr:row>
                    <xdr:rowOff>228600</xdr:rowOff>
                  </from>
                  <to>
                    <xdr:col>2</xdr:col>
                    <xdr:colOff>114300</xdr:colOff>
                    <xdr:row>6</xdr:row>
                    <xdr:rowOff>190500</xdr:rowOff>
                  </to>
                </anchor>
              </controlPr>
            </control>
          </mc:Choice>
        </mc:AlternateContent>
        <mc:AlternateContent xmlns:mc="http://schemas.openxmlformats.org/markup-compatibility/2006">
          <mc:Choice Requires="x14">
            <control shapeId="1033" r:id="rId12" name="Drop Down 9">
              <controlPr defaultSize="0" autoLine="0" autoPict="0">
                <anchor moveWithCells="1">
                  <from>
                    <xdr:col>2</xdr:col>
                    <xdr:colOff>342900</xdr:colOff>
                    <xdr:row>9</xdr:row>
                    <xdr:rowOff>0</xdr:rowOff>
                  </from>
                  <to>
                    <xdr:col>2</xdr:col>
                    <xdr:colOff>1021080</xdr:colOff>
                    <xdr:row>9</xdr:row>
                    <xdr:rowOff>213360</xdr:rowOff>
                  </to>
                </anchor>
              </controlPr>
            </control>
          </mc:Choice>
        </mc:AlternateContent>
        <mc:AlternateContent xmlns:mc="http://schemas.openxmlformats.org/markup-compatibility/2006">
          <mc:Choice Requires="x14">
            <control shapeId="1047" r:id="rId13" name="Drop Down 23">
              <controlPr defaultSize="0" autoLine="0" autoPict="0">
                <anchor moveWithCells="1">
                  <from>
                    <xdr:col>1</xdr:col>
                    <xdr:colOff>7620</xdr:colOff>
                    <xdr:row>35</xdr:row>
                    <xdr:rowOff>0</xdr:rowOff>
                  </from>
                  <to>
                    <xdr:col>2</xdr:col>
                    <xdr:colOff>60960</xdr:colOff>
                    <xdr:row>35</xdr:row>
                    <xdr:rowOff>198120</xdr:rowOff>
                  </to>
                </anchor>
              </controlPr>
            </control>
          </mc:Choice>
        </mc:AlternateContent>
        <mc:AlternateContent xmlns:mc="http://schemas.openxmlformats.org/markup-compatibility/2006">
          <mc:Choice Requires="x14">
            <control shapeId="1049" r:id="rId14" name="Drop Down 25">
              <controlPr defaultSize="0" autoLine="0" autoPict="0">
                <anchor moveWithCells="1">
                  <from>
                    <xdr:col>1</xdr:col>
                    <xdr:colOff>38100</xdr:colOff>
                    <xdr:row>37</xdr:row>
                    <xdr:rowOff>7620</xdr:rowOff>
                  </from>
                  <to>
                    <xdr:col>1</xdr:col>
                    <xdr:colOff>1013460</xdr:colOff>
                    <xdr:row>38</xdr:row>
                    <xdr:rowOff>60960</xdr:rowOff>
                  </to>
                </anchor>
              </controlPr>
            </control>
          </mc:Choice>
        </mc:AlternateContent>
        <mc:AlternateContent xmlns:mc="http://schemas.openxmlformats.org/markup-compatibility/2006">
          <mc:Choice Requires="x14">
            <control shapeId="1062" r:id="rId15" name="Drop Down 38">
              <controlPr defaultSize="0" autoLine="0" autoPict="0">
                <anchor moveWithCells="1">
                  <from>
                    <xdr:col>1</xdr:col>
                    <xdr:colOff>76200</xdr:colOff>
                    <xdr:row>45</xdr:row>
                    <xdr:rowOff>7620</xdr:rowOff>
                  </from>
                  <to>
                    <xdr:col>2</xdr:col>
                    <xdr:colOff>114300</xdr:colOff>
                    <xdr:row>46</xdr:row>
                    <xdr:rowOff>22860</xdr:rowOff>
                  </to>
                </anchor>
              </controlPr>
            </control>
          </mc:Choice>
        </mc:AlternateContent>
        <mc:AlternateContent xmlns:mc="http://schemas.openxmlformats.org/markup-compatibility/2006">
          <mc:Choice Requires="x14">
            <control shapeId="1064" r:id="rId16" name="Drop Down 40">
              <controlPr defaultSize="0" autoLine="0" autoPict="0">
                <anchor moveWithCells="1">
                  <from>
                    <xdr:col>1</xdr:col>
                    <xdr:colOff>106680</xdr:colOff>
                    <xdr:row>47</xdr:row>
                    <xdr:rowOff>274320</xdr:rowOff>
                  </from>
                  <to>
                    <xdr:col>2</xdr:col>
                    <xdr:colOff>68580</xdr:colOff>
                    <xdr:row>48</xdr:row>
                    <xdr:rowOff>228600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from>
                    <xdr:col>1</xdr:col>
                    <xdr:colOff>411480</xdr:colOff>
                    <xdr:row>8</xdr:row>
                    <xdr:rowOff>121920</xdr:rowOff>
                  </from>
                  <to>
                    <xdr:col>2</xdr:col>
                    <xdr:colOff>7620</xdr:colOff>
                    <xdr:row>9</xdr:row>
                    <xdr:rowOff>114300</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from>
                    <xdr:col>1</xdr:col>
                    <xdr:colOff>411480</xdr:colOff>
                    <xdr:row>9</xdr:row>
                    <xdr:rowOff>137160</xdr:rowOff>
                  </from>
                  <to>
                    <xdr:col>2</xdr:col>
                    <xdr:colOff>7620</xdr:colOff>
                    <xdr:row>10</xdr:row>
                    <xdr:rowOff>114300</xdr:rowOff>
                  </to>
                </anchor>
              </controlPr>
            </control>
          </mc:Choice>
        </mc:AlternateContent>
        <mc:AlternateContent xmlns:mc="http://schemas.openxmlformats.org/markup-compatibility/2006">
          <mc:Choice Requires="x14">
            <control shapeId="1077" r:id="rId19" name="Check Box 53">
              <controlPr defaultSize="0" autoFill="0" autoLine="0" autoPict="0">
                <anchor moveWithCells="1">
                  <from>
                    <xdr:col>1</xdr:col>
                    <xdr:colOff>419100</xdr:colOff>
                    <xdr:row>10</xdr:row>
                    <xdr:rowOff>175260</xdr:rowOff>
                  </from>
                  <to>
                    <xdr:col>2</xdr:col>
                    <xdr:colOff>22860</xdr:colOff>
                    <xdr:row>11</xdr:row>
                    <xdr:rowOff>152400</xdr:rowOff>
                  </to>
                </anchor>
              </controlPr>
            </control>
          </mc:Choice>
        </mc:AlternateContent>
        <mc:AlternateContent xmlns:mc="http://schemas.openxmlformats.org/markup-compatibility/2006">
          <mc:Choice Requires="x14">
            <control shapeId="1078" r:id="rId20" name="Check Box 54">
              <controlPr defaultSize="0" autoFill="0" autoLine="0" autoPict="0">
                <anchor moveWithCells="1">
                  <from>
                    <xdr:col>1</xdr:col>
                    <xdr:colOff>419100</xdr:colOff>
                    <xdr:row>12</xdr:row>
                    <xdr:rowOff>22860</xdr:rowOff>
                  </from>
                  <to>
                    <xdr:col>2</xdr:col>
                    <xdr:colOff>22860</xdr:colOff>
                    <xdr:row>13</xdr:row>
                    <xdr:rowOff>0</xdr:rowOff>
                  </to>
                </anchor>
              </controlPr>
            </control>
          </mc:Choice>
        </mc:AlternateContent>
        <mc:AlternateContent xmlns:mc="http://schemas.openxmlformats.org/markup-compatibility/2006">
          <mc:Choice Requires="x14">
            <control shapeId="1146" r:id="rId21" name="Drop Down 122">
              <controlPr defaultSize="0" autoLine="0" autoPict="0">
                <anchor moveWithCells="1">
                  <from>
                    <xdr:col>1</xdr:col>
                    <xdr:colOff>60960</xdr:colOff>
                    <xdr:row>71</xdr:row>
                    <xdr:rowOff>7620</xdr:rowOff>
                  </from>
                  <to>
                    <xdr:col>1</xdr:col>
                    <xdr:colOff>1127760</xdr:colOff>
                    <xdr:row>72</xdr:row>
                    <xdr:rowOff>106680</xdr:rowOff>
                  </to>
                </anchor>
              </controlPr>
            </control>
          </mc:Choice>
        </mc:AlternateContent>
        <mc:AlternateContent xmlns:mc="http://schemas.openxmlformats.org/markup-compatibility/2006">
          <mc:Choice Requires="x14">
            <control shapeId="1147" r:id="rId22" name="Drop Down 123">
              <controlPr defaultSize="0" autoLine="0" autoPict="0">
                <anchor moveWithCells="1">
                  <from>
                    <xdr:col>2</xdr:col>
                    <xdr:colOff>99060</xdr:colOff>
                    <xdr:row>71</xdr:row>
                    <xdr:rowOff>7620</xdr:rowOff>
                  </from>
                  <to>
                    <xdr:col>2</xdr:col>
                    <xdr:colOff>1165860</xdr:colOff>
                    <xdr:row>72</xdr:row>
                    <xdr:rowOff>106680</xdr:rowOff>
                  </to>
                </anchor>
              </controlPr>
            </control>
          </mc:Choice>
        </mc:AlternateContent>
        <mc:AlternateContent xmlns:mc="http://schemas.openxmlformats.org/markup-compatibility/2006">
          <mc:Choice Requires="x14">
            <control shapeId="1148" r:id="rId23" name="Drop Down 124">
              <controlPr defaultSize="0" autoLine="0" autoPict="0">
                <anchor moveWithCells="1">
                  <from>
                    <xdr:col>3</xdr:col>
                    <xdr:colOff>99060</xdr:colOff>
                    <xdr:row>71</xdr:row>
                    <xdr:rowOff>7620</xdr:rowOff>
                  </from>
                  <to>
                    <xdr:col>3</xdr:col>
                    <xdr:colOff>1165860</xdr:colOff>
                    <xdr:row>72</xdr:row>
                    <xdr:rowOff>106680</xdr:rowOff>
                  </to>
                </anchor>
              </controlPr>
            </control>
          </mc:Choice>
        </mc:AlternateContent>
        <mc:AlternateContent xmlns:mc="http://schemas.openxmlformats.org/markup-compatibility/2006">
          <mc:Choice Requires="x14">
            <control shapeId="1149" r:id="rId24" name="Drop Down 125">
              <controlPr defaultSize="0" autoLine="0" autoPict="0">
                <anchor moveWithCells="1">
                  <from>
                    <xdr:col>1</xdr:col>
                    <xdr:colOff>60960</xdr:colOff>
                    <xdr:row>77</xdr:row>
                    <xdr:rowOff>60960</xdr:rowOff>
                  </from>
                  <to>
                    <xdr:col>1</xdr:col>
                    <xdr:colOff>1135380</xdr:colOff>
                    <xdr:row>78</xdr:row>
                    <xdr:rowOff>22860</xdr:rowOff>
                  </to>
                </anchor>
              </controlPr>
            </control>
          </mc:Choice>
        </mc:AlternateContent>
        <mc:AlternateContent xmlns:mc="http://schemas.openxmlformats.org/markup-compatibility/2006">
          <mc:Choice Requires="x14">
            <control shapeId="1150" r:id="rId25" name="Drop Down 126">
              <controlPr defaultSize="0" autoLine="0" autoPict="0">
                <anchor moveWithCells="1">
                  <from>
                    <xdr:col>1</xdr:col>
                    <xdr:colOff>60960</xdr:colOff>
                    <xdr:row>74</xdr:row>
                    <xdr:rowOff>60960</xdr:rowOff>
                  </from>
                  <to>
                    <xdr:col>1</xdr:col>
                    <xdr:colOff>1135380</xdr:colOff>
                    <xdr:row>75</xdr:row>
                    <xdr:rowOff>76200</xdr:rowOff>
                  </to>
                </anchor>
              </controlPr>
            </control>
          </mc:Choice>
        </mc:AlternateContent>
        <mc:AlternateContent xmlns:mc="http://schemas.openxmlformats.org/markup-compatibility/2006">
          <mc:Choice Requires="x14">
            <control shapeId="1209" r:id="rId26" name="Check Box 185">
              <controlPr defaultSize="0" autoFill="0" autoLine="0" autoPict="0">
                <anchor moveWithCells="1">
                  <from>
                    <xdr:col>1</xdr:col>
                    <xdr:colOff>419100</xdr:colOff>
                    <xdr:row>13</xdr:row>
                    <xdr:rowOff>38100</xdr:rowOff>
                  </from>
                  <to>
                    <xdr:col>2</xdr:col>
                    <xdr:colOff>22860</xdr:colOff>
                    <xdr:row>14</xdr:row>
                    <xdr:rowOff>22860</xdr:rowOff>
                  </to>
                </anchor>
              </controlPr>
            </control>
          </mc:Choice>
        </mc:AlternateContent>
        <mc:AlternateContent xmlns:mc="http://schemas.openxmlformats.org/markup-compatibility/2006">
          <mc:Choice Requires="x14">
            <control shapeId="1225" r:id="rId27" name="Check Box 201">
              <controlPr defaultSize="0" autoFill="0" autoLine="0" autoPict="0">
                <anchor moveWithCells="1">
                  <from>
                    <xdr:col>3</xdr:col>
                    <xdr:colOff>1851660</xdr:colOff>
                    <xdr:row>33</xdr:row>
                    <xdr:rowOff>0</xdr:rowOff>
                  </from>
                  <to>
                    <xdr:col>4</xdr:col>
                    <xdr:colOff>1219200</xdr:colOff>
                    <xdr:row>33</xdr:row>
                    <xdr:rowOff>198120</xdr:rowOff>
                  </to>
                </anchor>
              </controlPr>
            </control>
          </mc:Choice>
        </mc:AlternateContent>
        <mc:AlternateContent xmlns:mc="http://schemas.openxmlformats.org/markup-compatibility/2006">
          <mc:Choice Requires="x14">
            <control shapeId="1298" r:id="rId28" name="Drop Down 274">
              <controlPr defaultSize="0" autoLine="0" autoPict="0">
                <anchor moveWithCells="1">
                  <from>
                    <xdr:col>1</xdr:col>
                    <xdr:colOff>60960</xdr:colOff>
                    <xdr:row>56</xdr:row>
                    <xdr:rowOff>68580</xdr:rowOff>
                  </from>
                  <to>
                    <xdr:col>1</xdr:col>
                    <xdr:colOff>1127760</xdr:colOff>
                    <xdr:row>57</xdr:row>
                    <xdr:rowOff>60960</xdr:rowOff>
                  </to>
                </anchor>
              </controlPr>
            </control>
          </mc:Choice>
        </mc:AlternateContent>
        <mc:AlternateContent xmlns:mc="http://schemas.openxmlformats.org/markup-compatibility/2006">
          <mc:Choice Requires="x14">
            <control shapeId="1299" r:id="rId29" name="Drop Down 275">
              <controlPr defaultSize="0" autoLine="0" autoPict="0">
                <anchor moveWithCells="1">
                  <from>
                    <xdr:col>2</xdr:col>
                    <xdr:colOff>106680</xdr:colOff>
                    <xdr:row>60</xdr:row>
                    <xdr:rowOff>68580</xdr:rowOff>
                  </from>
                  <to>
                    <xdr:col>2</xdr:col>
                    <xdr:colOff>1181100</xdr:colOff>
                    <xdr:row>61</xdr:row>
                    <xdr:rowOff>121920</xdr:rowOff>
                  </to>
                </anchor>
              </controlPr>
            </control>
          </mc:Choice>
        </mc:AlternateContent>
        <mc:AlternateContent xmlns:mc="http://schemas.openxmlformats.org/markup-compatibility/2006">
          <mc:Choice Requires="x14">
            <control shapeId="1301" r:id="rId30" name="Drop Down 277">
              <controlPr defaultSize="0" autoLine="0" autoPict="0">
                <anchor moveWithCells="1">
                  <from>
                    <xdr:col>1</xdr:col>
                    <xdr:colOff>30480</xdr:colOff>
                    <xdr:row>62</xdr:row>
                    <xdr:rowOff>76200</xdr:rowOff>
                  </from>
                  <to>
                    <xdr:col>1</xdr:col>
                    <xdr:colOff>1104900</xdr:colOff>
                    <xdr:row>62</xdr:row>
                    <xdr:rowOff>289560</xdr:rowOff>
                  </to>
                </anchor>
              </controlPr>
            </control>
          </mc:Choice>
        </mc:AlternateContent>
        <mc:AlternateContent xmlns:mc="http://schemas.openxmlformats.org/markup-compatibility/2006">
          <mc:Choice Requires="x14">
            <control shapeId="1302" r:id="rId31" name="Drop Down 278">
              <controlPr defaultSize="0" autoLine="0" autoPict="0">
                <anchor moveWithCells="1">
                  <from>
                    <xdr:col>1</xdr:col>
                    <xdr:colOff>22860</xdr:colOff>
                    <xdr:row>60</xdr:row>
                    <xdr:rowOff>68580</xdr:rowOff>
                  </from>
                  <to>
                    <xdr:col>1</xdr:col>
                    <xdr:colOff>1097280</xdr:colOff>
                    <xdr:row>61</xdr:row>
                    <xdr:rowOff>144780</xdr:rowOff>
                  </to>
                </anchor>
              </controlPr>
            </control>
          </mc:Choice>
        </mc:AlternateContent>
        <mc:AlternateContent xmlns:mc="http://schemas.openxmlformats.org/markup-compatibility/2006">
          <mc:Choice Requires="x14">
            <control shapeId="1304" r:id="rId32" name="Check Box 280">
              <controlPr defaultSize="0" autoFill="0" autoLine="0" autoPict="0">
                <anchor moveWithCells="1">
                  <from>
                    <xdr:col>2</xdr:col>
                    <xdr:colOff>106680</xdr:colOff>
                    <xdr:row>64</xdr:row>
                    <xdr:rowOff>0</xdr:rowOff>
                  </from>
                  <to>
                    <xdr:col>2</xdr:col>
                    <xdr:colOff>868680</xdr:colOff>
                    <xdr:row>65</xdr:row>
                    <xdr:rowOff>45720</xdr:rowOff>
                  </to>
                </anchor>
              </controlPr>
            </control>
          </mc:Choice>
        </mc:AlternateContent>
        <mc:AlternateContent xmlns:mc="http://schemas.openxmlformats.org/markup-compatibility/2006">
          <mc:Choice Requires="x14">
            <control shapeId="1305" r:id="rId33" name="Check Box 281">
              <controlPr defaultSize="0" autoFill="0" autoLine="0" autoPict="0">
                <anchor moveWithCells="1">
                  <from>
                    <xdr:col>2</xdr:col>
                    <xdr:colOff>609600</xdr:colOff>
                    <xdr:row>64</xdr:row>
                    <xdr:rowOff>0</xdr:rowOff>
                  </from>
                  <to>
                    <xdr:col>3</xdr:col>
                    <xdr:colOff>22860</xdr:colOff>
                    <xdr:row>65</xdr:row>
                    <xdr:rowOff>45720</xdr:rowOff>
                  </to>
                </anchor>
              </controlPr>
            </control>
          </mc:Choice>
        </mc:AlternateContent>
        <mc:AlternateContent xmlns:mc="http://schemas.openxmlformats.org/markup-compatibility/2006">
          <mc:Choice Requires="x14">
            <control shapeId="1306" r:id="rId34" name="Check Box 282">
              <controlPr defaultSize="0" autoFill="0" autoLine="0" autoPict="0">
                <anchor moveWithCells="1">
                  <from>
                    <xdr:col>3</xdr:col>
                    <xdr:colOff>114300</xdr:colOff>
                    <xdr:row>64</xdr:row>
                    <xdr:rowOff>0</xdr:rowOff>
                  </from>
                  <to>
                    <xdr:col>3</xdr:col>
                    <xdr:colOff>868680</xdr:colOff>
                    <xdr:row>65</xdr:row>
                    <xdr:rowOff>45720</xdr:rowOff>
                  </to>
                </anchor>
              </controlPr>
            </control>
          </mc:Choice>
        </mc:AlternateContent>
        <mc:AlternateContent xmlns:mc="http://schemas.openxmlformats.org/markup-compatibility/2006">
          <mc:Choice Requires="x14">
            <control shapeId="1307" r:id="rId35" name="Check Box 283">
              <controlPr defaultSize="0" autoFill="0" autoLine="0" autoPict="0">
                <anchor moveWithCells="1">
                  <from>
                    <xdr:col>3</xdr:col>
                    <xdr:colOff>754380</xdr:colOff>
                    <xdr:row>64</xdr:row>
                    <xdr:rowOff>0</xdr:rowOff>
                  </from>
                  <to>
                    <xdr:col>3</xdr:col>
                    <xdr:colOff>1508760</xdr:colOff>
                    <xdr:row>65</xdr:row>
                    <xdr:rowOff>45720</xdr:rowOff>
                  </to>
                </anchor>
              </controlPr>
            </control>
          </mc:Choice>
        </mc:AlternateContent>
        <mc:AlternateContent xmlns:mc="http://schemas.openxmlformats.org/markup-compatibility/2006">
          <mc:Choice Requires="x14">
            <control shapeId="1324" r:id="rId36" name="Check Box 300">
              <controlPr defaultSize="0" autoFill="0" autoLine="0" autoPict="0">
                <anchor moveWithCells="1">
                  <from>
                    <xdr:col>2</xdr:col>
                    <xdr:colOff>99060</xdr:colOff>
                    <xdr:row>62</xdr:row>
                    <xdr:rowOff>68580</xdr:rowOff>
                  </from>
                  <to>
                    <xdr:col>2</xdr:col>
                    <xdr:colOff>845820</xdr:colOff>
                    <xdr:row>63</xdr:row>
                    <xdr:rowOff>0</xdr:rowOff>
                  </to>
                </anchor>
              </controlPr>
            </control>
          </mc:Choice>
        </mc:AlternateContent>
        <mc:AlternateContent xmlns:mc="http://schemas.openxmlformats.org/markup-compatibility/2006">
          <mc:Choice Requires="x14">
            <control shapeId="1325" r:id="rId37" name="Check Box 301">
              <controlPr defaultSize="0" autoFill="0" autoLine="0" autoPict="0">
                <anchor moveWithCells="1">
                  <from>
                    <xdr:col>4</xdr:col>
                    <xdr:colOff>106680</xdr:colOff>
                    <xdr:row>64</xdr:row>
                    <xdr:rowOff>0</xdr:rowOff>
                  </from>
                  <to>
                    <xdr:col>4</xdr:col>
                    <xdr:colOff>868680</xdr:colOff>
                    <xdr:row>65</xdr:row>
                    <xdr:rowOff>45720</xdr:rowOff>
                  </to>
                </anchor>
              </controlPr>
            </control>
          </mc:Choice>
        </mc:AlternateContent>
        <mc:AlternateContent xmlns:mc="http://schemas.openxmlformats.org/markup-compatibility/2006">
          <mc:Choice Requires="x14">
            <control shapeId="1327" r:id="rId38" name="Check Box 303">
              <controlPr defaultSize="0" autoFill="0" autoLine="0" autoPict="0">
                <anchor moveWithCells="1">
                  <from>
                    <xdr:col>2</xdr:col>
                    <xdr:colOff>121920</xdr:colOff>
                    <xdr:row>74</xdr:row>
                    <xdr:rowOff>45720</xdr:rowOff>
                  </from>
                  <to>
                    <xdr:col>2</xdr:col>
                    <xdr:colOff>876300</xdr:colOff>
                    <xdr:row>75</xdr:row>
                    <xdr:rowOff>83820</xdr:rowOff>
                  </to>
                </anchor>
              </controlPr>
            </control>
          </mc:Choice>
        </mc:AlternateContent>
        <mc:AlternateContent xmlns:mc="http://schemas.openxmlformats.org/markup-compatibility/2006">
          <mc:Choice Requires="x14">
            <control shapeId="1328" r:id="rId39" name="Check Box 304">
              <controlPr defaultSize="0" autoFill="0" autoLine="0" autoPict="0">
                <anchor moveWithCells="1">
                  <from>
                    <xdr:col>2</xdr:col>
                    <xdr:colOff>99060</xdr:colOff>
                    <xdr:row>77</xdr:row>
                    <xdr:rowOff>30480</xdr:rowOff>
                  </from>
                  <to>
                    <xdr:col>2</xdr:col>
                    <xdr:colOff>845820</xdr:colOff>
                    <xdr:row>78</xdr:row>
                    <xdr:rowOff>22860</xdr:rowOff>
                  </to>
                </anchor>
              </controlPr>
            </control>
          </mc:Choice>
        </mc:AlternateContent>
        <mc:AlternateContent xmlns:mc="http://schemas.openxmlformats.org/markup-compatibility/2006">
          <mc:Choice Requires="x14">
            <control shapeId="1330" r:id="rId40" name="Check Box 306">
              <controlPr defaultSize="0" autoFill="0" autoLine="0" autoPict="0">
                <anchor moveWithCells="1">
                  <from>
                    <xdr:col>2</xdr:col>
                    <xdr:colOff>99060</xdr:colOff>
                    <xdr:row>77</xdr:row>
                    <xdr:rowOff>236220</xdr:rowOff>
                  </from>
                  <to>
                    <xdr:col>2</xdr:col>
                    <xdr:colOff>1318260</xdr:colOff>
                    <xdr:row>78</xdr:row>
                    <xdr:rowOff>144780</xdr:rowOff>
                  </to>
                </anchor>
              </controlPr>
            </control>
          </mc:Choice>
        </mc:AlternateContent>
        <mc:AlternateContent xmlns:mc="http://schemas.openxmlformats.org/markup-compatibility/2006">
          <mc:Choice Requires="x14">
            <control shapeId="1331" r:id="rId41" name="Check Box 307">
              <controlPr defaultSize="0" autoFill="0" autoLine="0" autoPict="0">
                <anchor moveWithCells="1">
                  <from>
                    <xdr:col>2</xdr:col>
                    <xdr:colOff>106680</xdr:colOff>
                    <xdr:row>78</xdr:row>
                    <xdr:rowOff>175260</xdr:rowOff>
                  </from>
                  <to>
                    <xdr:col>2</xdr:col>
                    <xdr:colOff>1325880</xdr:colOff>
                    <xdr:row>79</xdr:row>
                    <xdr:rowOff>144780</xdr:rowOff>
                  </to>
                </anchor>
              </controlPr>
            </control>
          </mc:Choice>
        </mc:AlternateContent>
        <mc:AlternateContent xmlns:mc="http://schemas.openxmlformats.org/markup-compatibility/2006">
          <mc:Choice Requires="x14">
            <control shapeId="1332" r:id="rId42" name="Check Box 308">
              <controlPr defaultSize="0" autoFill="0" autoLine="0" autoPict="0">
                <anchor moveWithCells="1">
                  <from>
                    <xdr:col>2</xdr:col>
                    <xdr:colOff>99060</xdr:colOff>
                    <xdr:row>79</xdr:row>
                    <xdr:rowOff>121920</xdr:rowOff>
                  </from>
                  <to>
                    <xdr:col>2</xdr:col>
                    <xdr:colOff>1188720</xdr:colOff>
                    <xdr:row>80</xdr:row>
                    <xdr:rowOff>152400</xdr:rowOff>
                  </to>
                </anchor>
              </controlPr>
            </control>
          </mc:Choice>
        </mc:AlternateContent>
        <mc:AlternateContent xmlns:mc="http://schemas.openxmlformats.org/markup-compatibility/2006">
          <mc:Choice Requires="x14">
            <control shapeId="1342" r:id="rId43" name="Check Box 318">
              <controlPr defaultSize="0" autoFill="0" autoLine="0" autoPict="0">
                <anchor moveWithCells="1">
                  <from>
                    <xdr:col>2</xdr:col>
                    <xdr:colOff>114300</xdr:colOff>
                    <xdr:row>76</xdr:row>
                    <xdr:rowOff>30480</xdr:rowOff>
                  </from>
                  <to>
                    <xdr:col>2</xdr:col>
                    <xdr:colOff>868680</xdr:colOff>
                    <xdr:row>77</xdr:row>
                    <xdr:rowOff>7620</xdr:rowOff>
                  </to>
                </anchor>
              </controlPr>
            </control>
          </mc:Choice>
        </mc:AlternateContent>
        <mc:AlternateContent xmlns:mc="http://schemas.openxmlformats.org/markup-compatibility/2006">
          <mc:Choice Requires="x14">
            <control shapeId="1346" r:id="rId44" name="Check Box 322">
              <controlPr defaultSize="0" autoFill="0" autoLine="0" autoPict="0">
                <anchor moveWithCells="1">
                  <from>
                    <xdr:col>5</xdr:col>
                    <xdr:colOff>22860</xdr:colOff>
                    <xdr:row>64</xdr:row>
                    <xdr:rowOff>7620</xdr:rowOff>
                  </from>
                  <to>
                    <xdr:col>5</xdr:col>
                    <xdr:colOff>784860</xdr:colOff>
                    <xdr:row>65</xdr:row>
                    <xdr:rowOff>45720</xdr:rowOff>
                  </to>
                </anchor>
              </controlPr>
            </control>
          </mc:Choice>
        </mc:AlternateContent>
        <mc:AlternateContent xmlns:mc="http://schemas.openxmlformats.org/markup-compatibility/2006">
          <mc:Choice Requires="x14">
            <control shapeId="1347" r:id="rId45" name="Check Box 323">
              <controlPr defaultSize="0" autoFill="0" autoLine="0" autoPict="0">
                <anchor moveWithCells="1">
                  <from>
                    <xdr:col>2</xdr:col>
                    <xdr:colOff>83820</xdr:colOff>
                    <xdr:row>65</xdr:row>
                    <xdr:rowOff>38100</xdr:rowOff>
                  </from>
                  <to>
                    <xdr:col>2</xdr:col>
                    <xdr:colOff>1257300</xdr:colOff>
                    <xdr:row>66</xdr:row>
                    <xdr:rowOff>76200</xdr:rowOff>
                  </to>
                </anchor>
              </controlPr>
            </control>
          </mc:Choice>
        </mc:AlternateContent>
        <mc:AlternateContent xmlns:mc="http://schemas.openxmlformats.org/markup-compatibility/2006">
          <mc:Choice Requires="x14">
            <control shapeId="1355" r:id="rId46" name="Check Box 331">
              <controlPr defaultSize="0" autoFill="0" autoLine="0" autoPict="0">
                <anchor moveWithCells="1">
                  <from>
                    <xdr:col>1</xdr:col>
                    <xdr:colOff>411480</xdr:colOff>
                    <xdr:row>15</xdr:row>
                    <xdr:rowOff>0</xdr:rowOff>
                  </from>
                  <to>
                    <xdr:col>2</xdr:col>
                    <xdr:colOff>7620</xdr:colOff>
                    <xdr:row>15</xdr:row>
                    <xdr:rowOff>228600</xdr:rowOff>
                  </to>
                </anchor>
              </controlPr>
            </control>
          </mc:Choice>
        </mc:AlternateContent>
        <mc:AlternateContent xmlns:mc="http://schemas.openxmlformats.org/markup-compatibility/2006">
          <mc:Choice Requires="x14">
            <control shapeId="1356" r:id="rId47" name="Drop Down 332">
              <controlPr defaultSize="0" autoLine="0" autoPict="0">
                <anchor moveWithCells="1">
                  <from>
                    <xdr:col>3</xdr:col>
                    <xdr:colOff>175260</xdr:colOff>
                    <xdr:row>9</xdr:row>
                    <xdr:rowOff>0</xdr:rowOff>
                  </from>
                  <to>
                    <xdr:col>3</xdr:col>
                    <xdr:colOff>845820</xdr:colOff>
                    <xdr:row>9</xdr:row>
                    <xdr:rowOff>213360</xdr:rowOff>
                  </to>
                </anchor>
              </controlPr>
            </control>
          </mc:Choice>
        </mc:AlternateContent>
        <mc:AlternateContent xmlns:mc="http://schemas.openxmlformats.org/markup-compatibility/2006">
          <mc:Choice Requires="x14">
            <control shapeId="1364" r:id="rId48" name="Check Box 340">
              <controlPr defaultSize="0" autoFill="0" autoLine="0" autoPict="0">
                <anchor moveWithCells="1">
                  <from>
                    <xdr:col>3</xdr:col>
                    <xdr:colOff>975360</xdr:colOff>
                    <xdr:row>76</xdr:row>
                    <xdr:rowOff>160020</xdr:rowOff>
                  </from>
                  <to>
                    <xdr:col>4</xdr:col>
                    <xdr:colOff>106680</xdr:colOff>
                    <xdr:row>77</xdr:row>
                    <xdr:rowOff>137160</xdr:rowOff>
                  </to>
                </anchor>
              </controlPr>
            </control>
          </mc:Choice>
        </mc:AlternateContent>
        <mc:AlternateContent xmlns:mc="http://schemas.openxmlformats.org/markup-compatibility/2006">
          <mc:Choice Requires="x14">
            <control shapeId="1365" r:id="rId49" name="Check Box 341">
              <controlPr defaultSize="0" autoFill="0" autoLine="0" autoPict="0">
                <anchor moveWithCells="1">
                  <from>
                    <xdr:col>3</xdr:col>
                    <xdr:colOff>975360</xdr:colOff>
                    <xdr:row>77</xdr:row>
                    <xdr:rowOff>38100</xdr:rowOff>
                  </from>
                  <to>
                    <xdr:col>4</xdr:col>
                    <xdr:colOff>106680</xdr:colOff>
                    <xdr:row>78</xdr:row>
                    <xdr:rowOff>22860</xdr:rowOff>
                  </to>
                </anchor>
              </controlPr>
            </control>
          </mc:Choice>
        </mc:AlternateContent>
        <mc:AlternateContent xmlns:mc="http://schemas.openxmlformats.org/markup-compatibility/2006">
          <mc:Choice Requires="x14">
            <control shapeId="1366" r:id="rId50" name="Check Box 342">
              <controlPr defaultSize="0" autoFill="0" autoLine="0" autoPict="0">
                <anchor moveWithCells="1">
                  <from>
                    <xdr:col>3</xdr:col>
                    <xdr:colOff>975360</xdr:colOff>
                    <xdr:row>77</xdr:row>
                    <xdr:rowOff>228600</xdr:rowOff>
                  </from>
                  <to>
                    <xdr:col>4</xdr:col>
                    <xdr:colOff>106680</xdr:colOff>
                    <xdr:row>78</xdr:row>
                    <xdr:rowOff>144780</xdr:rowOff>
                  </to>
                </anchor>
              </controlPr>
            </control>
          </mc:Choice>
        </mc:AlternateContent>
        <mc:AlternateContent xmlns:mc="http://schemas.openxmlformats.org/markup-compatibility/2006">
          <mc:Choice Requires="x14">
            <control shapeId="1367" r:id="rId51" name="Check Box 343">
              <controlPr defaultSize="0" autoFill="0" autoLine="0" autoPict="0">
                <anchor moveWithCells="1">
                  <from>
                    <xdr:col>3</xdr:col>
                    <xdr:colOff>975360</xdr:colOff>
                    <xdr:row>78</xdr:row>
                    <xdr:rowOff>99060</xdr:rowOff>
                  </from>
                  <to>
                    <xdr:col>4</xdr:col>
                    <xdr:colOff>106680</xdr:colOff>
                    <xdr:row>79</xdr:row>
                    <xdr:rowOff>68580</xdr:rowOff>
                  </to>
                </anchor>
              </controlPr>
            </control>
          </mc:Choice>
        </mc:AlternateContent>
        <mc:AlternateContent xmlns:mc="http://schemas.openxmlformats.org/markup-compatibility/2006">
          <mc:Choice Requires="x14">
            <control shapeId="1370" r:id="rId52" name="Drop Down 346">
              <controlPr defaultSize="0" autoLine="0" autoPict="0">
                <anchor moveWithCells="1">
                  <from>
                    <xdr:col>3</xdr:col>
                    <xdr:colOff>1508760</xdr:colOff>
                    <xdr:row>15</xdr:row>
                    <xdr:rowOff>106680</xdr:rowOff>
                  </from>
                  <to>
                    <xdr:col>4</xdr:col>
                    <xdr:colOff>1097280</xdr:colOff>
                    <xdr:row>16</xdr:row>
                    <xdr:rowOff>114300</xdr:rowOff>
                  </to>
                </anchor>
              </controlPr>
            </control>
          </mc:Choice>
        </mc:AlternateContent>
        <mc:AlternateContent xmlns:mc="http://schemas.openxmlformats.org/markup-compatibility/2006">
          <mc:Choice Requires="x14">
            <control shapeId="1374" r:id="rId53" name="Drop Down 350">
              <controlPr defaultSize="0" autoLine="0" autoPict="0">
                <anchor moveWithCells="1">
                  <from>
                    <xdr:col>5</xdr:col>
                    <xdr:colOff>563880</xdr:colOff>
                    <xdr:row>15</xdr:row>
                    <xdr:rowOff>68580</xdr:rowOff>
                  </from>
                  <to>
                    <xdr:col>6</xdr:col>
                    <xdr:colOff>1181100</xdr:colOff>
                    <xdr:row>16</xdr:row>
                    <xdr:rowOff>45720</xdr:rowOff>
                  </to>
                </anchor>
              </controlPr>
            </control>
          </mc:Choice>
        </mc:AlternateContent>
        <mc:AlternateContent xmlns:mc="http://schemas.openxmlformats.org/markup-compatibility/2006">
          <mc:Choice Requires="x14">
            <control shapeId="1375" r:id="rId54" name="Check Box 351">
              <controlPr defaultSize="0" autoFill="0" autoLine="0" autoPict="0">
                <anchor moveWithCells="1">
                  <from>
                    <xdr:col>5</xdr:col>
                    <xdr:colOff>944880</xdr:colOff>
                    <xdr:row>16</xdr:row>
                    <xdr:rowOff>99060</xdr:rowOff>
                  </from>
                  <to>
                    <xdr:col>6</xdr:col>
                    <xdr:colOff>868680</xdr:colOff>
                    <xdr:row>17</xdr:row>
                    <xdr:rowOff>0</xdr:rowOff>
                  </to>
                </anchor>
              </controlPr>
            </control>
          </mc:Choice>
        </mc:AlternateContent>
        <mc:AlternateContent xmlns:mc="http://schemas.openxmlformats.org/markup-compatibility/2006">
          <mc:Choice Requires="x14">
            <control shapeId="1378" r:id="rId55" name="Check Box 354">
              <controlPr defaultSize="0" autoFill="0" autoLine="0" autoPict="0" altText="Unlimited Phone - $19.99">
                <anchor moveWithCells="1">
                  <from>
                    <xdr:col>4</xdr:col>
                    <xdr:colOff>7620</xdr:colOff>
                    <xdr:row>16</xdr:row>
                    <xdr:rowOff>190500</xdr:rowOff>
                  </from>
                  <to>
                    <xdr:col>4</xdr:col>
                    <xdr:colOff>1059180</xdr:colOff>
                    <xdr:row>17</xdr:row>
                    <xdr:rowOff>60960</xdr:rowOff>
                  </to>
                </anchor>
              </controlPr>
            </control>
          </mc:Choice>
        </mc:AlternateContent>
        <mc:AlternateContent xmlns:mc="http://schemas.openxmlformats.org/markup-compatibility/2006">
          <mc:Choice Requires="x14">
            <control shapeId="1379" r:id="rId56" name="Check Box 355">
              <controlPr defaultSize="0" autoFill="0" autoLine="0" autoPict="0">
                <anchor moveWithCells="1">
                  <from>
                    <xdr:col>5</xdr:col>
                    <xdr:colOff>944880</xdr:colOff>
                    <xdr:row>16</xdr:row>
                    <xdr:rowOff>289560</xdr:rowOff>
                  </from>
                  <to>
                    <xdr:col>6</xdr:col>
                    <xdr:colOff>1181100</xdr:colOff>
                    <xdr:row>17</xdr:row>
                    <xdr:rowOff>144780</xdr:rowOff>
                  </to>
                </anchor>
              </controlPr>
            </control>
          </mc:Choice>
        </mc:AlternateContent>
        <mc:AlternateContent xmlns:mc="http://schemas.openxmlformats.org/markup-compatibility/2006">
          <mc:Choice Requires="x14">
            <control shapeId="1384" r:id="rId57" name="Drop Down 360">
              <controlPr defaultSize="0" autoLine="0" autoPict="0">
                <anchor moveWithCells="1">
                  <from>
                    <xdr:col>5</xdr:col>
                    <xdr:colOff>640080</xdr:colOff>
                    <xdr:row>11</xdr:row>
                    <xdr:rowOff>22860</xdr:rowOff>
                  </from>
                  <to>
                    <xdr:col>6</xdr:col>
                    <xdr:colOff>1257300</xdr:colOff>
                    <xdr:row>11</xdr:row>
                    <xdr:rowOff>228600</xdr:rowOff>
                  </to>
                </anchor>
              </controlPr>
            </control>
          </mc:Choice>
        </mc:AlternateContent>
        <mc:AlternateContent xmlns:mc="http://schemas.openxmlformats.org/markup-compatibility/2006">
          <mc:Choice Requires="x14">
            <control shapeId="1386" r:id="rId58" name="Check Box 362">
              <controlPr defaultSize="0" autoFill="0" autoLine="0" autoPict="0">
                <anchor moveWithCells="1">
                  <from>
                    <xdr:col>5</xdr:col>
                    <xdr:colOff>906780</xdr:colOff>
                    <xdr:row>12</xdr:row>
                    <xdr:rowOff>76200</xdr:rowOff>
                  </from>
                  <to>
                    <xdr:col>6</xdr:col>
                    <xdr:colOff>1135380</xdr:colOff>
                    <xdr:row>13</xdr:row>
                    <xdr:rowOff>45720</xdr:rowOff>
                  </to>
                </anchor>
              </controlPr>
            </control>
          </mc:Choice>
        </mc:AlternateContent>
        <mc:AlternateContent xmlns:mc="http://schemas.openxmlformats.org/markup-compatibility/2006">
          <mc:Choice Requires="x14">
            <control shapeId="1388" r:id="rId59" name="Drop Down 364">
              <controlPr defaultSize="0" autoLine="0" autoPict="0">
                <anchor moveWithCells="1">
                  <from>
                    <xdr:col>1</xdr:col>
                    <xdr:colOff>68580</xdr:colOff>
                    <xdr:row>98</xdr:row>
                    <xdr:rowOff>38100</xdr:rowOff>
                  </from>
                  <to>
                    <xdr:col>2</xdr:col>
                    <xdr:colOff>251460</xdr:colOff>
                    <xdr:row>99</xdr:row>
                    <xdr:rowOff>45720</xdr:rowOff>
                  </to>
                </anchor>
              </controlPr>
            </control>
          </mc:Choice>
        </mc:AlternateContent>
        <mc:AlternateContent xmlns:mc="http://schemas.openxmlformats.org/markup-compatibility/2006">
          <mc:Choice Requires="x14">
            <control shapeId="1389" r:id="rId60" name="Check Box 365">
              <controlPr defaultSize="0" autoFill="0" autoLine="0" autoPict="0" altText="Lease Modem/Router $14.99">
                <anchor moveWithCells="1">
                  <from>
                    <xdr:col>2</xdr:col>
                    <xdr:colOff>327660</xdr:colOff>
                    <xdr:row>98</xdr:row>
                    <xdr:rowOff>7620</xdr:rowOff>
                  </from>
                  <to>
                    <xdr:col>3</xdr:col>
                    <xdr:colOff>906780</xdr:colOff>
                    <xdr:row>99</xdr:row>
                    <xdr:rowOff>114300</xdr:rowOff>
                  </to>
                </anchor>
              </controlPr>
            </control>
          </mc:Choice>
        </mc:AlternateContent>
        <mc:AlternateContent xmlns:mc="http://schemas.openxmlformats.org/markup-compatibility/2006">
          <mc:Choice Requires="x14">
            <control shapeId="1390" r:id="rId61" name="Check Box 366">
              <controlPr defaultSize="0" autoFill="0" autoLine="0" autoPict="0">
                <anchor moveWithCells="1">
                  <from>
                    <xdr:col>2</xdr:col>
                    <xdr:colOff>327660</xdr:colOff>
                    <xdr:row>99</xdr:row>
                    <xdr:rowOff>76200</xdr:rowOff>
                  </from>
                  <to>
                    <xdr:col>3</xdr:col>
                    <xdr:colOff>464820</xdr:colOff>
                    <xdr:row>100</xdr:row>
                    <xdr:rowOff>137160</xdr:rowOff>
                  </to>
                </anchor>
              </controlPr>
            </control>
          </mc:Choice>
        </mc:AlternateContent>
        <mc:AlternateContent xmlns:mc="http://schemas.openxmlformats.org/markup-compatibility/2006">
          <mc:Choice Requires="x14">
            <control shapeId="1391" r:id="rId62" name="Check Box 367">
              <controlPr defaultSize="0" autoFill="0" autoLine="0" autoPict="0">
                <anchor moveWithCells="1">
                  <from>
                    <xdr:col>2</xdr:col>
                    <xdr:colOff>335280</xdr:colOff>
                    <xdr:row>100</xdr:row>
                    <xdr:rowOff>121920</xdr:rowOff>
                  </from>
                  <to>
                    <xdr:col>3</xdr:col>
                    <xdr:colOff>571500</xdr:colOff>
                    <xdr:row>101</xdr:row>
                    <xdr:rowOff>144780</xdr:rowOff>
                  </to>
                </anchor>
              </controlPr>
            </control>
          </mc:Choice>
        </mc:AlternateContent>
        <mc:AlternateContent xmlns:mc="http://schemas.openxmlformats.org/markup-compatibility/2006">
          <mc:Choice Requires="x14">
            <control shapeId="1392" r:id="rId63" name="Check Box 368">
              <controlPr defaultSize="0" autoFill="0" autoLine="0" autoPict="0">
                <anchor moveWithCells="1">
                  <from>
                    <xdr:col>2</xdr:col>
                    <xdr:colOff>312420</xdr:colOff>
                    <xdr:row>102</xdr:row>
                    <xdr:rowOff>144780</xdr:rowOff>
                  </from>
                  <to>
                    <xdr:col>3</xdr:col>
                    <xdr:colOff>556260</xdr:colOff>
                    <xdr:row>103</xdr:row>
                    <xdr:rowOff>76200</xdr:rowOff>
                  </to>
                </anchor>
              </controlPr>
            </control>
          </mc:Choice>
        </mc:AlternateContent>
        <mc:AlternateContent xmlns:mc="http://schemas.openxmlformats.org/markup-compatibility/2006">
          <mc:Choice Requires="x14">
            <control shapeId="1411" r:id="rId64" name="Drop Down 387">
              <controlPr defaultSize="0" autoLine="0" autoPict="0">
                <anchor moveWithCells="1">
                  <from>
                    <xdr:col>3</xdr:col>
                    <xdr:colOff>1592580</xdr:colOff>
                    <xdr:row>11</xdr:row>
                    <xdr:rowOff>38100</xdr:rowOff>
                  </from>
                  <to>
                    <xdr:col>5</xdr:col>
                    <xdr:colOff>45720</xdr:colOff>
                    <xdr:row>12</xdr:row>
                    <xdr:rowOff>22860</xdr:rowOff>
                  </to>
                </anchor>
              </controlPr>
            </control>
          </mc:Choice>
        </mc:AlternateContent>
        <mc:AlternateContent xmlns:mc="http://schemas.openxmlformats.org/markup-compatibility/2006">
          <mc:Choice Requires="x14">
            <control shapeId="1412" r:id="rId65" name="Check Box 388">
              <controlPr defaultSize="0" autoFill="0" autoLine="0" autoPict="0">
                <anchor moveWithCells="1">
                  <from>
                    <xdr:col>4</xdr:col>
                    <xdr:colOff>83820</xdr:colOff>
                    <xdr:row>12</xdr:row>
                    <xdr:rowOff>198120</xdr:rowOff>
                  </from>
                  <to>
                    <xdr:col>4</xdr:col>
                    <xdr:colOff>1089660</xdr:colOff>
                    <xdr:row>13</xdr:row>
                    <xdr:rowOff>190500</xdr:rowOff>
                  </to>
                </anchor>
              </controlPr>
            </control>
          </mc:Choice>
        </mc:AlternateContent>
        <mc:AlternateContent xmlns:mc="http://schemas.openxmlformats.org/markup-compatibility/2006">
          <mc:Choice Requires="x14">
            <control shapeId="1413" r:id="rId66" name="Check Box 389">
              <controlPr defaultSize="0" autoFill="0" autoLine="0" autoPict="0">
                <anchor moveWithCells="1">
                  <from>
                    <xdr:col>4</xdr:col>
                    <xdr:colOff>99060</xdr:colOff>
                    <xdr:row>12</xdr:row>
                    <xdr:rowOff>30480</xdr:rowOff>
                  </from>
                  <to>
                    <xdr:col>4</xdr:col>
                    <xdr:colOff>1089660</xdr:colOff>
                    <xdr:row>13</xdr:row>
                    <xdr:rowOff>22860</xdr:rowOff>
                  </to>
                </anchor>
              </controlPr>
            </control>
          </mc:Choice>
        </mc:AlternateContent>
        <mc:AlternateContent xmlns:mc="http://schemas.openxmlformats.org/markup-compatibility/2006">
          <mc:Choice Requires="x14">
            <control shapeId="1414" r:id="rId67" name="Drop Down 390">
              <controlPr defaultSize="0" autoLine="0" autoPict="0">
                <anchor moveWithCells="1">
                  <from>
                    <xdr:col>1</xdr:col>
                    <xdr:colOff>7620</xdr:colOff>
                    <xdr:row>107</xdr:row>
                    <xdr:rowOff>0</xdr:rowOff>
                  </from>
                  <to>
                    <xdr:col>2</xdr:col>
                    <xdr:colOff>60960</xdr:colOff>
                    <xdr:row>108</xdr:row>
                    <xdr:rowOff>0</xdr:rowOff>
                  </to>
                </anchor>
              </controlPr>
            </control>
          </mc:Choice>
        </mc:AlternateContent>
        <mc:AlternateContent xmlns:mc="http://schemas.openxmlformats.org/markup-compatibility/2006">
          <mc:Choice Requires="x14">
            <control shapeId="1415" r:id="rId68" name="Drop Down 391">
              <controlPr defaultSize="0" autoLine="0" autoPict="0">
                <anchor moveWithCells="1">
                  <from>
                    <xdr:col>1</xdr:col>
                    <xdr:colOff>228600</xdr:colOff>
                    <xdr:row>109</xdr:row>
                    <xdr:rowOff>152400</xdr:rowOff>
                  </from>
                  <to>
                    <xdr:col>2</xdr:col>
                    <xdr:colOff>137160</xdr:colOff>
                    <xdr:row>110</xdr:row>
                    <xdr:rowOff>190500</xdr:rowOff>
                  </to>
                </anchor>
              </controlPr>
            </control>
          </mc:Choice>
        </mc:AlternateContent>
        <mc:AlternateContent xmlns:mc="http://schemas.openxmlformats.org/markup-compatibility/2006">
          <mc:Choice Requires="x14">
            <control shapeId="1416" r:id="rId69" name="Drop Down 392">
              <controlPr defaultSize="0" autoLine="0" autoPict="0">
                <anchor moveWithCells="1">
                  <from>
                    <xdr:col>1</xdr:col>
                    <xdr:colOff>213360</xdr:colOff>
                    <xdr:row>112</xdr:row>
                    <xdr:rowOff>182880</xdr:rowOff>
                  </from>
                  <to>
                    <xdr:col>2</xdr:col>
                    <xdr:colOff>144780</xdr:colOff>
                    <xdr:row>114</xdr:row>
                    <xdr:rowOff>0</xdr:rowOff>
                  </to>
                </anchor>
              </controlPr>
            </control>
          </mc:Choice>
        </mc:AlternateContent>
        <mc:AlternateContent xmlns:mc="http://schemas.openxmlformats.org/markup-compatibility/2006">
          <mc:Choice Requires="x14">
            <control shapeId="1417" r:id="rId70" name="Drop Down 393">
              <controlPr defaultSize="0" autoLine="0" autoPict="0">
                <anchor moveWithCells="1">
                  <from>
                    <xdr:col>2</xdr:col>
                    <xdr:colOff>114300</xdr:colOff>
                    <xdr:row>107</xdr:row>
                    <xdr:rowOff>0</xdr:rowOff>
                  </from>
                  <to>
                    <xdr:col>2</xdr:col>
                    <xdr:colOff>1219200</xdr:colOff>
                    <xdr:row>108</xdr:row>
                    <xdr:rowOff>0</xdr:rowOff>
                  </to>
                </anchor>
              </controlPr>
            </control>
          </mc:Choice>
        </mc:AlternateContent>
        <mc:AlternateContent xmlns:mc="http://schemas.openxmlformats.org/markup-compatibility/2006">
          <mc:Choice Requires="x14">
            <control shapeId="1418" r:id="rId71" name="Drop Down 394">
              <controlPr defaultSize="0" autoLine="0" autoPict="0">
                <anchor moveWithCells="1">
                  <from>
                    <xdr:col>3</xdr:col>
                    <xdr:colOff>182880</xdr:colOff>
                    <xdr:row>106</xdr:row>
                    <xdr:rowOff>175260</xdr:rowOff>
                  </from>
                  <to>
                    <xdr:col>3</xdr:col>
                    <xdr:colOff>1059180</xdr:colOff>
                    <xdr:row>108</xdr:row>
                    <xdr:rowOff>38100</xdr:rowOff>
                  </to>
                </anchor>
              </controlPr>
            </control>
          </mc:Choice>
        </mc:AlternateContent>
        <mc:AlternateContent xmlns:mc="http://schemas.openxmlformats.org/markup-compatibility/2006">
          <mc:Choice Requires="x14">
            <control shapeId="1420" r:id="rId72" name="Check Box 396">
              <controlPr defaultSize="0" autoFill="0" autoLine="0" autoPict="0">
                <anchor moveWithCells="1">
                  <from>
                    <xdr:col>2</xdr:col>
                    <xdr:colOff>335280</xdr:colOff>
                    <xdr:row>110</xdr:row>
                    <xdr:rowOff>144780</xdr:rowOff>
                  </from>
                  <to>
                    <xdr:col>2</xdr:col>
                    <xdr:colOff>1165860</xdr:colOff>
                    <xdr:row>112</xdr:row>
                    <xdr:rowOff>60960</xdr:rowOff>
                  </to>
                </anchor>
              </controlPr>
            </control>
          </mc:Choice>
        </mc:AlternateContent>
        <mc:AlternateContent xmlns:mc="http://schemas.openxmlformats.org/markup-compatibility/2006">
          <mc:Choice Requires="x14">
            <control shapeId="1421" r:id="rId73" name="Check Box 397">
              <controlPr defaultSize="0" autoFill="0" autoLine="0" autoPict="0">
                <anchor moveWithCells="1">
                  <from>
                    <xdr:col>2</xdr:col>
                    <xdr:colOff>335280</xdr:colOff>
                    <xdr:row>111</xdr:row>
                    <xdr:rowOff>152400</xdr:rowOff>
                  </from>
                  <to>
                    <xdr:col>2</xdr:col>
                    <xdr:colOff>1249680</xdr:colOff>
                    <xdr:row>113</xdr:row>
                    <xdr:rowOff>0</xdr:rowOff>
                  </to>
                </anchor>
              </controlPr>
            </control>
          </mc:Choice>
        </mc:AlternateContent>
        <mc:AlternateContent xmlns:mc="http://schemas.openxmlformats.org/markup-compatibility/2006">
          <mc:Choice Requires="x14">
            <control shapeId="1422" r:id="rId74" name="Check Box 398">
              <controlPr defaultSize="0" autoFill="0" autoLine="0" autoPict="0">
                <anchor moveWithCells="1">
                  <from>
                    <xdr:col>2</xdr:col>
                    <xdr:colOff>335280</xdr:colOff>
                    <xdr:row>112</xdr:row>
                    <xdr:rowOff>182880</xdr:rowOff>
                  </from>
                  <to>
                    <xdr:col>2</xdr:col>
                    <xdr:colOff>1287780</xdr:colOff>
                    <xdr:row>114</xdr:row>
                    <xdr:rowOff>0</xdr:rowOff>
                  </to>
                </anchor>
              </controlPr>
            </control>
          </mc:Choice>
        </mc:AlternateContent>
        <mc:AlternateContent xmlns:mc="http://schemas.openxmlformats.org/markup-compatibility/2006">
          <mc:Choice Requires="x14">
            <control shapeId="1427" r:id="rId75" name="Check Box 403">
              <controlPr defaultSize="0" autoFill="0" autoLine="0" autoPict="0">
                <anchor moveWithCells="1">
                  <from>
                    <xdr:col>3</xdr:col>
                    <xdr:colOff>121920</xdr:colOff>
                    <xdr:row>112</xdr:row>
                    <xdr:rowOff>60960</xdr:rowOff>
                  </from>
                  <to>
                    <xdr:col>4</xdr:col>
                    <xdr:colOff>144780</xdr:colOff>
                    <xdr:row>113</xdr:row>
                    <xdr:rowOff>114300</xdr:rowOff>
                  </to>
                </anchor>
              </controlPr>
            </control>
          </mc:Choice>
        </mc:AlternateContent>
        <mc:AlternateContent xmlns:mc="http://schemas.openxmlformats.org/markup-compatibility/2006">
          <mc:Choice Requires="x14">
            <control shapeId="1431" r:id="rId76" name="Check Box 407">
              <controlPr defaultSize="0" autoFill="0" autoLine="0" autoPict="0" altText="Epix">
                <anchor moveWithCells="1">
                  <from>
                    <xdr:col>2</xdr:col>
                    <xdr:colOff>335280</xdr:colOff>
                    <xdr:row>114</xdr:row>
                    <xdr:rowOff>76200</xdr:rowOff>
                  </from>
                  <to>
                    <xdr:col>3</xdr:col>
                    <xdr:colOff>213360</xdr:colOff>
                    <xdr:row>115</xdr:row>
                    <xdr:rowOff>83820</xdr:rowOff>
                  </to>
                </anchor>
              </controlPr>
            </control>
          </mc:Choice>
        </mc:AlternateContent>
        <mc:AlternateContent xmlns:mc="http://schemas.openxmlformats.org/markup-compatibility/2006">
          <mc:Choice Requires="x14">
            <control shapeId="1432" r:id="rId77" name="Check Box 408">
              <controlPr defaultSize="0" autoFill="0" autoLine="0" autoPict="0">
                <anchor moveWithCells="1">
                  <from>
                    <xdr:col>2</xdr:col>
                    <xdr:colOff>335280</xdr:colOff>
                    <xdr:row>115</xdr:row>
                    <xdr:rowOff>45720</xdr:rowOff>
                  </from>
                  <to>
                    <xdr:col>3</xdr:col>
                    <xdr:colOff>213360</xdr:colOff>
                    <xdr:row>116</xdr:row>
                    <xdr:rowOff>60960</xdr:rowOff>
                  </to>
                </anchor>
              </controlPr>
            </control>
          </mc:Choice>
        </mc:AlternateContent>
        <mc:AlternateContent xmlns:mc="http://schemas.openxmlformats.org/markup-compatibility/2006">
          <mc:Choice Requires="x14">
            <control shapeId="1419" r:id="rId78" name="Check Box 395">
              <controlPr defaultSize="0" autoFill="0" autoLine="0" autoPict="0">
                <anchor moveWithCells="1">
                  <from>
                    <xdr:col>2</xdr:col>
                    <xdr:colOff>335280</xdr:colOff>
                    <xdr:row>113</xdr:row>
                    <xdr:rowOff>198120</xdr:rowOff>
                  </from>
                  <to>
                    <xdr:col>3</xdr:col>
                    <xdr:colOff>213360</xdr:colOff>
                    <xdr:row>114</xdr:row>
                    <xdr:rowOff>106680</xdr:rowOff>
                  </to>
                </anchor>
              </controlPr>
            </control>
          </mc:Choice>
        </mc:AlternateContent>
        <mc:AlternateContent xmlns:mc="http://schemas.openxmlformats.org/markup-compatibility/2006">
          <mc:Choice Requires="x14">
            <control shapeId="1433" r:id="rId79" name="Check Box 409">
              <controlPr defaultSize="0" autoFill="0" autoLine="0" autoPict="0">
                <anchor moveWithCells="1">
                  <from>
                    <xdr:col>3</xdr:col>
                    <xdr:colOff>121920</xdr:colOff>
                    <xdr:row>113</xdr:row>
                    <xdr:rowOff>60960</xdr:rowOff>
                  </from>
                  <to>
                    <xdr:col>4</xdr:col>
                    <xdr:colOff>213360</xdr:colOff>
                    <xdr:row>114</xdr:row>
                    <xdr:rowOff>7620</xdr:rowOff>
                  </to>
                </anchor>
              </controlPr>
            </control>
          </mc:Choice>
        </mc:AlternateContent>
        <mc:AlternateContent xmlns:mc="http://schemas.openxmlformats.org/markup-compatibility/2006">
          <mc:Choice Requires="x14">
            <control shapeId="1434" r:id="rId80" name="Check Box 410">
              <controlPr defaultSize="0" autoFill="0" autoLine="0" autoPict="0">
                <anchor moveWithCells="1">
                  <from>
                    <xdr:col>3</xdr:col>
                    <xdr:colOff>121920</xdr:colOff>
                    <xdr:row>108</xdr:row>
                    <xdr:rowOff>60960</xdr:rowOff>
                  </from>
                  <to>
                    <xdr:col>4</xdr:col>
                    <xdr:colOff>144780</xdr:colOff>
                    <xdr:row>109</xdr:row>
                    <xdr:rowOff>106680</xdr:rowOff>
                  </to>
                </anchor>
              </controlPr>
            </control>
          </mc:Choice>
        </mc:AlternateContent>
        <mc:AlternateContent xmlns:mc="http://schemas.openxmlformats.org/markup-compatibility/2006">
          <mc:Choice Requires="x14">
            <control shapeId="1446" r:id="rId81" name="Drop Down 422">
              <controlPr defaultSize="0" autoLine="0" autoPict="0">
                <anchor moveWithCells="1">
                  <from>
                    <xdr:col>1</xdr:col>
                    <xdr:colOff>22860</xdr:colOff>
                    <xdr:row>121</xdr:row>
                    <xdr:rowOff>182880</xdr:rowOff>
                  </from>
                  <to>
                    <xdr:col>1</xdr:col>
                    <xdr:colOff>1127760</xdr:colOff>
                    <xdr:row>123</xdr:row>
                    <xdr:rowOff>7620</xdr:rowOff>
                  </to>
                </anchor>
              </controlPr>
            </control>
          </mc:Choice>
        </mc:AlternateContent>
        <mc:AlternateContent xmlns:mc="http://schemas.openxmlformats.org/markup-compatibility/2006">
          <mc:Choice Requires="x14">
            <control shapeId="1462" r:id="rId82" name="Drop Down 438">
              <controlPr defaultSize="0" autoLine="0" autoPict="0">
                <anchor moveWithCells="1">
                  <from>
                    <xdr:col>1</xdr:col>
                    <xdr:colOff>68580</xdr:colOff>
                    <xdr:row>131</xdr:row>
                    <xdr:rowOff>7620</xdr:rowOff>
                  </from>
                  <to>
                    <xdr:col>2</xdr:col>
                    <xdr:colOff>403860</xdr:colOff>
                    <xdr:row>132</xdr:row>
                    <xdr:rowOff>60960</xdr:rowOff>
                  </to>
                </anchor>
              </controlPr>
            </control>
          </mc:Choice>
        </mc:AlternateContent>
        <mc:AlternateContent xmlns:mc="http://schemas.openxmlformats.org/markup-compatibility/2006">
          <mc:Choice Requires="x14">
            <control shapeId="1466" r:id="rId83" name="Drop Down 442">
              <controlPr defaultSize="0" autoLine="0" autoPict="0">
                <anchor moveWithCells="1">
                  <from>
                    <xdr:col>2</xdr:col>
                    <xdr:colOff>144780</xdr:colOff>
                    <xdr:row>138</xdr:row>
                    <xdr:rowOff>45720</xdr:rowOff>
                  </from>
                  <to>
                    <xdr:col>3</xdr:col>
                    <xdr:colOff>297180</xdr:colOff>
                    <xdr:row>139</xdr:row>
                    <xdr:rowOff>114300</xdr:rowOff>
                  </to>
                </anchor>
              </controlPr>
            </control>
          </mc:Choice>
        </mc:AlternateContent>
        <mc:AlternateContent xmlns:mc="http://schemas.openxmlformats.org/markup-compatibility/2006">
          <mc:Choice Requires="x14">
            <control shapeId="1471" r:id="rId84" name="Drop Down 447">
              <controlPr defaultSize="0" autoLine="0" autoPict="0">
                <anchor moveWithCells="1">
                  <from>
                    <xdr:col>1</xdr:col>
                    <xdr:colOff>30480</xdr:colOff>
                    <xdr:row>138</xdr:row>
                    <xdr:rowOff>38100</xdr:rowOff>
                  </from>
                  <to>
                    <xdr:col>2</xdr:col>
                    <xdr:colOff>38100</xdr:colOff>
                    <xdr:row>139</xdr:row>
                    <xdr:rowOff>121920</xdr:rowOff>
                  </to>
                </anchor>
              </controlPr>
            </control>
          </mc:Choice>
        </mc:AlternateContent>
        <mc:AlternateContent xmlns:mc="http://schemas.openxmlformats.org/markup-compatibility/2006">
          <mc:Choice Requires="x14">
            <control shapeId="1473" r:id="rId85" name="Check Box 449">
              <controlPr defaultSize="0" autoFill="0" autoLine="0" autoPict="0" macro="[0]!CheckBox449_Click" altText="Professional Installation">
                <anchor moveWithCells="1">
                  <from>
                    <xdr:col>1</xdr:col>
                    <xdr:colOff>121920</xdr:colOff>
                    <xdr:row>140</xdr:row>
                    <xdr:rowOff>99060</xdr:rowOff>
                  </from>
                  <to>
                    <xdr:col>2</xdr:col>
                    <xdr:colOff>190500</xdr:colOff>
                    <xdr:row>141</xdr:row>
                    <xdr:rowOff>106680</xdr:rowOff>
                  </to>
                </anchor>
              </controlPr>
            </control>
          </mc:Choice>
        </mc:AlternateContent>
        <mc:AlternateContent xmlns:mc="http://schemas.openxmlformats.org/markup-compatibility/2006">
          <mc:Choice Requires="x14">
            <control shapeId="1474" r:id="rId86" name="Check Box 450">
              <controlPr defaultSize="0" autoFill="0" autoLine="0" autoPict="0" altText="Professional Installation">
                <anchor moveWithCells="1">
                  <from>
                    <xdr:col>2</xdr:col>
                    <xdr:colOff>213360</xdr:colOff>
                    <xdr:row>140</xdr:row>
                    <xdr:rowOff>99060</xdr:rowOff>
                  </from>
                  <to>
                    <xdr:col>3</xdr:col>
                    <xdr:colOff>83820</xdr:colOff>
                    <xdr:row>141</xdr:row>
                    <xdr:rowOff>114300</xdr:rowOff>
                  </to>
                </anchor>
              </controlPr>
            </control>
          </mc:Choice>
        </mc:AlternateContent>
        <mc:AlternateContent xmlns:mc="http://schemas.openxmlformats.org/markup-compatibility/2006">
          <mc:Choice Requires="x14">
            <control shapeId="1482" r:id="rId87" name="Drop Down 458">
              <controlPr defaultSize="0" autoLine="0" autoPict="0">
                <anchor moveWithCells="1">
                  <from>
                    <xdr:col>1</xdr:col>
                    <xdr:colOff>152400</xdr:colOff>
                    <xdr:row>20</xdr:row>
                    <xdr:rowOff>228600</xdr:rowOff>
                  </from>
                  <to>
                    <xdr:col>2</xdr:col>
                    <xdr:colOff>114300</xdr:colOff>
                    <xdr:row>21</xdr:row>
                    <xdr:rowOff>190500</xdr:rowOff>
                  </to>
                </anchor>
              </controlPr>
            </control>
          </mc:Choice>
        </mc:AlternateContent>
        <mc:AlternateContent xmlns:mc="http://schemas.openxmlformats.org/markup-compatibility/2006">
          <mc:Choice Requires="x14">
            <control shapeId="3" r:id="rId88" name="Drop Down 459">
              <controlPr defaultSize="0" autoLine="0" autoPict="0">
                <anchor moveWithCells="1">
                  <from>
                    <xdr:col>2</xdr:col>
                    <xdr:colOff>1264920</xdr:colOff>
                    <xdr:row>30</xdr:row>
                    <xdr:rowOff>45720</xdr:rowOff>
                  </from>
                  <to>
                    <xdr:col>3</xdr:col>
                    <xdr:colOff>1036320</xdr:colOff>
                    <xdr:row>31</xdr:row>
                    <xdr:rowOff>22860</xdr:rowOff>
                  </to>
                </anchor>
              </controlPr>
            </control>
          </mc:Choice>
        </mc:AlternateContent>
        <mc:AlternateContent xmlns:mc="http://schemas.openxmlformats.org/markup-compatibility/2006">
          <mc:Choice Requires="x14">
            <control shapeId="1484" r:id="rId89" name="Drop Down 460">
              <controlPr defaultSize="0" autoLine="0" autoPict="0">
                <anchor moveWithCells="1">
                  <from>
                    <xdr:col>1</xdr:col>
                    <xdr:colOff>152400</xdr:colOff>
                    <xdr:row>23</xdr:row>
                    <xdr:rowOff>22860</xdr:rowOff>
                  </from>
                  <to>
                    <xdr:col>2</xdr:col>
                    <xdr:colOff>114300</xdr:colOff>
                    <xdr:row>23</xdr:row>
                    <xdr:rowOff>213360</xdr:rowOff>
                  </to>
                </anchor>
              </controlPr>
            </control>
          </mc:Choice>
        </mc:AlternateContent>
        <mc:AlternateContent xmlns:mc="http://schemas.openxmlformats.org/markup-compatibility/2006">
          <mc:Choice Requires="x14">
            <control shapeId="1488" r:id="rId90" name="Drop Down 464">
              <controlPr defaultSize="0" autoLine="0" autoPict="0">
                <anchor moveWithCells="1">
                  <from>
                    <xdr:col>4</xdr:col>
                    <xdr:colOff>876300</xdr:colOff>
                    <xdr:row>26</xdr:row>
                    <xdr:rowOff>22860</xdr:rowOff>
                  </from>
                  <to>
                    <xdr:col>6</xdr:col>
                    <xdr:colOff>182880</xdr:colOff>
                    <xdr:row>26</xdr:row>
                    <xdr:rowOff>228600</xdr:rowOff>
                  </to>
                </anchor>
              </controlPr>
            </control>
          </mc:Choice>
        </mc:AlternateContent>
        <mc:AlternateContent xmlns:mc="http://schemas.openxmlformats.org/markup-compatibility/2006">
          <mc:Choice Requires="x14">
            <control shapeId="1489" r:id="rId91" name="Check Box 465">
              <controlPr defaultSize="0" autoFill="0" autoLine="0" autoPict="0">
                <anchor moveWithCells="1">
                  <from>
                    <xdr:col>4</xdr:col>
                    <xdr:colOff>1203960</xdr:colOff>
                    <xdr:row>27</xdr:row>
                    <xdr:rowOff>38100</xdr:rowOff>
                  </from>
                  <to>
                    <xdr:col>6</xdr:col>
                    <xdr:colOff>121920</xdr:colOff>
                    <xdr:row>28</xdr:row>
                    <xdr:rowOff>22860</xdr:rowOff>
                  </to>
                </anchor>
              </controlPr>
            </control>
          </mc:Choice>
        </mc:AlternateContent>
        <mc:AlternateContent xmlns:mc="http://schemas.openxmlformats.org/markup-compatibility/2006">
          <mc:Choice Requires="x14">
            <control shapeId="1490" r:id="rId92" name="Drop Down 466">
              <controlPr defaultSize="0" autoLine="0" autoPict="0">
                <anchor moveWithCells="1">
                  <from>
                    <xdr:col>4</xdr:col>
                    <xdr:colOff>830580</xdr:colOff>
                    <xdr:row>30</xdr:row>
                    <xdr:rowOff>22860</xdr:rowOff>
                  </from>
                  <to>
                    <xdr:col>6</xdr:col>
                    <xdr:colOff>144780</xdr:colOff>
                    <xdr:row>31</xdr:row>
                    <xdr:rowOff>0</xdr:rowOff>
                  </to>
                </anchor>
              </controlPr>
            </control>
          </mc:Choice>
        </mc:AlternateContent>
        <mc:AlternateContent xmlns:mc="http://schemas.openxmlformats.org/markup-compatibility/2006">
          <mc:Choice Requires="x14">
            <control shapeId="1491" r:id="rId93" name="Check Box 467">
              <controlPr defaultSize="0" autoFill="0" autoLine="0" autoPict="0">
                <anchor moveWithCells="1">
                  <from>
                    <xdr:col>4</xdr:col>
                    <xdr:colOff>1143000</xdr:colOff>
                    <xdr:row>31</xdr:row>
                    <xdr:rowOff>38100</xdr:rowOff>
                  </from>
                  <to>
                    <xdr:col>5</xdr:col>
                    <xdr:colOff>784860</xdr:colOff>
                    <xdr:row>32</xdr:row>
                    <xdr:rowOff>45720</xdr:rowOff>
                  </to>
                </anchor>
              </controlPr>
            </control>
          </mc:Choice>
        </mc:AlternateContent>
        <mc:AlternateContent xmlns:mc="http://schemas.openxmlformats.org/markup-compatibility/2006">
          <mc:Choice Requires="x14">
            <control shapeId="1492" r:id="rId94" name="Check Box 468">
              <controlPr defaultSize="0" autoFill="0" autoLine="0" autoPict="0">
                <anchor moveWithCells="1">
                  <from>
                    <xdr:col>4</xdr:col>
                    <xdr:colOff>1143000</xdr:colOff>
                    <xdr:row>32</xdr:row>
                    <xdr:rowOff>30480</xdr:rowOff>
                  </from>
                  <to>
                    <xdr:col>6</xdr:col>
                    <xdr:colOff>76200</xdr:colOff>
                    <xdr:row>32</xdr:row>
                    <xdr:rowOff>228600</xdr:rowOff>
                  </to>
                </anchor>
              </controlPr>
            </control>
          </mc:Choice>
        </mc:AlternateContent>
        <mc:AlternateContent xmlns:mc="http://schemas.openxmlformats.org/markup-compatibility/2006">
          <mc:Choice Requires="x14">
            <control shapeId="1493" r:id="rId95" name="Drop Down 469">
              <controlPr defaultSize="0" autoLine="0" autoPict="0">
                <anchor moveWithCells="1">
                  <from>
                    <xdr:col>2</xdr:col>
                    <xdr:colOff>1287780</xdr:colOff>
                    <xdr:row>26</xdr:row>
                    <xdr:rowOff>38100</xdr:rowOff>
                  </from>
                  <to>
                    <xdr:col>3</xdr:col>
                    <xdr:colOff>1333500</xdr:colOff>
                    <xdr:row>27</xdr:row>
                    <xdr:rowOff>22860</xdr:rowOff>
                  </to>
                </anchor>
              </controlPr>
            </control>
          </mc:Choice>
        </mc:AlternateContent>
        <mc:AlternateContent xmlns:mc="http://schemas.openxmlformats.org/markup-compatibility/2006">
          <mc:Choice Requires="x14">
            <control shapeId="1494" r:id="rId96" name="Check Box 470">
              <controlPr defaultSize="0" autoFill="0" autoLine="0" autoPict="0">
                <anchor moveWithCells="1">
                  <from>
                    <xdr:col>3</xdr:col>
                    <xdr:colOff>137160</xdr:colOff>
                    <xdr:row>27</xdr:row>
                    <xdr:rowOff>30480</xdr:rowOff>
                  </from>
                  <to>
                    <xdr:col>3</xdr:col>
                    <xdr:colOff>1127760</xdr:colOff>
                    <xdr:row>28</xdr:row>
                    <xdr:rowOff>22860</xdr:rowOff>
                  </to>
                </anchor>
              </controlPr>
            </control>
          </mc:Choice>
        </mc:AlternateContent>
        <mc:AlternateContent xmlns:mc="http://schemas.openxmlformats.org/markup-compatibility/2006">
          <mc:Choice Requires="x14">
            <control shapeId="1495" r:id="rId97" name="Check Box 471">
              <controlPr defaultSize="0" autoFill="0" autoLine="0" autoPict="0">
                <anchor moveWithCells="1">
                  <from>
                    <xdr:col>3</xdr:col>
                    <xdr:colOff>121920</xdr:colOff>
                    <xdr:row>27</xdr:row>
                    <xdr:rowOff>220980</xdr:rowOff>
                  </from>
                  <to>
                    <xdr:col>3</xdr:col>
                    <xdr:colOff>1127760</xdr:colOff>
                    <xdr:row>28</xdr:row>
                    <xdr:rowOff>213360</xdr:rowOff>
                  </to>
                </anchor>
              </controlPr>
            </control>
          </mc:Choice>
        </mc:AlternateContent>
        <mc:AlternateContent xmlns:mc="http://schemas.openxmlformats.org/markup-compatibility/2006">
          <mc:Choice Requires="x14">
            <control shapeId="1497" r:id="rId98" name="Check Box 473">
              <controlPr defaultSize="0" autoFill="0" autoLine="0" autoPict="0">
                <anchor moveWithCells="1">
                  <from>
                    <xdr:col>2</xdr:col>
                    <xdr:colOff>83820</xdr:colOff>
                    <xdr:row>80</xdr:row>
                    <xdr:rowOff>99060</xdr:rowOff>
                  </from>
                  <to>
                    <xdr:col>2</xdr:col>
                    <xdr:colOff>838200</xdr:colOff>
                    <xdr:row>80</xdr:row>
                    <xdr:rowOff>381000</xdr:rowOff>
                  </to>
                </anchor>
              </controlPr>
            </control>
          </mc:Choice>
        </mc:AlternateContent>
        <mc:AlternateContent xmlns:mc="http://schemas.openxmlformats.org/markup-compatibility/2006">
          <mc:Choice Requires="x14">
            <control shapeId="1498" r:id="rId99" name="Check Box 474">
              <controlPr defaultSize="0" autoFill="0" autoLine="0" autoPict="0" altText="Unlimited Phone - $19.99">
                <anchor moveWithCells="1">
                  <from>
                    <xdr:col>2</xdr:col>
                    <xdr:colOff>1287780</xdr:colOff>
                    <xdr:row>31</xdr:row>
                    <xdr:rowOff>68580</xdr:rowOff>
                  </from>
                  <to>
                    <xdr:col>3</xdr:col>
                    <xdr:colOff>990600</xdr:colOff>
                    <xdr:row>32</xdr:row>
                    <xdr:rowOff>38100</xdr:rowOff>
                  </to>
                </anchor>
              </controlPr>
            </control>
          </mc:Choice>
        </mc:AlternateContent>
        <mc:AlternateContent xmlns:mc="http://schemas.openxmlformats.org/markup-compatibility/2006">
          <mc:Choice Requires="x14">
            <control shapeId="1499" r:id="rId100" name="Check Box 475">
              <controlPr defaultSize="0" autoFill="0" autoLine="0" autoPict="0">
                <anchor moveWithCells="1">
                  <from>
                    <xdr:col>8</xdr:col>
                    <xdr:colOff>982980</xdr:colOff>
                    <xdr:row>16</xdr:row>
                    <xdr:rowOff>106680</xdr:rowOff>
                  </from>
                  <to>
                    <xdr:col>9</xdr:col>
                    <xdr:colOff>746760</xdr:colOff>
                    <xdr:row>16</xdr:row>
                    <xdr:rowOff>335280</xdr:rowOff>
                  </to>
                </anchor>
              </controlPr>
            </control>
          </mc:Choice>
        </mc:AlternateContent>
        <mc:AlternateContent xmlns:mc="http://schemas.openxmlformats.org/markup-compatibility/2006">
          <mc:Choice Requires="x14">
            <control shapeId="1500" r:id="rId101" name="Check Box 476">
              <controlPr defaultSize="0" autoFill="0" autoLine="0" autoPict="0">
                <anchor moveWithCells="1">
                  <from>
                    <xdr:col>9</xdr:col>
                    <xdr:colOff>571500</xdr:colOff>
                    <xdr:row>16</xdr:row>
                    <xdr:rowOff>106680</xdr:rowOff>
                  </from>
                  <to>
                    <xdr:col>10</xdr:col>
                    <xdr:colOff>144780</xdr:colOff>
                    <xdr:row>17</xdr:row>
                    <xdr:rowOff>22860</xdr:rowOff>
                  </to>
                </anchor>
              </controlPr>
            </control>
          </mc:Choice>
        </mc:AlternateContent>
        <mc:AlternateContent xmlns:mc="http://schemas.openxmlformats.org/markup-compatibility/2006">
          <mc:Choice Requires="x14">
            <control shapeId="1501" r:id="rId102" name="Check Box 477">
              <controlPr defaultSize="0" autoFill="0" autoLine="0" autoPict="0">
                <anchor moveWithCells="1">
                  <from>
                    <xdr:col>10</xdr:col>
                    <xdr:colOff>106680</xdr:colOff>
                    <xdr:row>16</xdr:row>
                    <xdr:rowOff>114300</xdr:rowOff>
                  </from>
                  <to>
                    <xdr:col>11</xdr:col>
                    <xdr:colOff>182880</xdr:colOff>
                    <xdr:row>17</xdr:row>
                    <xdr:rowOff>7620</xdr:rowOff>
                  </to>
                </anchor>
              </controlPr>
            </control>
          </mc:Choice>
        </mc:AlternateContent>
        <mc:AlternateContent xmlns:mc="http://schemas.openxmlformats.org/markup-compatibility/2006">
          <mc:Choice Requires="x14">
            <control shapeId="1502" r:id="rId103" name="Check Box 478">
              <controlPr defaultSize="0" autoFill="0" autoLine="0" autoPict="0">
                <anchor moveWithCells="1">
                  <from>
                    <xdr:col>11</xdr:col>
                    <xdr:colOff>182880</xdr:colOff>
                    <xdr:row>16</xdr:row>
                    <xdr:rowOff>106680</xdr:rowOff>
                  </from>
                  <to>
                    <xdr:col>12</xdr:col>
                    <xdr:colOff>198120</xdr:colOff>
                    <xdr:row>17</xdr:row>
                    <xdr:rowOff>38100</xdr:rowOff>
                  </to>
                </anchor>
              </controlPr>
            </control>
          </mc:Choice>
        </mc:AlternateContent>
        <mc:AlternateContent xmlns:mc="http://schemas.openxmlformats.org/markup-compatibility/2006">
          <mc:Choice Requires="x14">
            <control shapeId="1506" r:id="rId104" name="Check Box 482">
              <controlPr defaultSize="0" autoFill="0" autoLine="0" autoPict="0">
                <anchor moveWithCells="1">
                  <from>
                    <xdr:col>11</xdr:col>
                    <xdr:colOff>678180</xdr:colOff>
                    <xdr:row>16</xdr:row>
                    <xdr:rowOff>60960</xdr:rowOff>
                  </from>
                  <to>
                    <xdr:col>12</xdr:col>
                    <xdr:colOff>685800</xdr:colOff>
                    <xdr:row>17</xdr:row>
                    <xdr:rowOff>99060</xdr:rowOff>
                  </to>
                </anchor>
              </controlPr>
            </control>
          </mc:Choice>
        </mc:AlternateContent>
        <mc:AlternateContent xmlns:mc="http://schemas.openxmlformats.org/markup-compatibility/2006">
          <mc:Choice Requires="x14">
            <control shapeId="1507" r:id="rId105" name="Check Box 483">
              <controlPr defaultSize="0" autoFill="0" autoLine="0" autoPict="0">
                <anchor moveWithCells="1">
                  <from>
                    <xdr:col>12</xdr:col>
                    <xdr:colOff>609600</xdr:colOff>
                    <xdr:row>16</xdr:row>
                    <xdr:rowOff>99060</xdr:rowOff>
                  </from>
                  <to>
                    <xdr:col>13</xdr:col>
                    <xdr:colOff>769620</xdr:colOff>
                    <xdr:row>17</xdr:row>
                    <xdr:rowOff>45720</xdr:rowOff>
                  </to>
                </anchor>
              </controlPr>
            </control>
          </mc:Choice>
        </mc:AlternateContent>
        <mc:AlternateContent xmlns:mc="http://schemas.openxmlformats.org/markup-compatibility/2006">
          <mc:Choice Requires="x14">
            <control shapeId="1508" r:id="rId106" name="Check Box 484">
              <controlPr defaultSize="0" autoFill="0" autoLine="0" autoPict="0">
                <anchor moveWithCells="1">
                  <from>
                    <xdr:col>13</xdr:col>
                    <xdr:colOff>365760</xdr:colOff>
                    <xdr:row>16</xdr:row>
                    <xdr:rowOff>137160</xdr:rowOff>
                  </from>
                  <to>
                    <xdr:col>13</xdr:col>
                    <xdr:colOff>1059180</xdr:colOff>
                    <xdr:row>17</xdr:row>
                    <xdr:rowOff>22860</xdr:rowOff>
                  </to>
                </anchor>
              </controlPr>
            </control>
          </mc:Choice>
        </mc:AlternateContent>
        <mc:AlternateContent xmlns:mc="http://schemas.openxmlformats.org/markup-compatibility/2006">
          <mc:Choice Requires="x14">
            <control shapeId="1509" r:id="rId107" name="Check Box 485">
              <controlPr defaultSize="0" autoFill="0" autoLine="0" autoPict="0">
                <anchor moveWithCells="1">
                  <from>
                    <xdr:col>13</xdr:col>
                    <xdr:colOff>845820</xdr:colOff>
                    <xdr:row>16</xdr:row>
                    <xdr:rowOff>144780</xdr:rowOff>
                  </from>
                  <to>
                    <xdr:col>13</xdr:col>
                    <xdr:colOff>1866900</xdr:colOff>
                    <xdr:row>16</xdr:row>
                    <xdr:rowOff>335280</xdr:rowOff>
                  </to>
                </anchor>
              </controlPr>
            </control>
          </mc:Choice>
        </mc:AlternateContent>
        <mc:AlternateContent xmlns:mc="http://schemas.openxmlformats.org/markup-compatibility/2006">
          <mc:Choice Requires="x14">
            <control shapeId="1510" r:id="rId108" name="Check Box 486">
              <controlPr defaultSize="0" autoFill="0" autoLine="0" autoPict="0">
                <anchor moveWithCells="1">
                  <from>
                    <xdr:col>3</xdr:col>
                    <xdr:colOff>68580</xdr:colOff>
                    <xdr:row>60</xdr:row>
                    <xdr:rowOff>68580</xdr:rowOff>
                  </from>
                  <to>
                    <xdr:col>3</xdr:col>
                    <xdr:colOff>822960</xdr:colOff>
                    <xdr:row>61</xdr:row>
                    <xdr:rowOff>106680</xdr:rowOff>
                  </to>
                </anchor>
              </controlPr>
            </control>
          </mc:Choice>
        </mc:AlternateContent>
        <mc:AlternateContent xmlns:mc="http://schemas.openxmlformats.org/markup-compatibility/2006">
          <mc:Choice Requires="x14">
            <control shapeId="1511" r:id="rId109" name="Drop Down 487">
              <controlPr defaultSize="0" autoLine="0" autoPict="0">
                <anchor moveWithCells="1">
                  <from>
                    <xdr:col>1</xdr:col>
                    <xdr:colOff>83820</xdr:colOff>
                    <xdr:row>85</xdr:row>
                    <xdr:rowOff>198120</xdr:rowOff>
                  </from>
                  <to>
                    <xdr:col>2</xdr:col>
                    <xdr:colOff>7620</xdr:colOff>
                    <xdr:row>87</xdr:row>
                    <xdr:rowOff>60960</xdr:rowOff>
                  </to>
                </anchor>
              </controlPr>
            </control>
          </mc:Choice>
        </mc:AlternateContent>
        <mc:AlternateContent xmlns:mc="http://schemas.openxmlformats.org/markup-compatibility/2006">
          <mc:Choice Requires="x14">
            <control shapeId="1513" r:id="rId110" name="Drop Down 489">
              <controlPr defaultSize="0" autoLine="0" autoPict="0">
                <anchor moveWithCells="1">
                  <from>
                    <xdr:col>1</xdr:col>
                    <xdr:colOff>22860</xdr:colOff>
                    <xdr:row>89</xdr:row>
                    <xdr:rowOff>0</xdr:rowOff>
                  </from>
                  <to>
                    <xdr:col>1</xdr:col>
                    <xdr:colOff>1097280</xdr:colOff>
                    <xdr:row>89</xdr:row>
                    <xdr:rowOff>251460</xdr:rowOff>
                  </to>
                </anchor>
              </controlPr>
            </control>
          </mc:Choice>
        </mc:AlternateContent>
        <mc:AlternateContent xmlns:mc="http://schemas.openxmlformats.org/markup-compatibility/2006">
          <mc:Choice Requires="x14">
            <control shapeId="1514" r:id="rId111" name="Drop Down 490">
              <controlPr defaultSize="0" autoLine="0" autoPict="0">
                <anchor moveWithCells="1">
                  <from>
                    <xdr:col>1</xdr:col>
                    <xdr:colOff>60960</xdr:colOff>
                    <xdr:row>83</xdr:row>
                    <xdr:rowOff>7620</xdr:rowOff>
                  </from>
                  <to>
                    <xdr:col>1</xdr:col>
                    <xdr:colOff>1127760</xdr:colOff>
                    <xdr:row>84</xdr:row>
                    <xdr:rowOff>106680</xdr:rowOff>
                  </to>
                </anchor>
              </controlPr>
            </control>
          </mc:Choice>
        </mc:AlternateContent>
        <mc:AlternateContent xmlns:mc="http://schemas.openxmlformats.org/markup-compatibility/2006">
          <mc:Choice Requires="x14">
            <control shapeId="1515" r:id="rId112" name="Check Box 491">
              <controlPr defaultSize="0" autoFill="0" autoLine="0" autoPict="0">
                <anchor moveWithCells="1">
                  <from>
                    <xdr:col>2</xdr:col>
                    <xdr:colOff>160020</xdr:colOff>
                    <xdr:row>86</xdr:row>
                    <xdr:rowOff>7620</xdr:rowOff>
                  </from>
                  <to>
                    <xdr:col>2</xdr:col>
                    <xdr:colOff>1028700</xdr:colOff>
                    <xdr:row>88</xdr:row>
                    <xdr:rowOff>0</xdr:rowOff>
                  </to>
                </anchor>
              </controlPr>
            </control>
          </mc:Choice>
        </mc:AlternateContent>
        <mc:AlternateContent xmlns:mc="http://schemas.openxmlformats.org/markup-compatibility/2006">
          <mc:Choice Requires="x14">
            <control shapeId="1516" r:id="rId113" name="Check Box 492">
              <controlPr defaultSize="0" autoFill="0" autoLine="0" autoPict="0">
                <anchor moveWithCells="1">
                  <from>
                    <xdr:col>2</xdr:col>
                    <xdr:colOff>182880</xdr:colOff>
                    <xdr:row>88</xdr:row>
                    <xdr:rowOff>22860</xdr:rowOff>
                  </from>
                  <to>
                    <xdr:col>2</xdr:col>
                    <xdr:colOff>975360</xdr:colOff>
                    <xdr:row>89</xdr:row>
                    <xdr:rowOff>83820</xdr:rowOff>
                  </to>
                </anchor>
              </controlPr>
            </control>
          </mc:Choice>
        </mc:AlternateContent>
        <mc:AlternateContent xmlns:mc="http://schemas.openxmlformats.org/markup-compatibility/2006">
          <mc:Choice Requires="x14">
            <control shapeId="1518" r:id="rId114" name="Check Box 494">
              <controlPr defaultSize="0" autoFill="0" autoLine="0" autoPict="0">
                <anchor moveWithCells="1">
                  <from>
                    <xdr:col>2</xdr:col>
                    <xdr:colOff>182880</xdr:colOff>
                    <xdr:row>89</xdr:row>
                    <xdr:rowOff>76200</xdr:rowOff>
                  </from>
                  <to>
                    <xdr:col>2</xdr:col>
                    <xdr:colOff>944880</xdr:colOff>
                    <xdr:row>90</xdr:row>
                    <xdr:rowOff>7620</xdr:rowOff>
                  </to>
                </anchor>
              </controlPr>
            </control>
          </mc:Choice>
        </mc:AlternateContent>
        <mc:AlternateContent xmlns:mc="http://schemas.openxmlformats.org/markup-compatibility/2006">
          <mc:Choice Requires="x14">
            <control shapeId="1519" r:id="rId115" name="Check Box 495">
              <controlPr defaultSize="0" autoFill="0" autoLine="0" autoPict="0">
                <anchor moveWithCells="1">
                  <from>
                    <xdr:col>3</xdr:col>
                    <xdr:colOff>76200</xdr:colOff>
                    <xdr:row>89</xdr:row>
                    <xdr:rowOff>83820</xdr:rowOff>
                  </from>
                  <to>
                    <xdr:col>3</xdr:col>
                    <xdr:colOff>876300</xdr:colOff>
                    <xdr:row>90</xdr:row>
                    <xdr:rowOff>38100</xdr:rowOff>
                  </to>
                </anchor>
              </controlPr>
            </control>
          </mc:Choice>
        </mc:AlternateContent>
        <mc:AlternateContent xmlns:mc="http://schemas.openxmlformats.org/markup-compatibility/2006">
          <mc:Choice Requires="x14">
            <control shapeId="1520" r:id="rId116" name="Check Box 496">
              <controlPr defaultSize="0" autoFill="0" autoLine="0" autoPict="0">
                <anchor moveWithCells="1">
                  <from>
                    <xdr:col>3</xdr:col>
                    <xdr:colOff>83820</xdr:colOff>
                    <xdr:row>91</xdr:row>
                    <xdr:rowOff>38100</xdr:rowOff>
                  </from>
                  <to>
                    <xdr:col>3</xdr:col>
                    <xdr:colOff>883920</xdr:colOff>
                    <xdr:row>92</xdr:row>
                    <xdr:rowOff>121920</xdr:rowOff>
                  </to>
                </anchor>
              </controlPr>
            </control>
          </mc:Choice>
        </mc:AlternateContent>
        <mc:AlternateContent xmlns:mc="http://schemas.openxmlformats.org/markup-compatibility/2006">
          <mc:Choice Requires="x14">
            <control shapeId="1521" r:id="rId117" name="Check Box 497">
              <controlPr defaultSize="0" autoFill="0" autoLine="0" autoPict="0">
                <anchor moveWithCells="1">
                  <from>
                    <xdr:col>2</xdr:col>
                    <xdr:colOff>182880</xdr:colOff>
                    <xdr:row>90</xdr:row>
                    <xdr:rowOff>152400</xdr:rowOff>
                  </from>
                  <to>
                    <xdr:col>2</xdr:col>
                    <xdr:colOff>944880</xdr:colOff>
                    <xdr:row>92</xdr:row>
                    <xdr:rowOff>60960</xdr:rowOff>
                  </to>
                </anchor>
              </controlPr>
            </control>
          </mc:Choice>
        </mc:AlternateContent>
        <mc:AlternateContent xmlns:mc="http://schemas.openxmlformats.org/markup-compatibility/2006">
          <mc:Choice Requires="x14">
            <control shapeId="1522" r:id="rId118" name="Check Box 498">
              <controlPr defaultSize="0" autoFill="0" autoLine="0" autoPict="0">
                <anchor moveWithCells="1">
                  <from>
                    <xdr:col>2</xdr:col>
                    <xdr:colOff>182880</xdr:colOff>
                    <xdr:row>89</xdr:row>
                    <xdr:rowOff>274320</xdr:rowOff>
                  </from>
                  <to>
                    <xdr:col>2</xdr:col>
                    <xdr:colOff>944880</xdr:colOff>
                    <xdr:row>91</xdr:row>
                    <xdr:rowOff>30480</xdr:rowOff>
                  </to>
                </anchor>
              </controlPr>
            </control>
          </mc:Choice>
        </mc:AlternateContent>
        <mc:AlternateContent xmlns:mc="http://schemas.openxmlformats.org/markup-compatibility/2006">
          <mc:Choice Requires="x14">
            <control shapeId="1523" r:id="rId119" name="Check Box 499">
              <controlPr defaultSize="0" autoFill="0" autoLine="0" autoPict="0">
                <anchor moveWithCells="1">
                  <from>
                    <xdr:col>3</xdr:col>
                    <xdr:colOff>83820</xdr:colOff>
                    <xdr:row>90</xdr:row>
                    <xdr:rowOff>22860</xdr:rowOff>
                  </from>
                  <to>
                    <xdr:col>3</xdr:col>
                    <xdr:colOff>845820</xdr:colOff>
                    <xdr:row>91</xdr:row>
                    <xdr:rowOff>68580</xdr:rowOff>
                  </to>
                </anchor>
              </controlPr>
            </control>
          </mc:Choice>
        </mc:AlternateContent>
        <mc:AlternateContent xmlns:mc="http://schemas.openxmlformats.org/markup-compatibility/2006">
          <mc:Choice Requires="x14">
            <control shapeId="1525" r:id="rId120" name="Drop Down 501">
              <controlPr defaultSize="0" autoLine="0" autoPict="0">
                <anchor moveWithCells="1">
                  <from>
                    <xdr:col>3</xdr:col>
                    <xdr:colOff>792480</xdr:colOff>
                    <xdr:row>82</xdr:row>
                    <xdr:rowOff>190500</xdr:rowOff>
                  </from>
                  <to>
                    <xdr:col>4</xdr:col>
                    <xdr:colOff>403860</xdr:colOff>
                    <xdr:row>84</xdr:row>
                    <xdr:rowOff>22860</xdr:rowOff>
                  </to>
                </anchor>
              </controlPr>
            </control>
          </mc:Choice>
        </mc:AlternateContent>
        <mc:AlternateContent xmlns:mc="http://schemas.openxmlformats.org/markup-compatibility/2006">
          <mc:Choice Requires="x14">
            <control shapeId="1526" r:id="rId121" name="Drop Down 502">
              <controlPr defaultSize="0" autoLine="0" autoPict="0">
                <anchor moveWithCells="1">
                  <from>
                    <xdr:col>2</xdr:col>
                    <xdr:colOff>144780</xdr:colOff>
                    <xdr:row>83</xdr:row>
                    <xdr:rowOff>7620</xdr:rowOff>
                  </from>
                  <to>
                    <xdr:col>3</xdr:col>
                    <xdr:colOff>175260</xdr:colOff>
                    <xdr:row>84</xdr:row>
                    <xdr:rowOff>45720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570DA-E26E-4919-AC68-72FB5BF3980C}">
  <sheetPr codeName="Sheet25"/>
  <dimension ref="A1:V69"/>
  <sheetViews>
    <sheetView zoomScaleNormal="100" workbookViewId="0">
      <selection activeCell="D37" sqref="D37"/>
    </sheetView>
  </sheetViews>
  <sheetFormatPr defaultRowHeight="14.4" x14ac:dyDescent="0.3"/>
  <cols>
    <col min="2" max="2" width="17.44140625" customWidth="1"/>
    <col min="3" max="3" width="14.109375" customWidth="1"/>
    <col min="4" max="4" width="18.88671875" customWidth="1"/>
    <col min="10" max="10" width="10.5546875" customWidth="1"/>
    <col min="11" max="11" width="20.44140625" customWidth="1"/>
    <col min="12" max="12" width="19.5546875" customWidth="1"/>
    <col min="13" max="13" width="13.6640625" customWidth="1"/>
    <col min="16" max="16" width="16.33203125" customWidth="1"/>
    <col min="19" max="19" width="15.6640625" customWidth="1"/>
    <col min="20" max="20" width="11.109375" bestFit="1" customWidth="1"/>
  </cols>
  <sheetData>
    <row r="1" spans="2:19" x14ac:dyDescent="0.3">
      <c r="J1" t="s">
        <v>845</v>
      </c>
      <c r="M1" s="505" t="s">
        <v>4</v>
      </c>
      <c r="P1" s="505" t="s">
        <v>5</v>
      </c>
      <c r="S1" s="505" t="s">
        <v>6</v>
      </c>
    </row>
    <row r="2" spans="2:19" x14ac:dyDescent="0.3">
      <c r="J2">
        <v>10</v>
      </c>
      <c r="M2" s="505">
        <f>VLOOKUP(G4,Table128110[],3,FALSE)+VLOOKUP(G8,Table11890[],3,FALSE)+N9+N24+Q39+D47</f>
        <v>74.989999999999995</v>
      </c>
      <c r="P2" s="505">
        <f>VLOOKUP(G4,Table128110116[],3,FALSE)+VLOOKUP(G8,Table11890[],3,FALSE)+N9+N24+Q39+D47</f>
        <v>74.989999999999995</v>
      </c>
      <c r="S2" s="505">
        <f>VLOOKUP(G16,Table119107[],3,FALSE)+J2+O19+N35+Q48</f>
        <v>10</v>
      </c>
    </row>
    <row r="3" spans="2:19" x14ac:dyDescent="0.3">
      <c r="G3" t="s">
        <v>842</v>
      </c>
    </row>
    <row r="4" spans="2:19" x14ac:dyDescent="0.3">
      <c r="G4">
        <v>1</v>
      </c>
    </row>
    <row r="5" spans="2:19" x14ac:dyDescent="0.3">
      <c r="C5" t="s">
        <v>871</v>
      </c>
    </row>
    <row r="6" spans="2:19" x14ac:dyDescent="0.3">
      <c r="B6" s="504" t="s">
        <v>644</v>
      </c>
      <c r="C6" s="504" t="s">
        <v>13</v>
      </c>
      <c r="D6" s="504" t="s">
        <v>68</v>
      </c>
      <c r="E6" s="506"/>
    </row>
    <row r="7" spans="2:19" x14ac:dyDescent="0.3">
      <c r="B7" s="505">
        <v>1</v>
      </c>
      <c r="C7" s="523" t="s">
        <v>280</v>
      </c>
      <c r="D7" s="508">
        <v>0</v>
      </c>
      <c r="G7" t="s">
        <v>843</v>
      </c>
    </row>
    <row r="8" spans="2:19" ht="15" thickBot="1" x14ac:dyDescent="0.35">
      <c r="B8" s="505">
        <v>2</v>
      </c>
      <c r="C8" s="523" t="s">
        <v>974</v>
      </c>
      <c r="D8" s="507">
        <v>55</v>
      </c>
      <c r="G8">
        <v>1</v>
      </c>
    </row>
    <row r="9" spans="2:19" x14ac:dyDescent="0.3">
      <c r="B9" s="505">
        <v>3</v>
      </c>
      <c r="C9" s="523" t="s">
        <v>867</v>
      </c>
      <c r="D9" s="507">
        <v>45</v>
      </c>
      <c r="J9" s="590"/>
      <c r="K9" s="591"/>
      <c r="L9" s="591"/>
      <c r="M9" s="591"/>
      <c r="N9" s="591">
        <f>VLOOKUP(N10-1,Table633[#All],3,FALSE)+O16+P16</f>
        <v>0</v>
      </c>
      <c r="O9" s="591">
        <f>N9</f>
        <v>0</v>
      </c>
      <c r="P9" s="592"/>
    </row>
    <row r="10" spans="2:19" x14ac:dyDescent="0.3">
      <c r="B10" s="505">
        <v>4</v>
      </c>
      <c r="C10" s="523" t="s">
        <v>863</v>
      </c>
      <c r="D10" s="507">
        <v>55</v>
      </c>
      <c r="J10" s="593"/>
      <c r="K10" s="526"/>
      <c r="L10" s="526" t="s">
        <v>208</v>
      </c>
      <c r="M10" s="526"/>
      <c r="N10" s="526">
        <v>1</v>
      </c>
      <c r="O10" s="526"/>
      <c r="P10" s="594"/>
    </row>
    <row r="11" spans="2:19" x14ac:dyDescent="0.3">
      <c r="B11" s="505">
        <v>5</v>
      </c>
      <c r="C11" s="523" t="s">
        <v>864</v>
      </c>
      <c r="D11" s="507">
        <v>70</v>
      </c>
      <c r="J11" s="593"/>
      <c r="K11" s="526" t="s">
        <v>44</v>
      </c>
      <c r="L11" s="526" t="s">
        <v>59</v>
      </c>
      <c r="M11" s="526" t="s">
        <v>159</v>
      </c>
      <c r="N11" s="526"/>
      <c r="O11" s="526"/>
      <c r="P11" s="594"/>
    </row>
    <row r="12" spans="2:19" x14ac:dyDescent="0.3">
      <c r="B12" s="505"/>
      <c r="C12" s="505"/>
      <c r="D12" s="505"/>
      <c r="J12" s="593"/>
      <c r="K12" s="526">
        <v>0</v>
      </c>
      <c r="L12" s="527" t="s">
        <v>280</v>
      </c>
      <c r="M12" s="528">
        <v>0</v>
      </c>
      <c r="N12" s="526"/>
      <c r="O12" s="526"/>
      <c r="P12" s="594"/>
    </row>
    <row r="13" spans="2:19" x14ac:dyDescent="0.3">
      <c r="B13" s="505"/>
      <c r="C13" s="505"/>
      <c r="D13" s="505"/>
      <c r="J13" s="593"/>
      <c r="K13" s="526">
        <v>1</v>
      </c>
      <c r="L13" s="527" t="s">
        <v>861</v>
      </c>
      <c r="M13" s="528">
        <v>49.99</v>
      </c>
      <c r="N13" s="526"/>
      <c r="O13" s="526"/>
      <c r="P13" s="594"/>
    </row>
    <row r="14" spans="2:19" x14ac:dyDescent="0.3">
      <c r="B14" s="505" t="s">
        <v>644</v>
      </c>
      <c r="C14" s="505" t="s">
        <v>641</v>
      </c>
      <c r="D14" s="505" t="s">
        <v>44</v>
      </c>
      <c r="J14" s="593"/>
      <c r="K14" s="526">
        <v>2</v>
      </c>
      <c r="L14" s="527" t="s">
        <v>863</v>
      </c>
      <c r="M14" s="528">
        <v>59.99</v>
      </c>
      <c r="N14" s="526"/>
      <c r="O14" s="526" t="s">
        <v>284</v>
      </c>
      <c r="P14" s="594" t="s">
        <v>24</v>
      </c>
    </row>
    <row r="15" spans="2:19" x14ac:dyDescent="0.3">
      <c r="B15" s="505">
        <v>1</v>
      </c>
      <c r="C15" s="505" t="s">
        <v>446</v>
      </c>
      <c r="D15" s="507">
        <v>74.989999999999995</v>
      </c>
      <c r="G15" t="s">
        <v>844</v>
      </c>
      <c r="J15" s="593"/>
      <c r="K15" s="526">
        <v>3</v>
      </c>
      <c r="L15" s="527" t="s">
        <v>864</v>
      </c>
      <c r="M15" s="528">
        <v>79.989999999999995</v>
      </c>
      <c r="N15" s="526"/>
      <c r="O15" s="526" t="b">
        <v>0</v>
      </c>
      <c r="P15" s="594" t="b">
        <v>0</v>
      </c>
    </row>
    <row r="16" spans="2:19" x14ac:dyDescent="0.3">
      <c r="B16" s="505">
        <v>2</v>
      </c>
      <c r="C16" s="505" t="s">
        <v>447</v>
      </c>
      <c r="D16" s="507">
        <v>89.99</v>
      </c>
      <c r="G16">
        <v>1</v>
      </c>
      <c r="J16" s="593"/>
      <c r="K16" s="526"/>
      <c r="L16" s="527"/>
      <c r="M16" s="528"/>
      <c r="N16" s="526"/>
      <c r="O16" s="526">
        <f>IF(O15=TRUE,10,0)</f>
        <v>0</v>
      </c>
      <c r="P16" s="595">
        <f>IF(P15=TRUE,25,0)</f>
        <v>0</v>
      </c>
    </row>
    <row r="17" spans="1:16" x14ac:dyDescent="0.3">
      <c r="B17" s="505">
        <v>3</v>
      </c>
      <c r="C17" s="505" t="s">
        <v>11</v>
      </c>
      <c r="D17" s="507">
        <v>99.99</v>
      </c>
      <c r="J17" s="593"/>
      <c r="K17" s="526"/>
      <c r="L17" s="526"/>
      <c r="M17" s="526"/>
      <c r="N17" s="526"/>
      <c r="O17" s="526"/>
      <c r="P17" s="594"/>
    </row>
    <row r="18" spans="1:16" x14ac:dyDescent="0.3">
      <c r="B18" s="505">
        <v>4</v>
      </c>
      <c r="C18" s="505" t="s">
        <v>33</v>
      </c>
      <c r="D18" s="507">
        <v>144.99</v>
      </c>
      <c r="J18" s="593"/>
      <c r="K18" s="526"/>
      <c r="L18" s="526"/>
      <c r="M18" s="526"/>
      <c r="N18" s="526"/>
      <c r="O18" s="526" t="s">
        <v>189</v>
      </c>
      <c r="P18" s="594"/>
    </row>
    <row r="19" spans="1:16" ht="15" thickBot="1" x14ac:dyDescent="0.35">
      <c r="D19" s="507"/>
      <c r="J19" s="596"/>
      <c r="K19" s="597"/>
      <c r="L19" s="597"/>
      <c r="M19" s="597"/>
      <c r="N19" s="597"/>
      <c r="O19" s="597">
        <f>IF(N10&gt;1,84.99,0)</f>
        <v>0</v>
      </c>
      <c r="P19" s="598"/>
    </row>
    <row r="20" spans="1:16" x14ac:dyDescent="0.3">
      <c r="D20" s="507"/>
    </row>
    <row r="21" spans="1:16" x14ac:dyDescent="0.3">
      <c r="D21" s="507"/>
    </row>
    <row r="23" spans="1:16" ht="15" thickBot="1" x14ac:dyDescent="0.35"/>
    <row r="24" spans="1:16" x14ac:dyDescent="0.3">
      <c r="J24" s="590"/>
      <c r="K24" s="591"/>
      <c r="L24" s="591"/>
      <c r="M24" s="591"/>
      <c r="N24" s="591">
        <f>VLOOKUP(N25-1,Table546[],3,FALSE)+O30+P30</f>
        <v>0</v>
      </c>
      <c r="O24" s="591">
        <f>IF(N24=1,0,(N24+10))</f>
        <v>10</v>
      </c>
      <c r="P24" s="592"/>
    </row>
    <row r="25" spans="1:16" x14ac:dyDescent="0.3">
      <c r="A25" t="s">
        <v>840</v>
      </c>
      <c r="B25" s="504" t="s">
        <v>644</v>
      </c>
      <c r="C25" s="504" t="s">
        <v>24</v>
      </c>
      <c r="D25" s="504" t="s">
        <v>68</v>
      </c>
      <c r="J25" s="593"/>
      <c r="K25" s="526"/>
      <c r="L25" s="526" t="s">
        <v>37</v>
      </c>
      <c r="M25" s="526"/>
      <c r="N25" s="526">
        <v>1</v>
      </c>
      <c r="O25" s="526"/>
      <c r="P25" s="594"/>
    </row>
    <row r="26" spans="1:16" x14ac:dyDescent="0.3">
      <c r="B26" s="505">
        <v>1</v>
      </c>
      <c r="C26" s="531">
        <v>1</v>
      </c>
      <c r="D26" s="508">
        <v>0</v>
      </c>
      <c r="J26" s="593"/>
      <c r="K26" s="526" t="s">
        <v>44</v>
      </c>
      <c r="L26" s="526" t="s">
        <v>59</v>
      </c>
      <c r="M26" s="526" t="s">
        <v>159</v>
      </c>
      <c r="N26" s="526"/>
      <c r="O26" s="526"/>
      <c r="P26" s="594"/>
    </row>
    <row r="27" spans="1:16" x14ac:dyDescent="0.3">
      <c r="B27" s="505">
        <v>2</v>
      </c>
      <c r="C27" s="531">
        <v>2</v>
      </c>
      <c r="D27" s="507">
        <v>120</v>
      </c>
      <c r="J27" s="593"/>
      <c r="K27" s="526">
        <v>0</v>
      </c>
      <c r="L27" s="527" t="s">
        <v>280</v>
      </c>
      <c r="M27" s="526"/>
      <c r="N27" s="526"/>
      <c r="O27" s="526"/>
      <c r="P27" s="594"/>
    </row>
    <row r="28" spans="1:16" x14ac:dyDescent="0.3">
      <c r="B28" s="505">
        <v>3</v>
      </c>
      <c r="C28" s="531">
        <v>3</v>
      </c>
      <c r="D28" s="507">
        <v>240</v>
      </c>
      <c r="J28" s="593"/>
      <c r="K28" s="526">
        <v>1</v>
      </c>
      <c r="L28" s="529" t="s">
        <v>865</v>
      </c>
      <c r="M28" s="530">
        <v>24.99</v>
      </c>
      <c r="N28" s="526"/>
      <c r="O28" s="526" t="s">
        <v>284</v>
      </c>
      <c r="P28" s="594" t="s">
        <v>24</v>
      </c>
    </row>
    <row r="29" spans="1:16" x14ac:dyDescent="0.3">
      <c r="J29" s="593"/>
      <c r="K29" s="526">
        <v>2</v>
      </c>
      <c r="L29" s="527" t="s">
        <v>862</v>
      </c>
      <c r="M29" s="530">
        <v>34.99</v>
      </c>
      <c r="N29" s="526"/>
      <c r="O29" s="526" t="b">
        <v>0</v>
      </c>
      <c r="P29" s="594" t="b">
        <v>0</v>
      </c>
    </row>
    <row r="30" spans="1:16" x14ac:dyDescent="0.3">
      <c r="J30" s="593"/>
      <c r="K30" s="526">
        <v>3</v>
      </c>
      <c r="L30" s="527" t="s">
        <v>866</v>
      </c>
      <c r="M30" s="530">
        <v>49.99</v>
      </c>
      <c r="N30" s="526"/>
      <c r="O30" s="526">
        <f>IF(O29=TRUE,10,0)</f>
        <v>0</v>
      </c>
      <c r="P30" s="594">
        <f>IF(P29=TRUE,10,0)</f>
        <v>0</v>
      </c>
    </row>
    <row r="31" spans="1:16" x14ac:dyDescent="0.3">
      <c r="J31" s="593"/>
      <c r="K31" s="526">
        <v>4</v>
      </c>
      <c r="L31" s="527" t="s">
        <v>867</v>
      </c>
      <c r="M31" s="530">
        <v>64.989999999999995</v>
      </c>
      <c r="N31" s="526"/>
      <c r="O31" s="526"/>
      <c r="P31" s="594"/>
    </row>
    <row r="32" spans="1:16" x14ac:dyDescent="0.3">
      <c r="B32" s="505" t="s">
        <v>644</v>
      </c>
      <c r="C32" s="505" t="s">
        <v>641</v>
      </c>
      <c r="D32" t="s">
        <v>44</v>
      </c>
      <c r="E32" t="s">
        <v>59</v>
      </c>
      <c r="J32" s="593"/>
      <c r="K32" s="526">
        <v>5</v>
      </c>
      <c r="L32" s="527" t="s">
        <v>868</v>
      </c>
      <c r="M32" s="530">
        <v>74.989999999999995</v>
      </c>
      <c r="N32" s="526"/>
      <c r="O32" s="526"/>
      <c r="P32" s="594"/>
    </row>
    <row r="33" spans="2:17" x14ac:dyDescent="0.3">
      <c r="B33" s="505">
        <v>1</v>
      </c>
      <c r="C33" s="505" t="s">
        <v>446</v>
      </c>
      <c r="D33">
        <v>74.989999999999995</v>
      </c>
      <c r="E33">
        <v>93</v>
      </c>
      <c r="J33" s="593"/>
      <c r="K33" s="526">
        <v>6</v>
      </c>
      <c r="L33" s="527" t="s">
        <v>864</v>
      </c>
      <c r="M33" s="526">
        <v>84.99</v>
      </c>
      <c r="N33" s="526"/>
      <c r="O33" s="526"/>
      <c r="P33" s="594"/>
    </row>
    <row r="34" spans="2:17" x14ac:dyDescent="0.3">
      <c r="B34" s="505">
        <v>2</v>
      </c>
      <c r="C34" s="505" t="s">
        <v>447</v>
      </c>
      <c r="D34">
        <v>89.99</v>
      </c>
      <c r="E34">
        <v>110</v>
      </c>
      <c r="J34" s="593"/>
      <c r="K34" s="526"/>
      <c r="L34" s="526"/>
      <c r="M34" s="526"/>
      <c r="N34" s="526" t="s">
        <v>189</v>
      </c>
      <c r="O34" s="526"/>
      <c r="P34" s="594"/>
    </row>
    <row r="35" spans="2:17" ht="15" thickBot="1" x14ac:dyDescent="0.35">
      <c r="B35" s="505">
        <v>3</v>
      </c>
      <c r="C35" s="505" t="s">
        <v>11</v>
      </c>
      <c r="D35" s="505">
        <v>99.99</v>
      </c>
      <c r="E35">
        <v>135</v>
      </c>
      <c r="J35" s="596"/>
      <c r="K35" s="597"/>
      <c r="L35" s="597"/>
      <c r="M35" s="597"/>
      <c r="N35" s="597">
        <f>IF(N25&gt;1,89.99,0)</f>
        <v>0</v>
      </c>
      <c r="O35" s="597"/>
      <c r="P35" s="598"/>
    </row>
    <row r="36" spans="2:17" x14ac:dyDescent="0.3">
      <c r="B36">
        <v>4</v>
      </c>
      <c r="C36" t="s">
        <v>33</v>
      </c>
      <c r="D36">
        <v>144.99</v>
      </c>
      <c r="E36">
        <v>183</v>
      </c>
    </row>
    <row r="38" spans="2:17" ht="15" thickBot="1" x14ac:dyDescent="0.35"/>
    <row r="39" spans="2:17" x14ac:dyDescent="0.3">
      <c r="J39" s="590"/>
      <c r="K39" s="591"/>
      <c r="L39" s="591"/>
      <c r="M39" s="591"/>
      <c r="N39" s="591"/>
      <c r="O39" s="591"/>
      <c r="P39" s="591">
        <v>1</v>
      </c>
      <c r="Q39" s="592">
        <f>VLOOKUP(P39,K42:M45,3,FALSE)+Q41+Q44</f>
        <v>0</v>
      </c>
    </row>
    <row r="40" spans="2:17" x14ac:dyDescent="0.3">
      <c r="J40" s="593"/>
      <c r="K40" s="526"/>
      <c r="L40" s="526" t="s">
        <v>498</v>
      </c>
      <c r="M40" s="526"/>
      <c r="N40" s="526"/>
      <c r="O40" s="526"/>
      <c r="P40" s="526"/>
      <c r="Q40" s="594"/>
    </row>
    <row r="41" spans="2:17" x14ac:dyDescent="0.3">
      <c r="J41" s="593"/>
      <c r="K41" s="526" t="s">
        <v>44</v>
      </c>
      <c r="L41" s="526" t="s">
        <v>59</v>
      </c>
      <c r="M41" s="526" t="s">
        <v>159</v>
      </c>
      <c r="N41" s="526"/>
      <c r="O41" s="526" t="s">
        <v>499</v>
      </c>
      <c r="P41" s="526" t="b">
        <v>0</v>
      </c>
      <c r="Q41" s="594">
        <f>IF(P41=TRUE,P42,0)</f>
        <v>0</v>
      </c>
    </row>
    <row r="42" spans="2:17" x14ac:dyDescent="0.3">
      <c r="J42" s="593"/>
      <c r="K42" s="526">
        <v>1</v>
      </c>
      <c r="L42" s="527" t="s">
        <v>280</v>
      </c>
      <c r="M42" s="526">
        <v>0</v>
      </c>
      <c r="N42" s="526"/>
      <c r="O42" s="526" t="s">
        <v>68</v>
      </c>
      <c r="P42" s="526">
        <v>19.989999999999998</v>
      </c>
      <c r="Q42" s="594"/>
    </row>
    <row r="43" spans="2:17" x14ac:dyDescent="0.3">
      <c r="J43" s="593"/>
      <c r="K43" s="526">
        <v>2</v>
      </c>
      <c r="L43" s="527" t="s">
        <v>866</v>
      </c>
      <c r="M43" s="526">
        <v>44.99</v>
      </c>
      <c r="N43" s="526"/>
      <c r="O43" s="526"/>
      <c r="P43" s="526"/>
      <c r="Q43" s="594"/>
    </row>
    <row r="44" spans="2:17" x14ac:dyDescent="0.3">
      <c r="J44" s="593"/>
      <c r="K44" s="526">
        <v>3</v>
      </c>
      <c r="L44" s="527" t="s">
        <v>869</v>
      </c>
      <c r="M44" s="526">
        <v>64.989999999999995</v>
      </c>
      <c r="N44" s="526"/>
      <c r="O44" s="526" t="s">
        <v>500</v>
      </c>
      <c r="P44" s="526" t="b">
        <v>0</v>
      </c>
      <c r="Q44" s="594">
        <f>IF(P44=TRUE,P45,0)</f>
        <v>0</v>
      </c>
    </row>
    <row r="45" spans="2:17" x14ac:dyDescent="0.3">
      <c r="D45" s="525" t="s">
        <v>341</v>
      </c>
      <c r="J45" s="593"/>
      <c r="K45" s="526">
        <v>4</v>
      </c>
      <c r="L45" s="527" t="s">
        <v>870</v>
      </c>
      <c r="M45" s="526">
        <v>109.99</v>
      </c>
      <c r="N45" s="526"/>
      <c r="O45" s="526" t="s">
        <v>68</v>
      </c>
      <c r="P45" s="526">
        <v>5</v>
      </c>
      <c r="Q45" s="594"/>
    </row>
    <row r="46" spans="2:17" x14ac:dyDescent="0.3">
      <c r="D46" s="525" t="b">
        <v>0</v>
      </c>
      <c r="J46" s="593"/>
      <c r="K46" s="526"/>
      <c r="L46" s="526"/>
      <c r="M46" s="526"/>
      <c r="N46" s="526"/>
      <c r="O46" s="526" t="s">
        <v>189</v>
      </c>
      <c r="P46" s="526">
        <v>10</v>
      </c>
      <c r="Q46" s="594"/>
    </row>
    <row r="47" spans="2:17" x14ac:dyDescent="0.3">
      <c r="D47" s="525">
        <f>IF(D46=TRUE,19.99,0)</f>
        <v>0</v>
      </c>
      <c r="J47" s="593"/>
      <c r="K47" s="526"/>
      <c r="L47" s="526"/>
      <c r="M47" s="526"/>
      <c r="N47" s="526"/>
      <c r="O47" s="526"/>
      <c r="P47" s="526"/>
      <c r="Q47" s="594"/>
    </row>
    <row r="48" spans="2:17" x14ac:dyDescent="0.3">
      <c r="J48" s="593"/>
      <c r="K48" s="526"/>
      <c r="L48" s="526"/>
      <c r="M48" s="526"/>
      <c r="N48" s="526"/>
      <c r="O48" s="526" t="s">
        <v>501</v>
      </c>
      <c r="P48" s="526">
        <f>IF(P44=TRUE, Charter!O8 + P46,Charter!O8)+P49</f>
        <v>44.99</v>
      </c>
      <c r="Q48" s="594">
        <f>IF(P39=1,0,P48)</f>
        <v>0</v>
      </c>
    </row>
    <row r="49" spans="10:22" ht="15" thickBot="1" x14ac:dyDescent="0.35">
      <c r="J49" s="596"/>
      <c r="K49" s="597"/>
      <c r="L49" s="597"/>
      <c r="M49" s="597"/>
      <c r="N49" s="597"/>
      <c r="O49" s="597"/>
      <c r="P49" s="597">
        <f>IF(P39=4,155,0)</f>
        <v>0</v>
      </c>
      <c r="Q49" s="598"/>
    </row>
    <row r="62" spans="10:22" x14ac:dyDescent="0.3">
      <c r="V62" s="522"/>
    </row>
    <row r="63" spans="10:22" x14ac:dyDescent="0.3">
      <c r="V63" s="522"/>
    </row>
    <row r="64" spans="10:22" x14ac:dyDescent="0.3">
      <c r="V64" s="522"/>
    </row>
    <row r="65" spans="22:22" x14ac:dyDescent="0.3">
      <c r="V65" s="522"/>
    </row>
    <row r="66" spans="22:22" x14ac:dyDescent="0.3">
      <c r="V66" s="522"/>
    </row>
    <row r="67" spans="22:22" x14ac:dyDescent="0.3">
      <c r="V67" s="522"/>
    </row>
    <row r="68" spans="22:22" x14ac:dyDescent="0.3">
      <c r="V68" s="522"/>
    </row>
    <row r="69" spans="22:22" x14ac:dyDescent="0.3">
      <c r="V69" s="522"/>
    </row>
  </sheetData>
  <phoneticPr fontId="64" type="noConversion"/>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E Rates</vt:lpstr>
      <vt:lpstr>Gas Rates</vt:lpstr>
      <vt:lpstr>Sheet1</vt:lpstr>
      <vt:lpstr>Other REP Options</vt:lpstr>
      <vt:lpstr>Frontier Script</vt:lpstr>
      <vt:lpstr>Cox</vt:lpstr>
      <vt:lpstr>Exede</vt:lpstr>
      <vt:lpstr>Pricing Sheet</vt:lpstr>
      <vt:lpstr>ATTTV</vt:lpstr>
      <vt:lpstr>CenturyLink</vt:lpstr>
      <vt:lpstr>Frontier</vt:lpstr>
      <vt:lpstr>Directv</vt:lpstr>
      <vt:lpstr>ATT</vt:lpstr>
      <vt:lpstr>Comcast</vt:lpstr>
      <vt:lpstr>SuddenLink</vt:lpstr>
      <vt:lpstr>Charter</vt:lpstr>
      <vt:lpstr>Rise Broadband</vt:lpstr>
      <vt:lpstr>Dish</vt:lpstr>
      <vt:lpstr>Mobility</vt:lpstr>
      <vt:lpstr>Security</vt:lpstr>
      <vt:lpstr>Sheet2</vt:lpstr>
      <vt:lpstr>Sheet3</vt:lpstr>
      <vt:lpstr>Protect America</vt:lpstr>
      <vt:lpstr>Nest+Eero</vt:lpstr>
      <vt:lpstr>Referral Services</vt:lpstr>
      <vt:lpstr>Links</vt:lpstr>
      <vt:lpstr>HughesNet</vt:lpstr>
      <vt:lpstr>TWC</vt:lpstr>
      <vt:lpstr>Grande</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ryan.king</dc:creator>
  <cp:lastModifiedBy>emerald_zbook</cp:lastModifiedBy>
  <cp:lastPrinted>2019-08-19T15:41:33Z</cp:lastPrinted>
  <dcterms:created xsi:type="dcterms:W3CDTF">2011-10-19T16:16:29Z</dcterms:created>
  <dcterms:modified xsi:type="dcterms:W3CDTF">2021-05-09T00:16:04Z</dcterms:modified>
</cp:coreProperties>
</file>