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Nama Barang</t>
        </is>
      </c>
      <c r="B1" s="1" t="inlineStr">
        <is>
          <t>Merk</t>
        </is>
      </c>
      <c r="C1" s="1" t="inlineStr">
        <is>
          <t>Diskon</t>
        </is>
      </c>
      <c r="D1" s="1" t="inlineStr">
        <is>
          <t>Harga</t>
        </is>
      </c>
      <c r="E1" s="1" t="inlineStr">
        <is>
          <t>Harga Sebelum Diskon</t>
        </is>
      </c>
      <c r="F1" s="1" t="inlineStr">
        <is>
          <t>Harga Min</t>
        </is>
      </c>
      <c r="G1" s="1" t="inlineStr">
        <is>
          <t>Harga Min Sebelum Diskon</t>
        </is>
      </c>
      <c r="H1" s="1" t="inlineStr">
        <is>
          <t>Harga Max</t>
        </is>
      </c>
      <c r="I1" s="1" t="inlineStr">
        <is>
          <t>Harga Max Sebelum Diskon</t>
        </is>
      </c>
      <c r="J1" s="1" t="inlineStr">
        <is>
          <t>Gratis Ongkir</t>
        </is>
      </c>
      <c r="K1" s="1" t="inlineStr">
        <is>
          <t>Toko</t>
        </is>
      </c>
      <c r="L1" s="1" t="inlineStr">
        <is>
          <t>Lokasi</t>
        </is>
      </c>
      <c r="M1" s="1" t="inlineStr">
        <is>
          <t>Item ID</t>
        </is>
      </c>
      <c r="N1" s="1" t="inlineStr">
        <is>
          <t>Toko ID</t>
        </is>
      </c>
      <c r="O1" s="1" t="inlineStr">
        <is>
          <t>Link</t>
        </is>
      </c>
      <c r="P1" s="1" t="inlineStr">
        <is>
          <t>Terjual</t>
        </is>
      </c>
      <c r="Q1" s="1" t="inlineStr">
        <is>
          <t>Stock</t>
        </is>
      </c>
      <c r="R1" s="1" t="inlineStr">
        <is>
          <t>Rating</t>
        </is>
      </c>
      <c r="S1" s="1" t="inlineStr">
        <is>
          <t>Bintang 1</t>
        </is>
      </c>
      <c r="T1" s="1" t="inlineStr">
        <is>
          <t>Bintang 2</t>
        </is>
      </c>
      <c r="U1" s="1" t="inlineStr">
        <is>
          <t>Bintang 3</t>
        </is>
      </c>
      <c r="V1" s="1" t="inlineStr">
        <is>
          <t>Bintang 4</t>
        </is>
      </c>
      <c r="W1" s="1" t="inlineStr">
        <is>
          <t>Bintang 5</t>
        </is>
      </c>
    </row>
    <row r="2">
      <c r="A2" t="inlineStr">
        <is>
          <t>Vaseline Healthy Bright Gluta Hyaluron Niacinamide Serum UV Lotion Flawless Bright 200ml</t>
        </is>
      </c>
      <c r="B2" t="inlineStr"/>
      <c r="C2" t="inlineStr">
        <is>
          <t>5%</t>
        </is>
      </c>
      <c r="D2" t="n">
        <v>53500</v>
      </c>
      <c r="E2" t="n">
        <v>56500</v>
      </c>
      <c r="F2" t="n">
        <v>53500</v>
      </c>
      <c r="G2" t="n">
        <v>56500</v>
      </c>
      <c r="H2" t="n">
        <v>53500</v>
      </c>
      <c r="I2" t="n">
        <v>56500</v>
      </c>
      <c r="J2" t="b">
        <v>0</v>
      </c>
      <c r="K2" t="inlineStr">
        <is>
          <t>Unilever Indonesia Official Shop</t>
        </is>
      </c>
      <c r="L2" t="inlineStr">
        <is>
          <t>KOTA BEKASI</t>
        </is>
      </c>
      <c r="M2" t="n">
        <v>15304070878</v>
      </c>
      <c r="N2" t="n">
        <v>14318452</v>
      </c>
      <c r="O2">
        <f>HYPERLINK("https://shopee.co.id/api/v4/item/get?itemid=15304070878&amp;shopid=14318452", "Vaseline Healthy Bright Gluta Hyaluron Niacinamide Serum UV Lotion Flawless Bright 200ml")</f>
        <v/>
      </c>
      <c r="P2" t="n">
        <v>20584</v>
      </c>
      <c r="Q2" t="n">
        <v>26050</v>
      </c>
      <c r="R2" t="n">
        <v>4.898628764635903</v>
      </c>
      <c r="S2" t="n">
        <v>206</v>
      </c>
      <c r="T2" t="n">
        <v>170</v>
      </c>
      <c r="U2" t="n">
        <v>714</v>
      </c>
      <c r="V2" t="n">
        <v>5457</v>
      </c>
      <c r="W2" t="n">
        <v>73495</v>
      </c>
    </row>
    <row r="3">
      <c r="A3" t="inlineStr">
        <is>
          <t>Pepsodent Pasta Gigi Pencegah Gigi Berlubang 2x225g Merdeka Valuepack</t>
        </is>
      </c>
      <c r="B3" t="inlineStr"/>
      <c r="C3" t="inlineStr">
        <is>
          <t>8%</t>
        </is>
      </c>
      <c r="D3" t="n">
        <v>20600</v>
      </c>
      <c r="E3" t="n">
        <v>22500</v>
      </c>
      <c r="F3" t="n">
        <v>20600</v>
      </c>
      <c r="G3" t="n">
        <v>22500</v>
      </c>
      <c r="H3" t="n">
        <v>20600</v>
      </c>
      <c r="I3" t="n">
        <v>22500</v>
      </c>
      <c r="J3" t="b">
        <v>1</v>
      </c>
      <c r="K3" t="inlineStr">
        <is>
          <t>Unilever Indonesia Official Shop</t>
        </is>
      </c>
      <c r="L3" t="inlineStr">
        <is>
          <t>KAB. BANYUASIN</t>
        </is>
      </c>
      <c r="M3" t="n">
        <v>11516610247</v>
      </c>
      <c r="N3" t="n">
        <v>14318452</v>
      </c>
      <c r="O3">
        <f>HYPERLINK("https://shopee.co.id/api/v4/item/get?itemid=11516610247&amp;shopid=14318452", "Pepsodent Pasta Gigi Pencegah Gigi Berlubang 2x225g Merdeka Valuepack")</f>
        <v/>
      </c>
      <c r="P3" t="n">
        <v>16722</v>
      </c>
      <c r="Q3" t="n">
        <v>675</v>
      </c>
      <c r="R3" t="n">
        <v>4.906280071963516</v>
      </c>
      <c r="S3" t="n">
        <v>122</v>
      </c>
      <c r="T3" t="n">
        <v>68</v>
      </c>
      <c r="U3" t="n">
        <v>177</v>
      </c>
      <c r="V3" t="n">
        <v>1275</v>
      </c>
      <c r="W3" t="n">
        <v>22363</v>
      </c>
    </row>
    <row r="4">
      <c r="A4" t="inlineStr">
        <is>
          <t>Vaseline Lotion Healthy Bright UV Extra Brightening 400ml</t>
        </is>
      </c>
      <c r="B4" t="inlineStr">
        <is>
          <t>Vaseline</t>
        </is>
      </c>
      <c r="C4" t="inlineStr">
        <is>
          <t>13%</t>
        </is>
      </c>
      <c r="D4" t="n">
        <v>50900</v>
      </c>
      <c r="E4" t="n">
        <v>58400</v>
      </c>
      <c r="F4" t="n">
        <v>50900</v>
      </c>
      <c r="G4" t="n">
        <v>58400</v>
      </c>
      <c r="H4" t="n">
        <v>50900</v>
      </c>
      <c r="I4" t="n">
        <v>58400</v>
      </c>
      <c r="J4" t="b">
        <v>1</v>
      </c>
      <c r="K4" t="inlineStr">
        <is>
          <t>Unilever Indonesia Official Shop</t>
        </is>
      </c>
      <c r="L4" t="inlineStr">
        <is>
          <t>KOTA BEKASI</t>
        </is>
      </c>
      <c r="M4" t="n">
        <v>5560813690</v>
      </c>
      <c r="N4" t="n">
        <v>14318452</v>
      </c>
      <c r="O4">
        <f>HYPERLINK("https://shopee.co.id/api/v4/item/get?itemid=5560813690&amp;shopid=14318452", "Vaseline Lotion Healthy Bright UV Extra Brightening 400ml")</f>
        <v/>
      </c>
      <c r="P4" t="n">
        <v>8793</v>
      </c>
      <c r="Q4" t="n">
        <v>11124</v>
      </c>
      <c r="R4" t="n">
        <v>4.843660890546173</v>
      </c>
      <c r="S4" t="n">
        <v>420</v>
      </c>
      <c r="T4" t="n">
        <v>286</v>
      </c>
      <c r="U4" t="n">
        <v>999</v>
      </c>
      <c r="V4" t="n">
        <v>4072</v>
      </c>
      <c r="W4" t="n">
        <v>48947</v>
      </c>
    </row>
    <row r="5">
      <c r="A5" t="inlineStr">
        <is>
          <t>Vaseline Healthy Bright​ Gluta Hyaluron Niacinamide Serum Lotion Dewy Radiance 200Ml</t>
        </is>
      </c>
      <c r="B5" t="inlineStr"/>
      <c r="C5" t="inlineStr">
        <is>
          <t>5%</t>
        </is>
      </c>
      <c r="D5" t="n">
        <v>53500</v>
      </c>
      <c r="E5" t="n">
        <v>56500</v>
      </c>
      <c r="F5" t="n">
        <v>53500</v>
      </c>
      <c r="G5" t="n">
        <v>56500</v>
      </c>
      <c r="H5" t="n">
        <v>53500</v>
      </c>
      <c r="I5" t="n">
        <v>56500</v>
      </c>
      <c r="J5" t="b">
        <v>0</v>
      </c>
      <c r="K5" t="inlineStr">
        <is>
          <t>Unilever Indonesia Official Shop</t>
        </is>
      </c>
      <c r="L5" t="inlineStr">
        <is>
          <t>KOTA BEKASI</t>
        </is>
      </c>
      <c r="M5" t="n">
        <v>11773736018</v>
      </c>
      <c r="N5" t="n">
        <v>14318452</v>
      </c>
      <c r="O5">
        <f>HYPERLINK("https://shopee.co.id/api/v4/item/get?itemid=11773736018&amp;shopid=14318452", "Vaseline Healthy Bright​ Gluta Hyaluron Niacinamide Serum Lotion Dewy Radiance 200Ml")</f>
        <v/>
      </c>
      <c r="P5" t="n">
        <v>8435</v>
      </c>
      <c r="Q5" t="n">
        <v>23627</v>
      </c>
      <c r="R5" t="n">
        <v>4.902565431458927</v>
      </c>
      <c r="S5" t="n">
        <v>93</v>
      </c>
      <c r="T5" t="n">
        <v>68</v>
      </c>
      <c r="U5" t="n">
        <v>305</v>
      </c>
      <c r="V5" t="n">
        <v>2602</v>
      </c>
      <c r="W5" t="n">
        <v>35583</v>
      </c>
    </row>
    <row r="6">
      <c r="A6" t="inlineStr">
        <is>
          <t>Ponds Bright Beauty Serum Facial Wash 100 G - Sabun Muka, Facial Foam, Sabun Cuci Muka</t>
        </is>
      </c>
      <c r="B6" t="inlineStr">
        <is>
          <t>Pond's</t>
        </is>
      </c>
      <c r="C6" t="inlineStr">
        <is>
          <t>12%</t>
        </is>
      </c>
      <c r="D6" t="n">
        <v>29700</v>
      </c>
      <c r="E6" t="n">
        <v>33800</v>
      </c>
      <c r="F6" t="n">
        <v>29700</v>
      </c>
      <c r="G6" t="n">
        <v>33800</v>
      </c>
      <c r="H6" t="n">
        <v>29700</v>
      </c>
      <c r="I6" t="n">
        <v>33800</v>
      </c>
      <c r="J6" t="b">
        <v>1</v>
      </c>
      <c r="K6" t="inlineStr">
        <is>
          <t>Unilever Indonesia Official Shop</t>
        </is>
      </c>
      <c r="L6" t="inlineStr">
        <is>
          <t>KOTA BEKASI</t>
        </is>
      </c>
      <c r="M6" t="n">
        <v>4260780610</v>
      </c>
      <c r="N6" t="n">
        <v>14318452</v>
      </c>
      <c r="O6">
        <f>HYPERLINK("https://shopee.co.id/api/v4/item/get?itemid=4260780610&amp;shopid=14318452", "Ponds Bright Beauty Serum Facial Wash 100 G - Sabun Muka, Facial Foam, Sabun Cuci Muka")</f>
        <v/>
      </c>
      <c r="P6" t="n">
        <v>4805</v>
      </c>
      <c r="Q6" t="n">
        <v>5257</v>
      </c>
      <c r="R6" t="n">
        <v>4.915936078126734</v>
      </c>
      <c r="S6" t="n">
        <v>42</v>
      </c>
      <c r="T6" t="n">
        <v>23</v>
      </c>
      <c r="U6" t="n">
        <v>123</v>
      </c>
      <c r="V6" t="n">
        <v>1046</v>
      </c>
      <c r="W6" t="n">
        <v>16793</v>
      </c>
    </row>
    <row r="7">
      <c r="A7" t="inlineStr">
        <is>
          <t>Vaseline Healthy Bright Vitamin Body Serum Soft Glow 100ml</t>
        </is>
      </c>
      <c r="B7" t="inlineStr"/>
      <c r="C7" t="inlineStr">
        <is>
          <t>10%</t>
        </is>
      </c>
      <c r="D7" t="n">
        <v>19400</v>
      </c>
      <c r="E7" t="n">
        <v>21600</v>
      </c>
      <c r="F7" t="n">
        <v>19400</v>
      </c>
      <c r="G7" t="n">
        <v>21600</v>
      </c>
      <c r="H7" t="n">
        <v>19400</v>
      </c>
      <c r="I7" t="n">
        <v>21600</v>
      </c>
      <c r="J7" t="b">
        <v>1</v>
      </c>
      <c r="K7" t="inlineStr">
        <is>
          <t>Unilever Indonesia Official Shop</t>
        </is>
      </c>
      <c r="L7" t="inlineStr">
        <is>
          <t>KAB. BANYUASIN</t>
        </is>
      </c>
      <c r="M7" t="n">
        <v>3176310735</v>
      </c>
      <c r="N7" t="n">
        <v>14318452</v>
      </c>
      <c r="O7">
        <f>HYPERLINK("https://shopee.co.id/api/v4/item/get?itemid=3176310735&amp;shopid=14318452", "Vaseline Healthy Bright Vitamin Body Serum Soft Glow 100ml")</f>
        <v/>
      </c>
      <c r="P7" t="n">
        <v>2236</v>
      </c>
      <c r="Q7" t="n">
        <v>1670</v>
      </c>
      <c r="R7" t="n">
        <v>4.868685269775225</v>
      </c>
      <c r="S7" t="n">
        <v>99</v>
      </c>
      <c r="T7" t="n">
        <v>109</v>
      </c>
      <c r="U7" t="n">
        <v>686</v>
      </c>
      <c r="V7" t="n">
        <v>3736</v>
      </c>
      <c r="W7" t="n">
        <v>39599</v>
      </c>
    </row>
    <row r="8">
      <c r="A8" t="inlineStr">
        <is>
          <t>Vaseline Repairing Petroleum Jelly Lotion Original Pure 50Ml</t>
        </is>
      </c>
      <c r="B8" t="inlineStr">
        <is>
          <t>Vaseline</t>
        </is>
      </c>
      <c r="C8" t="inlineStr">
        <is>
          <t>10%</t>
        </is>
      </c>
      <c r="D8" t="n">
        <v>28100</v>
      </c>
      <c r="E8" t="n">
        <v>31300</v>
      </c>
      <c r="F8" t="n">
        <v>28100</v>
      </c>
      <c r="G8" t="n">
        <v>31300</v>
      </c>
      <c r="H8" t="n">
        <v>28100</v>
      </c>
      <c r="I8" t="n">
        <v>31300</v>
      </c>
      <c r="J8" t="b">
        <v>1</v>
      </c>
      <c r="K8" t="inlineStr">
        <is>
          <t>Unilever Indonesia Official Shop</t>
        </is>
      </c>
      <c r="L8" t="inlineStr">
        <is>
          <t>KOTA BEKASI</t>
        </is>
      </c>
      <c r="M8" t="n">
        <v>6560772424</v>
      </c>
      <c r="N8" t="n">
        <v>14318452</v>
      </c>
      <c r="O8">
        <f>HYPERLINK("https://shopee.co.id/api/v4/item/get?itemid=6560772424&amp;shopid=14318452", "Vaseline Repairing Petroleum Jelly Lotion Original Pure 50Ml")</f>
        <v/>
      </c>
      <c r="P8" t="n">
        <v>5419</v>
      </c>
      <c r="Q8" t="n">
        <v>5188</v>
      </c>
      <c r="R8" t="n">
        <v>4.914232717809584</v>
      </c>
      <c r="S8" t="n">
        <v>57</v>
      </c>
      <c r="T8" t="n">
        <v>31</v>
      </c>
      <c r="U8" t="n">
        <v>250</v>
      </c>
      <c r="V8" t="n">
        <v>2284</v>
      </c>
      <c r="W8" t="n">
        <v>33501</v>
      </c>
    </row>
    <row r="9">
      <c r="A9" t="inlineStr">
        <is>
          <t>Zwitsal Natural Aloe Vera Baby Bath 2 In 1 Hair &amp; Body 300 ml</t>
        </is>
      </c>
      <c r="B9" t="inlineStr">
        <is>
          <t>0</t>
        </is>
      </c>
      <c r="C9" t="inlineStr">
        <is>
          <t>18%</t>
        </is>
      </c>
      <c r="D9" t="n">
        <v>27900</v>
      </c>
      <c r="E9" t="n">
        <v>34100</v>
      </c>
      <c r="F9" t="n">
        <v>27900</v>
      </c>
      <c r="G9" t="n">
        <v>34100</v>
      </c>
      <c r="H9" t="n">
        <v>27900</v>
      </c>
      <c r="I9" t="n">
        <v>34100</v>
      </c>
      <c r="J9" t="b">
        <v>1</v>
      </c>
      <c r="K9" t="inlineStr">
        <is>
          <t>Unilever Indonesia Official Shop</t>
        </is>
      </c>
      <c r="L9" t="inlineStr">
        <is>
          <t>KOTA BEKASI</t>
        </is>
      </c>
      <c r="M9" t="n">
        <v>6060793851</v>
      </c>
      <c r="N9" t="n">
        <v>14318452</v>
      </c>
      <c r="O9">
        <f>HYPERLINK("https://shopee.co.id/api/v4/item/get?itemid=6060793851&amp;shopid=14318452", "Zwitsal Natural Aloe Vera Baby Bath 2 In 1 Hair &amp; Body 300 ml")</f>
        <v/>
      </c>
      <c r="P9" t="n">
        <v>3352</v>
      </c>
      <c r="Q9" t="n">
        <v>2402</v>
      </c>
      <c r="R9" t="n">
        <v>4.903073996195054</v>
      </c>
      <c r="S9" t="n">
        <v>33</v>
      </c>
      <c r="T9" t="n">
        <v>17</v>
      </c>
      <c r="U9" t="n">
        <v>85</v>
      </c>
      <c r="V9" t="n">
        <v>619</v>
      </c>
      <c r="W9" t="n">
        <v>9234</v>
      </c>
    </row>
    <row r="10">
      <c r="A10" t="inlineStr">
        <is>
          <t>Zwitsal Baby Gift Natural Basic Pack Baby Gift Set Box Hampers Bayi</t>
        </is>
      </c>
      <c r="B10" t="inlineStr">
        <is>
          <t>0</t>
        </is>
      </c>
      <c r="C10" t="inlineStr">
        <is>
          <t>18%</t>
        </is>
      </c>
      <c r="D10" t="n">
        <v>37400</v>
      </c>
      <c r="E10" t="n">
        <v>45500</v>
      </c>
      <c r="F10" t="n">
        <v>37400</v>
      </c>
      <c r="G10" t="n">
        <v>45500</v>
      </c>
      <c r="H10" t="n">
        <v>37400</v>
      </c>
      <c r="I10" t="n">
        <v>45500</v>
      </c>
      <c r="J10" t="b">
        <v>1</v>
      </c>
      <c r="K10" t="inlineStr">
        <is>
          <t>Unilever Indonesia Official Shop</t>
        </is>
      </c>
      <c r="L10" t="inlineStr">
        <is>
          <t>KOTA BEKASI</t>
        </is>
      </c>
      <c r="M10" t="n">
        <v>5561514058</v>
      </c>
      <c r="N10" t="n">
        <v>14318452</v>
      </c>
      <c r="O10">
        <f>HYPERLINK("https://shopee.co.id/api/v4/item/get?itemid=5561514058&amp;shopid=14318452", "Zwitsal Baby Gift Natural Basic Pack Baby Gift Set Box Hampers Bayi")</f>
        <v/>
      </c>
      <c r="P10" t="n">
        <v>2170</v>
      </c>
      <c r="Q10" t="n">
        <v>680</v>
      </c>
      <c r="R10" t="n">
        <v>4.882002383790226</v>
      </c>
      <c r="S10" t="n">
        <v>56</v>
      </c>
      <c r="T10" t="n">
        <v>43</v>
      </c>
      <c r="U10" t="n">
        <v>252</v>
      </c>
      <c r="V10" t="n">
        <v>1541</v>
      </c>
      <c r="W10" t="n">
        <v>18259</v>
      </c>
    </row>
    <row r="11">
      <c r="A11" t="inlineStr">
        <is>
          <t>Zwitsal Baby Face &amp; Body Care Cream 50Gr - Krim Bayi</t>
        </is>
      </c>
      <c r="B11" t="inlineStr">
        <is>
          <t>None</t>
        </is>
      </c>
      <c r="C11" t="inlineStr">
        <is>
          <t>19%</t>
        </is>
      </c>
      <c r="D11" t="n">
        <v>14900</v>
      </c>
      <c r="E11" t="n">
        <v>18500</v>
      </c>
      <c r="F11" t="n">
        <v>14900</v>
      </c>
      <c r="G11" t="n">
        <v>18500</v>
      </c>
      <c r="H11" t="n">
        <v>14900</v>
      </c>
      <c r="I11" t="n">
        <v>18500</v>
      </c>
      <c r="J11" t="b">
        <v>1</v>
      </c>
      <c r="K11" t="inlineStr">
        <is>
          <t>Unilever Indonesia Official Shop</t>
        </is>
      </c>
      <c r="L11" t="inlineStr">
        <is>
          <t>KOTA BEKASI</t>
        </is>
      </c>
      <c r="M11" t="n">
        <v>10106970530</v>
      </c>
      <c r="N11" t="n">
        <v>14318452</v>
      </c>
      <c r="O11">
        <f>HYPERLINK("https://shopee.co.id/api/v4/item/get?itemid=10106970530&amp;shopid=14318452", "Zwitsal Baby Face &amp; Body Care Cream 50Gr - Krim Bayi")</f>
        <v/>
      </c>
      <c r="P11" t="n">
        <v>6935</v>
      </c>
      <c r="Q11" t="n">
        <v>2811</v>
      </c>
      <c r="R11" t="n">
        <v>4.914870926257018</v>
      </c>
      <c r="S11" t="n">
        <v>69</v>
      </c>
      <c r="T11" t="n">
        <v>36</v>
      </c>
      <c r="U11" t="n">
        <v>197</v>
      </c>
      <c r="V11" t="n">
        <v>1950</v>
      </c>
      <c r="W11" t="n">
        <v>29633</v>
      </c>
    </row>
    <row r="12">
      <c r="A12" t="inlineStr">
        <is>
          <t>Vaseline Lotion Healthy Bright UV Extra Brightening 100ml</t>
        </is>
      </c>
      <c r="B12" t="inlineStr"/>
      <c r="C12" t="inlineStr">
        <is>
          <t>3%</t>
        </is>
      </c>
      <c r="D12" t="n">
        <v>17000</v>
      </c>
      <c r="E12" t="n">
        <v>17600</v>
      </c>
      <c r="F12" t="n">
        <v>17000</v>
      </c>
      <c r="G12" t="n">
        <v>17600</v>
      </c>
      <c r="H12" t="n">
        <v>17000</v>
      </c>
      <c r="I12" t="n">
        <v>17600</v>
      </c>
      <c r="J12" t="b">
        <v>1</v>
      </c>
      <c r="K12" t="inlineStr">
        <is>
          <t>Unilever Indonesia Official Shop</t>
        </is>
      </c>
      <c r="L12" t="inlineStr">
        <is>
          <t>KOTA BEKASI</t>
        </is>
      </c>
      <c r="M12" t="n">
        <v>6260776465</v>
      </c>
      <c r="N12" t="n">
        <v>14318452</v>
      </c>
      <c r="O12">
        <f>HYPERLINK("https://shopee.co.id/api/v4/item/get?itemid=6260776465&amp;shopid=14318452", "Vaseline Lotion Healthy Bright UV Extra Brightening 100ml")</f>
        <v/>
      </c>
      <c r="P12" t="n">
        <v>1870</v>
      </c>
      <c r="Q12" t="n">
        <v>2933</v>
      </c>
      <c r="R12" t="n">
        <v>4.861220472440944</v>
      </c>
      <c r="S12" t="n">
        <v>78</v>
      </c>
      <c r="T12" t="n">
        <v>62</v>
      </c>
      <c r="U12" t="n">
        <v>261</v>
      </c>
      <c r="V12" t="n">
        <v>1402</v>
      </c>
      <c r="W12" t="n">
        <v>15476</v>
      </c>
    </row>
    <row r="13">
      <c r="A13" t="inlineStr">
        <is>
          <t>Zwitsal Baby Powder Rich Honey 300 gr</t>
        </is>
      </c>
      <c r="B13" t="inlineStr">
        <is>
          <t>Zwitsal</t>
        </is>
      </c>
      <c r="C13" t="inlineStr">
        <is>
          <t>18%</t>
        </is>
      </c>
      <c r="D13" t="n">
        <v>19300</v>
      </c>
      <c r="E13" t="n">
        <v>23500</v>
      </c>
      <c r="F13" t="n">
        <v>19300</v>
      </c>
      <c r="G13" t="n">
        <v>23500</v>
      </c>
      <c r="H13" t="n">
        <v>19300</v>
      </c>
      <c r="I13" t="n">
        <v>23500</v>
      </c>
      <c r="J13" t="b">
        <v>1</v>
      </c>
      <c r="K13" t="inlineStr">
        <is>
          <t>Unilever Indonesia Official Shop</t>
        </is>
      </c>
      <c r="L13" t="inlineStr">
        <is>
          <t>KOTA BEKASI</t>
        </is>
      </c>
      <c r="M13" t="n">
        <v>7131352451</v>
      </c>
      <c r="N13" t="n">
        <v>14318452</v>
      </c>
      <c r="O13">
        <f>HYPERLINK("https://shopee.co.id/api/v4/item/get?itemid=7131352451&amp;shopid=14318452", "Zwitsal Baby Powder Rich Honey 300 gr")</f>
        <v/>
      </c>
      <c r="P13" t="n">
        <v>1889</v>
      </c>
      <c r="Q13" t="n">
        <v>1105</v>
      </c>
      <c r="R13" t="n">
        <v>4.912965031360082</v>
      </c>
      <c r="S13" t="n">
        <v>33</v>
      </c>
      <c r="T13" t="n">
        <v>17</v>
      </c>
      <c r="U13" t="n">
        <v>76</v>
      </c>
      <c r="V13" t="n">
        <v>681</v>
      </c>
      <c r="W13" t="n">
        <v>10833</v>
      </c>
    </row>
    <row r="14">
      <c r="A14" t="inlineStr">
        <is>
          <t>Zwitsal Minyak Telon Bayi Plus 3+1 100Ml - Baby Oil Menghangatkan Melembutkan</t>
        </is>
      </c>
      <c r="B14" t="inlineStr">
        <is>
          <t>None</t>
        </is>
      </c>
      <c r="C14" t="inlineStr">
        <is>
          <t>28%</t>
        </is>
      </c>
      <c r="D14" t="n">
        <v>27800</v>
      </c>
      <c r="E14" t="n">
        <v>38700</v>
      </c>
      <c r="F14" t="n">
        <v>27800</v>
      </c>
      <c r="G14" t="n">
        <v>38700</v>
      </c>
      <c r="H14" t="n">
        <v>27800</v>
      </c>
      <c r="I14" t="n">
        <v>38700</v>
      </c>
      <c r="J14" t="b">
        <v>1</v>
      </c>
      <c r="K14" t="inlineStr">
        <is>
          <t>Unilever Indonesia Official Shop</t>
        </is>
      </c>
      <c r="L14" t="inlineStr">
        <is>
          <t>KOTA BEKASI</t>
        </is>
      </c>
      <c r="M14" t="n">
        <v>5162038167</v>
      </c>
      <c r="N14" t="n">
        <v>14318452</v>
      </c>
      <c r="O14">
        <f>HYPERLINK("https://shopee.co.id/api/v4/item/get?itemid=5162038167&amp;shopid=14318452", "Zwitsal Minyak Telon Bayi Plus 3+1 100Ml - Baby Oil Menghangatkan Melembutkan")</f>
        <v/>
      </c>
      <c r="P14" t="n">
        <v>1629</v>
      </c>
      <c r="Q14" t="n">
        <v>2903</v>
      </c>
      <c r="R14" t="n">
        <v>4.914943389164406</v>
      </c>
      <c r="S14" t="n">
        <v>31</v>
      </c>
      <c r="T14" t="n">
        <v>21</v>
      </c>
      <c r="U14" t="n">
        <v>74</v>
      </c>
      <c r="V14" t="n">
        <v>585</v>
      </c>
      <c r="W14" t="n">
        <v>9979</v>
      </c>
    </row>
    <row r="15">
      <c r="A15" t="inlineStr">
        <is>
          <t>Zwitsal Hair Lotion Aloe Vera Kemiri Seledri 100 Ml - Pelebat Penyubur Rambut Bayi</t>
        </is>
      </c>
      <c r="B15" t="inlineStr">
        <is>
          <t>0</t>
        </is>
      </c>
      <c r="C15" t="inlineStr">
        <is>
          <t>17%</t>
        </is>
      </c>
      <c r="D15" t="n">
        <v>23100</v>
      </c>
      <c r="E15" t="n">
        <v>27800</v>
      </c>
      <c r="F15" t="n">
        <v>23100</v>
      </c>
      <c r="G15" t="n">
        <v>27800</v>
      </c>
      <c r="H15" t="n">
        <v>23100</v>
      </c>
      <c r="I15" t="n">
        <v>27800</v>
      </c>
      <c r="J15" t="b">
        <v>1</v>
      </c>
      <c r="K15" t="inlineStr">
        <is>
          <t>Unilever Indonesia Official Shop</t>
        </is>
      </c>
      <c r="L15" t="inlineStr">
        <is>
          <t>KOTA BEKASI</t>
        </is>
      </c>
      <c r="M15" t="n">
        <v>1208005613</v>
      </c>
      <c r="N15" t="n">
        <v>14318452</v>
      </c>
      <c r="O15">
        <f>HYPERLINK("https://shopee.co.id/api/v4/item/get?itemid=1208005613&amp;shopid=14318452", "Zwitsal Hair Lotion Aloe Vera Kemiri Seledri 100 Ml - Pelebat Penyubur Rambut Bayi")</f>
        <v/>
      </c>
      <c r="P15" t="n">
        <v>4958</v>
      </c>
      <c r="Q15" t="n">
        <v>3186</v>
      </c>
      <c r="R15" t="n">
        <v>4.902382335851249</v>
      </c>
      <c r="S15" t="n">
        <v>189</v>
      </c>
      <c r="T15" t="n">
        <v>127</v>
      </c>
      <c r="U15" t="n">
        <v>641</v>
      </c>
      <c r="V15" t="n">
        <v>3493</v>
      </c>
      <c r="W15" t="n">
        <v>55794</v>
      </c>
    </row>
    <row r="16">
      <c r="A16" t="inlineStr">
        <is>
          <t>Zwitsal Baby Daily Diaper Cream Tube 50Gr - Krim Ruam Popok Bayi</t>
        </is>
      </c>
      <c r="B16" t="inlineStr">
        <is>
          <t>0</t>
        </is>
      </c>
      <c r="C16" t="inlineStr">
        <is>
          <t>19%</t>
        </is>
      </c>
      <c r="D16" t="n">
        <v>16700</v>
      </c>
      <c r="E16" t="n">
        <v>20500</v>
      </c>
      <c r="F16" t="n">
        <v>16700</v>
      </c>
      <c r="G16" t="n">
        <v>20500</v>
      </c>
      <c r="H16" t="n">
        <v>16700</v>
      </c>
      <c r="I16" t="n">
        <v>20500</v>
      </c>
      <c r="J16" t="b">
        <v>1</v>
      </c>
      <c r="K16" t="inlineStr">
        <is>
          <t>Unilever Indonesia Official Shop</t>
        </is>
      </c>
      <c r="L16" t="inlineStr">
        <is>
          <t>KOTA BEKASI</t>
        </is>
      </c>
      <c r="M16" t="n">
        <v>1208005615</v>
      </c>
      <c r="N16" t="n">
        <v>14318452</v>
      </c>
      <c r="O16">
        <f>HYPERLINK("https://shopee.co.id/api/v4/item/get?itemid=1208005615&amp;shopid=14318452", "Zwitsal Baby Daily Diaper Cream Tube 50Gr - Krim Ruam Popok Bayi")</f>
        <v/>
      </c>
      <c r="P16" t="n">
        <v>3531</v>
      </c>
      <c r="Q16" t="n">
        <v>2887</v>
      </c>
      <c r="R16" t="n">
        <v>4.917341224939798</v>
      </c>
      <c r="S16" t="n">
        <v>72</v>
      </c>
      <c r="T16" t="n">
        <v>47</v>
      </c>
      <c r="U16" t="n">
        <v>215</v>
      </c>
      <c r="V16" t="n">
        <v>2014</v>
      </c>
      <c r="W16" t="n">
        <v>32126</v>
      </c>
    </row>
    <row r="17">
      <c r="A17" t="inlineStr">
        <is>
          <t>VASELINE LIP THERAPHY JAR ROSY 7G</t>
        </is>
      </c>
      <c r="B17" t="inlineStr"/>
      <c r="C17" t="inlineStr">
        <is>
          <t>7%</t>
        </is>
      </c>
      <c r="D17" t="n">
        <v>40600</v>
      </c>
      <c r="E17" t="n">
        <v>43500</v>
      </c>
      <c r="F17" t="n">
        <v>40600</v>
      </c>
      <c r="G17" t="n">
        <v>43500</v>
      </c>
      <c r="H17" t="n">
        <v>40600</v>
      </c>
      <c r="I17" t="n">
        <v>43500</v>
      </c>
      <c r="J17" t="b">
        <v>1</v>
      </c>
      <c r="K17" t="inlineStr">
        <is>
          <t>Unilever Indonesia Official Shop</t>
        </is>
      </c>
      <c r="L17" t="inlineStr">
        <is>
          <t>KOTA DENPASAR</t>
        </is>
      </c>
      <c r="M17" t="n">
        <v>4714032573</v>
      </c>
      <c r="N17" t="n">
        <v>14318452</v>
      </c>
      <c r="O17">
        <f>HYPERLINK("https://shopee.co.id/api/v4/item/get?itemid=4714032573&amp;shopid=14318452", "VASELINE LIP THERAPHY JAR ROSY 7G")</f>
        <v/>
      </c>
      <c r="P17" t="n">
        <v>676</v>
      </c>
      <c r="Q17" t="n">
        <v>19</v>
      </c>
      <c r="R17" t="n">
        <v>4.896988228099679</v>
      </c>
      <c r="S17" t="n">
        <v>81</v>
      </c>
      <c r="T17" t="n">
        <v>43</v>
      </c>
      <c r="U17" t="n">
        <v>344</v>
      </c>
      <c r="V17" t="n">
        <v>2241</v>
      </c>
      <c r="W17" t="n">
        <v>30000</v>
      </c>
    </row>
    <row r="18">
      <c r="A18" t="inlineStr">
        <is>
          <t>Zwitsal Baby Bath Hair And Body Sabun Mandi Bayi Natural Aloe Vera 2 In 1 300Ml</t>
        </is>
      </c>
      <c r="B18" t="inlineStr">
        <is>
          <t>0</t>
        </is>
      </c>
      <c r="C18" t="inlineStr">
        <is>
          <t>18%</t>
        </is>
      </c>
      <c r="D18" t="n">
        <v>28700</v>
      </c>
      <c r="E18" t="n">
        <v>34900</v>
      </c>
      <c r="F18" t="n">
        <v>28700</v>
      </c>
      <c r="G18" t="n">
        <v>34900</v>
      </c>
      <c r="H18" t="n">
        <v>28700</v>
      </c>
      <c r="I18" t="n">
        <v>34900</v>
      </c>
      <c r="J18" t="b">
        <v>1</v>
      </c>
      <c r="K18" t="inlineStr">
        <is>
          <t>Unilever Indonesia Official Shop</t>
        </is>
      </c>
      <c r="L18" t="inlineStr">
        <is>
          <t>KOTA BEKASI</t>
        </is>
      </c>
      <c r="M18" t="n">
        <v>976680603</v>
      </c>
      <c r="N18" t="n">
        <v>14318452</v>
      </c>
      <c r="O18">
        <f>HYPERLINK("https://shopee.co.id/api/v4/item/get?itemid=976680603&amp;shopid=14318452", "Zwitsal Baby Bath Hair And Body Sabun Mandi Bayi Natural Aloe Vera 2 In 1 300Ml")</f>
        <v/>
      </c>
      <c r="P18" t="n">
        <v>2239</v>
      </c>
      <c r="Q18" t="n">
        <v>2402</v>
      </c>
      <c r="R18" t="n">
        <v>4.918705150993614</v>
      </c>
      <c r="S18" t="n">
        <v>239</v>
      </c>
      <c r="T18" t="n">
        <v>188</v>
      </c>
      <c r="U18" t="n">
        <v>791</v>
      </c>
      <c r="V18" t="n">
        <v>5597</v>
      </c>
      <c r="W18" t="n">
        <v>99532</v>
      </c>
    </row>
    <row r="19">
      <c r="A19" t="inlineStr">
        <is>
          <t>Ponds Bright Beauty Serum Facial Wash 50 G - Sabun Muka, Facial Foam, Sabun Cuci Muka</t>
        </is>
      </c>
      <c r="B19" t="inlineStr">
        <is>
          <t>Pond's</t>
        </is>
      </c>
      <c r="C19" t="inlineStr">
        <is>
          <t>10%</t>
        </is>
      </c>
      <c r="D19" t="n">
        <v>20300</v>
      </c>
      <c r="E19" t="n">
        <v>22500</v>
      </c>
      <c r="F19" t="n">
        <v>20300</v>
      </c>
      <c r="G19" t="n">
        <v>22500</v>
      </c>
      <c r="H19" t="n">
        <v>20300</v>
      </c>
      <c r="I19" t="n">
        <v>22500</v>
      </c>
      <c r="J19" t="b">
        <v>1</v>
      </c>
      <c r="K19" t="inlineStr">
        <is>
          <t>Unilever Indonesia Official Shop</t>
        </is>
      </c>
      <c r="L19" t="inlineStr">
        <is>
          <t>KOTA BEKASI</t>
        </is>
      </c>
      <c r="M19" t="n">
        <v>1008956411</v>
      </c>
      <c r="N19" t="n">
        <v>14318452</v>
      </c>
      <c r="O19">
        <f>HYPERLINK("https://shopee.co.id/api/v4/item/get?itemid=1008956411&amp;shopid=14318452", "Ponds Bright Beauty Serum Facial Wash 50 G - Sabun Muka, Facial Foam, Sabun Cuci Muka")</f>
        <v/>
      </c>
      <c r="P19" t="n">
        <v>2494</v>
      </c>
      <c r="Q19" t="n">
        <v>2341</v>
      </c>
      <c r="R19" t="n">
        <v>4.856752971594786</v>
      </c>
      <c r="S19" t="n">
        <v>142</v>
      </c>
      <c r="T19" t="n">
        <v>93</v>
      </c>
      <c r="U19" t="n">
        <v>480</v>
      </c>
      <c r="V19" t="n">
        <v>2201</v>
      </c>
      <c r="W19" t="n">
        <v>24942</v>
      </c>
    </row>
    <row r="20">
      <c r="A20" t="inlineStr">
        <is>
          <t>Vaseline Lip Balm Pelembab Bibir Pencerah Bibir Rosy Tinted 10G Lip Care</t>
        </is>
      </c>
      <c r="B20" t="inlineStr">
        <is>
          <t>None</t>
        </is>
      </c>
      <c r="C20" t="inlineStr">
        <is>
          <t>13%</t>
        </is>
      </c>
      <c r="D20" t="n">
        <v>28000</v>
      </c>
      <c r="E20" t="n">
        <v>32300</v>
      </c>
      <c r="F20" t="n">
        <v>28000</v>
      </c>
      <c r="G20" t="n">
        <v>32300</v>
      </c>
      <c r="H20" t="n">
        <v>28000</v>
      </c>
      <c r="I20" t="n">
        <v>32300</v>
      </c>
      <c r="J20" t="b">
        <v>0</v>
      </c>
      <c r="K20" t="inlineStr">
        <is>
          <t>Unilever Indonesia Official Shop</t>
        </is>
      </c>
      <c r="L20" t="inlineStr">
        <is>
          <t>KOTA BEKASI</t>
        </is>
      </c>
      <c r="M20" t="n">
        <v>4283025631</v>
      </c>
      <c r="N20" t="n">
        <v>14318452</v>
      </c>
      <c r="O20">
        <f>HYPERLINK("https://shopee.co.id/api/v4/item/get?itemid=4283025631&amp;shopid=14318452", "Vaseline Lip Balm Pelembab Bibir Pencerah Bibir Rosy Tinted 10G Lip Care")</f>
        <v/>
      </c>
      <c r="P20" t="n">
        <v>6685</v>
      </c>
      <c r="Q20" t="n">
        <v>5913</v>
      </c>
      <c r="R20" t="n">
        <v>4.907158351409978</v>
      </c>
      <c r="S20" t="n">
        <v>111</v>
      </c>
      <c r="T20" t="n">
        <v>74</v>
      </c>
      <c r="U20" t="n">
        <v>607</v>
      </c>
      <c r="V20" t="n">
        <v>5001</v>
      </c>
      <c r="W20" t="n">
        <v>67976</v>
      </c>
    </row>
    <row r="21">
      <c r="A21" t="inlineStr">
        <is>
          <t>Pond's Juice Collection Moisturizer Orange Nectar + Vit C 20 gr</t>
        </is>
      </c>
      <c r="B21" t="inlineStr"/>
      <c r="C21" t="inlineStr">
        <is>
          <t>11%</t>
        </is>
      </c>
      <c r="D21" t="n">
        <v>21700</v>
      </c>
      <c r="E21" t="n">
        <v>24500</v>
      </c>
      <c r="F21" t="n">
        <v>21700</v>
      </c>
      <c r="G21" t="n">
        <v>24500</v>
      </c>
      <c r="H21" t="n">
        <v>21700</v>
      </c>
      <c r="I21" t="n">
        <v>24500</v>
      </c>
      <c r="J21" t="b">
        <v>1</v>
      </c>
      <c r="K21" t="inlineStr">
        <is>
          <t>Unilever Indonesia Official Shop</t>
        </is>
      </c>
      <c r="L21" t="inlineStr">
        <is>
          <t>KOTA BEKASI</t>
        </is>
      </c>
      <c r="M21" t="n">
        <v>3461275767</v>
      </c>
      <c r="N21" t="n">
        <v>14318452</v>
      </c>
      <c r="O21">
        <f>HYPERLINK("https://shopee.co.id/api/v4/item/get?itemid=3461275767&amp;shopid=14318452", "Pond's Juice Collection Moisturizer Orange Nectar + Vit C 20 gr")</f>
        <v/>
      </c>
      <c r="P21" t="n">
        <v>1255</v>
      </c>
      <c r="Q21" t="n">
        <v>887</v>
      </c>
      <c r="R21" t="n">
        <v>4.916896024464831</v>
      </c>
      <c r="S21" t="n">
        <v>17</v>
      </c>
      <c r="T21" t="n">
        <v>8</v>
      </c>
      <c r="U21" t="n">
        <v>90</v>
      </c>
      <c r="V21" t="n">
        <v>818</v>
      </c>
      <c r="W21" t="n">
        <v>12149</v>
      </c>
    </row>
    <row r="22">
      <c r="A22" t="inlineStr">
        <is>
          <t>Vaseline Hand Body Lotion Soft Glow 180 Ml - Serum Kulit, Serum Badan, Serum Glow</t>
        </is>
      </c>
      <c r="B22" t="inlineStr">
        <is>
          <t>None</t>
        </is>
      </c>
      <c r="C22" t="inlineStr">
        <is>
          <t>14%</t>
        </is>
      </c>
      <c r="D22" t="n">
        <v>30600</v>
      </c>
      <c r="E22" t="n">
        <v>35700</v>
      </c>
      <c r="F22" t="n">
        <v>30600</v>
      </c>
      <c r="G22" t="n">
        <v>35700</v>
      </c>
      <c r="H22" t="n">
        <v>30600</v>
      </c>
      <c r="I22" t="n">
        <v>35700</v>
      </c>
      <c r="J22" t="b">
        <v>1</v>
      </c>
      <c r="K22" t="inlineStr">
        <is>
          <t>Unilever Indonesia Official Shop</t>
        </is>
      </c>
      <c r="L22" t="inlineStr">
        <is>
          <t>KOTA BEKASI</t>
        </is>
      </c>
      <c r="M22" t="n">
        <v>3420969686</v>
      </c>
      <c r="N22" t="n">
        <v>14318452</v>
      </c>
      <c r="O22">
        <f>HYPERLINK("https://shopee.co.id/api/v4/item/get?itemid=3420969686&amp;shopid=14318452", "Vaseline Hand Body Lotion Soft Glow 180 Ml - Serum Kulit, Serum Badan, Serum Glow")</f>
        <v/>
      </c>
      <c r="P22" t="n">
        <v>2284</v>
      </c>
      <c r="Q22" t="n">
        <v>23204</v>
      </c>
      <c r="R22" t="n">
        <v>4.923514099035163</v>
      </c>
      <c r="S22" t="n">
        <v>219</v>
      </c>
      <c r="T22" t="n">
        <v>143</v>
      </c>
      <c r="U22" t="n">
        <v>1104</v>
      </c>
      <c r="V22" t="n">
        <v>9928</v>
      </c>
      <c r="W22" t="n">
        <v>162664</v>
      </c>
    </row>
    <row r="23">
      <c r="A23" t="inlineStr">
        <is>
          <t>Zwitsal Baby Cologne Natural Minyak Wangi Bayi Soft Touch 100 ml</t>
        </is>
      </c>
      <c r="B23" t="inlineStr">
        <is>
          <t>Zwitsal</t>
        </is>
      </c>
      <c r="C23" t="inlineStr">
        <is>
          <t>19%</t>
        </is>
      </c>
      <c r="D23" t="n">
        <v>18300</v>
      </c>
      <c r="E23" t="n">
        <v>22600</v>
      </c>
      <c r="F23" t="n">
        <v>18300</v>
      </c>
      <c r="G23" t="n">
        <v>22600</v>
      </c>
      <c r="H23" t="n">
        <v>18300</v>
      </c>
      <c r="I23" t="n">
        <v>22600</v>
      </c>
      <c r="J23" t="b">
        <v>1</v>
      </c>
      <c r="K23" t="inlineStr">
        <is>
          <t>Unilever Indonesia Official Shop</t>
        </is>
      </c>
      <c r="L23" t="inlineStr">
        <is>
          <t>KOTA BEKASI</t>
        </is>
      </c>
      <c r="M23" t="n">
        <v>7060813532</v>
      </c>
      <c r="N23" t="n">
        <v>14318452</v>
      </c>
      <c r="O23">
        <f>HYPERLINK("https://shopee.co.id/api/v4/item/get?itemid=7060813532&amp;shopid=14318452", "Zwitsal Baby Cologne Natural Minyak Wangi Bayi Soft Touch 100 ml")</f>
        <v/>
      </c>
      <c r="P23" t="n">
        <v>2406</v>
      </c>
      <c r="Q23" t="n">
        <v>7076</v>
      </c>
      <c r="R23" t="n">
        <v>4.910975609756098</v>
      </c>
      <c r="S23" t="n">
        <v>23</v>
      </c>
      <c r="T23" t="n">
        <v>21</v>
      </c>
      <c r="U23" t="n">
        <v>56</v>
      </c>
      <c r="V23" t="n">
        <v>536</v>
      </c>
      <c r="W23" t="n">
        <v>8384</v>
      </c>
    </row>
    <row r="24">
      <c r="A24" t="inlineStr">
        <is>
          <t>Vaseline Lotion Healthy Bright UV Extra Brightening 400ml Twin Pack</t>
        </is>
      </c>
      <c r="B24" t="inlineStr">
        <is>
          <t>Vaseline</t>
        </is>
      </c>
      <c r="C24" t="inlineStr">
        <is>
          <t>16%</t>
        </is>
      </c>
      <c r="D24" t="n">
        <v>98400</v>
      </c>
      <c r="E24" t="n">
        <v>116800</v>
      </c>
      <c r="F24" t="n">
        <v>98400</v>
      </c>
      <c r="G24" t="n">
        <v>116800</v>
      </c>
      <c r="H24" t="n">
        <v>98400</v>
      </c>
      <c r="I24" t="n">
        <v>116800</v>
      </c>
      <c r="J24" t="b">
        <v>1</v>
      </c>
      <c r="K24" t="inlineStr">
        <is>
          <t>Unilever Indonesia Official Shop</t>
        </is>
      </c>
      <c r="L24" t="inlineStr">
        <is>
          <t>KOTA BEKASI</t>
        </is>
      </c>
      <c r="M24" t="n">
        <v>7331720579</v>
      </c>
      <c r="N24" t="n">
        <v>14318452</v>
      </c>
      <c r="O24">
        <f>HYPERLINK("https://shopee.co.id/api/v4/item/get?itemid=7331720579&amp;shopid=14318452", "Vaseline Lotion Healthy Bright UV Extra Brightening 400ml Twin Pack")</f>
        <v/>
      </c>
      <c r="P24" t="n">
        <v>2142</v>
      </c>
      <c r="Q24" t="n">
        <v>5560</v>
      </c>
      <c r="R24" t="n">
        <v>4.888008597420773</v>
      </c>
      <c r="S24" t="n">
        <v>181</v>
      </c>
      <c r="T24" t="n">
        <v>121</v>
      </c>
      <c r="U24" t="n">
        <v>495</v>
      </c>
      <c r="V24" t="n">
        <v>2477</v>
      </c>
      <c r="W24" t="n">
        <v>36768</v>
      </c>
    </row>
    <row r="25">
      <c r="A25" t="inlineStr">
        <is>
          <t>Pepsodent White Pasta Gigi Pencegah Gigi Berlubang 225 G - Toothpaste Whitening, Pasta Gigi</t>
        </is>
      </c>
      <c r="B25" t="inlineStr">
        <is>
          <t>Pepsodent</t>
        </is>
      </c>
      <c r="C25" t="inlineStr">
        <is>
          <t>27%</t>
        </is>
      </c>
      <c r="D25" t="n">
        <v>12800</v>
      </c>
      <c r="E25" t="n">
        <v>17600</v>
      </c>
      <c r="F25" t="n">
        <v>12800</v>
      </c>
      <c r="G25" t="n">
        <v>17600</v>
      </c>
      <c r="H25" t="n">
        <v>12800</v>
      </c>
      <c r="I25" t="n">
        <v>17600</v>
      </c>
      <c r="J25" t="b">
        <v>1</v>
      </c>
      <c r="K25" t="inlineStr">
        <is>
          <t>Unilever Indonesia Official Shop</t>
        </is>
      </c>
      <c r="L25" t="inlineStr">
        <is>
          <t>KOTA BEKASI</t>
        </is>
      </c>
      <c r="M25" t="n">
        <v>1008956390</v>
      </c>
      <c r="N25" t="n">
        <v>14318452</v>
      </c>
      <c r="O25">
        <f>HYPERLINK("https://shopee.co.id/api/v4/item/get?itemid=1008956390&amp;shopid=14318452", "Pepsodent White Pasta Gigi Pencegah Gigi Berlubang 225 G - Toothpaste Whitening, Pasta Gigi")</f>
        <v/>
      </c>
      <c r="P25" t="n">
        <v>6169</v>
      </c>
      <c r="Q25" t="n">
        <v>26431</v>
      </c>
      <c r="R25" t="n">
        <v>4.933890577507599</v>
      </c>
      <c r="S25" t="n">
        <v>129</v>
      </c>
      <c r="T25" t="n">
        <v>93</v>
      </c>
      <c r="U25" t="n">
        <v>412</v>
      </c>
      <c r="V25" t="n">
        <v>3128</v>
      </c>
      <c r="W25" t="n">
        <v>67333</v>
      </c>
    </row>
    <row r="26">
      <c r="A26" t="inlineStr">
        <is>
          <t>Glow &amp; Lovely Cream Wajah Multivitamin 46g - Brightening Cream, Cream Moisturizer</t>
        </is>
      </c>
      <c r="B26" t="inlineStr">
        <is>
          <t>Fair &amp; Lovely</t>
        </is>
      </c>
      <c r="C26" t="inlineStr">
        <is>
          <t>17%</t>
        </is>
      </c>
      <c r="D26" t="n">
        <v>29000</v>
      </c>
      <c r="E26" t="n">
        <v>34800</v>
      </c>
      <c r="F26" t="n">
        <v>29000</v>
      </c>
      <c r="G26" t="n">
        <v>34800</v>
      </c>
      <c r="H26" t="n">
        <v>29000</v>
      </c>
      <c r="I26" t="n">
        <v>34800</v>
      </c>
      <c r="J26" t="b">
        <v>1</v>
      </c>
      <c r="K26" t="inlineStr">
        <is>
          <t>Unilever Indonesia Official Shop</t>
        </is>
      </c>
      <c r="L26" t="inlineStr">
        <is>
          <t>KOTA BEKASI</t>
        </is>
      </c>
      <c r="M26" t="n">
        <v>483898151</v>
      </c>
      <c r="N26" t="n">
        <v>14318452</v>
      </c>
      <c r="O26">
        <f>HYPERLINK("https://shopee.co.id/api/v4/item/get?itemid=483898151&amp;shopid=14318452", "Glow &amp; Lovely Cream Wajah Multivitamin 46g - Brightening Cream, Cream Moisturizer")</f>
        <v/>
      </c>
      <c r="P26" t="n">
        <v>2391</v>
      </c>
      <c r="Q26" t="n">
        <v>1679</v>
      </c>
      <c r="R26" t="n">
        <v>4.91233681462141</v>
      </c>
      <c r="S26" t="n">
        <v>52</v>
      </c>
      <c r="T26" t="n">
        <v>48</v>
      </c>
      <c r="U26" t="n">
        <v>245</v>
      </c>
      <c r="V26" t="n">
        <v>1855</v>
      </c>
      <c r="W26" t="n">
        <v>28443</v>
      </c>
    </row>
    <row r="27">
      <c r="A27" t="inlineStr">
        <is>
          <t>Dove Deodorant Dry Serum Underarm Care Regenerate Care Collagen With Niacinamide 50Ml</t>
        </is>
      </c>
      <c r="B27" t="inlineStr">
        <is>
          <t>Dove</t>
        </is>
      </c>
      <c r="C27" t="inlineStr">
        <is>
          <t>32%</t>
        </is>
      </c>
      <c r="D27" t="n">
        <v>14200</v>
      </c>
      <c r="E27" t="n">
        <v>21000</v>
      </c>
      <c r="F27" t="n">
        <v>14200</v>
      </c>
      <c r="G27" t="n">
        <v>21000</v>
      </c>
      <c r="H27" t="n">
        <v>14200</v>
      </c>
      <c r="I27" t="n">
        <v>21000</v>
      </c>
      <c r="J27" t="b">
        <v>1</v>
      </c>
      <c r="K27" t="inlineStr">
        <is>
          <t>Unilever Indonesia Official Shop</t>
        </is>
      </c>
      <c r="L27" t="inlineStr">
        <is>
          <t>KOTA BEKASI</t>
        </is>
      </c>
      <c r="M27" t="n">
        <v>5606578325</v>
      </c>
      <c r="N27" t="n">
        <v>14318452</v>
      </c>
      <c r="O27">
        <f>HYPERLINK("https://shopee.co.id/api/v4/item/get?itemid=5606578325&amp;shopid=14318452", "Dove Deodorant Dry Serum Underarm Care Regenerate Care Collagen With Niacinamide 50Ml")</f>
        <v/>
      </c>
      <c r="P27" t="n">
        <v>3891</v>
      </c>
      <c r="Q27" t="n">
        <v>3428</v>
      </c>
      <c r="R27" t="n">
        <v>4.932615292771504</v>
      </c>
      <c r="S27" t="n">
        <v>55</v>
      </c>
      <c r="T27" t="n">
        <v>25</v>
      </c>
      <c r="U27" t="n">
        <v>184</v>
      </c>
      <c r="V27" t="n">
        <v>2071</v>
      </c>
      <c r="W27" t="n">
        <v>37874</v>
      </c>
    </row>
    <row r="28">
      <c r="A28" t="inlineStr">
        <is>
          <t>Pepsodent Pencegah Gigi Berlubang Toothpaste Pasta Gigi White 225G</t>
        </is>
      </c>
      <c r="B28" t="inlineStr">
        <is>
          <t>Pepsodent</t>
        </is>
      </c>
      <c r="C28" t="inlineStr">
        <is>
          <t>25%</t>
        </is>
      </c>
      <c r="D28" t="n">
        <v>12000</v>
      </c>
      <c r="E28" t="n">
        <v>16100</v>
      </c>
      <c r="F28" t="n">
        <v>12000</v>
      </c>
      <c r="G28" t="n">
        <v>16100</v>
      </c>
      <c r="H28" t="n">
        <v>12000</v>
      </c>
      <c r="I28" t="n">
        <v>16100</v>
      </c>
      <c r="J28" t="b">
        <v>1</v>
      </c>
      <c r="K28" t="inlineStr">
        <is>
          <t>Unilever Indonesia Official Shop</t>
        </is>
      </c>
      <c r="L28" t="inlineStr">
        <is>
          <t>KOTA BEKASI</t>
        </is>
      </c>
      <c r="M28" t="n">
        <v>6361512463</v>
      </c>
      <c r="N28" t="n">
        <v>14318452</v>
      </c>
      <c r="O28">
        <f>HYPERLINK("https://shopee.co.id/api/v4/item/get?itemid=6361512463&amp;shopid=14318452", "Pepsodent Pencegah Gigi Berlubang Toothpaste Pasta Gigi White 225G")</f>
        <v/>
      </c>
      <c r="P28" t="n">
        <v>3720</v>
      </c>
      <c r="Q28" t="n">
        <v>26431</v>
      </c>
      <c r="R28" t="n">
        <v>4.934755873913137</v>
      </c>
      <c r="S28" t="n">
        <v>74</v>
      </c>
      <c r="T28" t="n">
        <v>38</v>
      </c>
      <c r="U28" t="n">
        <v>276</v>
      </c>
      <c r="V28" t="n">
        <v>2091</v>
      </c>
      <c r="W28" t="n">
        <v>43910</v>
      </c>
    </row>
    <row r="29">
      <c r="A29" t="inlineStr">
        <is>
          <t>Ponds Age Miracle Day Cream Moisturizer Anti Aging+Glowing With Retinol &amp; Spf18 10G</t>
        </is>
      </c>
      <c r="B29" t="inlineStr">
        <is>
          <t>0</t>
        </is>
      </c>
      <c r="C29" t="inlineStr">
        <is>
          <t>11%</t>
        </is>
      </c>
      <c r="D29" t="n">
        <v>34300</v>
      </c>
      <c r="E29" t="n">
        <v>38500</v>
      </c>
      <c r="F29" t="n">
        <v>34300</v>
      </c>
      <c r="G29" t="n">
        <v>38500</v>
      </c>
      <c r="H29" t="n">
        <v>34300</v>
      </c>
      <c r="I29" t="n">
        <v>38500</v>
      </c>
      <c r="J29" t="b">
        <v>1</v>
      </c>
      <c r="K29" t="inlineStr">
        <is>
          <t>Unilever Indonesia Official Shop</t>
        </is>
      </c>
      <c r="L29" t="inlineStr">
        <is>
          <t>KOTA BEKASI</t>
        </is>
      </c>
      <c r="M29" t="n">
        <v>127358327</v>
      </c>
      <c r="N29" t="n">
        <v>14318452</v>
      </c>
      <c r="O29">
        <f>HYPERLINK("https://shopee.co.id/api/v4/item/get?itemid=127358327&amp;shopid=14318452", "Ponds Age Miracle Day Cream Moisturizer Anti Aging+Glowing With Retinol &amp; Spf18 10G")</f>
        <v/>
      </c>
      <c r="P29" t="n">
        <v>4278</v>
      </c>
      <c r="Q29" t="n">
        <v>3271</v>
      </c>
      <c r="R29" t="n">
        <v>4.900057705965909</v>
      </c>
      <c r="S29" t="n">
        <v>100</v>
      </c>
      <c r="T29" t="n">
        <v>69</v>
      </c>
      <c r="U29" t="n">
        <v>407</v>
      </c>
      <c r="V29" t="n">
        <v>3100</v>
      </c>
      <c r="W29" t="n">
        <v>41401</v>
      </c>
    </row>
    <row r="30">
      <c r="A30" t="inlineStr">
        <is>
          <t>Ponds Juice Pelembab Muka Moisturizer Watermelon 100% Free Alcohol W Vite&amp;Hyaluronic 20G</t>
        </is>
      </c>
      <c r="B30" t="inlineStr"/>
      <c r="C30" t="inlineStr">
        <is>
          <t>12%</t>
        </is>
      </c>
      <c r="D30" t="n">
        <v>22900</v>
      </c>
      <c r="E30" t="n">
        <v>26100</v>
      </c>
      <c r="F30" t="n">
        <v>22900</v>
      </c>
      <c r="G30" t="n">
        <v>26100</v>
      </c>
      <c r="H30" t="n">
        <v>22900</v>
      </c>
      <c r="I30" t="n">
        <v>26100</v>
      </c>
      <c r="J30" t="b">
        <v>1</v>
      </c>
      <c r="K30" t="inlineStr">
        <is>
          <t>Unilever Indonesia Official Shop</t>
        </is>
      </c>
      <c r="L30" t="inlineStr">
        <is>
          <t>KOTA BEKASI</t>
        </is>
      </c>
      <c r="M30" t="n">
        <v>7661174542</v>
      </c>
      <c r="N30" t="n">
        <v>14318452</v>
      </c>
      <c r="O30">
        <f>HYPERLINK("https://shopee.co.id/api/v4/item/get?itemid=7661174542&amp;shopid=14318452", "Ponds Juice Pelembab Muka Moisturizer Watermelon 100% Free Alcohol W Vite&amp;Hyaluronic 20G")</f>
        <v/>
      </c>
      <c r="P30" t="n">
        <v>2495</v>
      </c>
      <c r="Q30" t="n">
        <v>3880</v>
      </c>
      <c r="R30" t="n">
        <v>4.917085500984628</v>
      </c>
      <c r="S30" t="n">
        <v>36</v>
      </c>
      <c r="T30" t="n">
        <v>31</v>
      </c>
      <c r="U30" t="n">
        <v>247</v>
      </c>
      <c r="V30" t="n">
        <v>2110</v>
      </c>
      <c r="W30" t="n">
        <v>31611</v>
      </c>
    </row>
    <row r="31">
      <c r="A31" t="inlineStr">
        <is>
          <t>Zwitsal Baby Oil Natural 100 ml</t>
        </is>
      </c>
      <c r="B31" t="inlineStr">
        <is>
          <t>Zwitsal</t>
        </is>
      </c>
      <c r="C31" t="inlineStr">
        <is>
          <t>20%</t>
        </is>
      </c>
      <c r="D31" t="n">
        <v>19100</v>
      </c>
      <c r="E31" t="n">
        <v>23800</v>
      </c>
      <c r="F31" t="n">
        <v>19100</v>
      </c>
      <c r="G31" t="n">
        <v>23800</v>
      </c>
      <c r="H31" t="n">
        <v>19100</v>
      </c>
      <c r="I31" t="n">
        <v>23800</v>
      </c>
      <c r="J31" t="b">
        <v>1</v>
      </c>
      <c r="K31" t="inlineStr">
        <is>
          <t>Unilever Indonesia Official Shop</t>
        </is>
      </c>
      <c r="L31" t="inlineStr">
        <is>
          <t>KOTA SEMARANG</t>
        </is>
      </c>
      <c r="M31" t="n">
        <v>1208005642</v>
      </c>
      <c r="N31" t="n">
        <v>14318452</v>
      </c>
      <c r="O31">
        <f>HYPERLINK("https://shopee.co.id/api/v4/item/get?itemid=1208005642&amp;shopid=14318452", "Zwitsal Baby Oil Natural 100 ml")</f>
        <v/>
      </c>
      <c r="P31" t="n">
        <v>2644</v>
      </c>
      <c r="Q31" t="n">
        <v>998</v>
      </c>
      <c r="R31" t="n">
        <v>4.914870744816995</v>
      </c>
      <c r="S31" t="n">
        <v>86</v>
      </c>
      <c r="T31" t="n">
        <v>61</v>
      </c>
      <c r="U31" t="n">
        <v>289</v>
      </c>
      <c r="V31" t="n">
        <v>2238</v>
      </c>
      <c r="W31" t="n">
        <v>36401</v>
      </c>
    </row>
    <row r="32">
      <c r="A32" t="inlineStr">
        <is>
          <t>Lux Botanicals Body Wash Refill Magical Orchid Kulit Wangi 825ml</t>
        </is>
      </c>
      <c r="B32" t="inlineStr">
        <is>
          <t>None</t>
        </is>
      </c>
      <c r="C32" t="inlineStr">
        <is>
          <t>30%</t>
        </is>
      </c>
      <c r="D32" t="n">
        <v>34500</v>
      </c>
      <c r="E32" t="n">
        <v>49500</v>
      </c>
      <c r="F32" t="n">
        <v>34500</v>
      </c>
      <c r="G32" t="n">
        <v>49500</v>
      </c>
      <c r="H32" t="n">
        <v>34500</v>
      </c>
      <c r="I32" t="n">
        <v>49500</v>
      </c>
      <c r="J32" t="b">
        <v>1</v>
      </c>
      <c r="K32" t="inlineStr">
        <is>
          <t>Unilever Indonesia Official Shop</t>
        </is>
      </c>
      <c r="L32" t="inlineStr">
        <is>
          <t>KAB. BANYUASIN</t>
        </is>
      </c>
      <c r="M32" t="n">
        <v>3517507250</v>
      </c>
      <c r="N32" t="n">
        <v>14318452</v>
      </c>
      <c r="O32">
        <f>HYPERLINK("https://shopee.co.id/api/v4/item/get?itemid=3517507250&amp;shopid=14318452", "Lux Botanicals Body Wash Refill Magical Orchid Kulit Wangi 825ml")</f>
        <v/>
      </c>
      <c r="P32" t="n">
        <v>2976</v>
      </c>
      <c r="Q32" t="n">
        <v>44</v>
      </c>
      <c r="R32" t="n">
        <v>4.946318487220337</v>
      </c>
      <c r="S32" t="n">
        <v>25</v>
      </c>
      <c r="T32" t="n">
        <v>13</v>
      </c>
      <c r="U32" t="n">
        <v>57</v>
      </c>
      <c r="V32" t="n">
        <v>537</v>
      </c>
      <c r="W32" t="n">
        <v>13831</v>
      </c>
    </row>
    <row r="33">
      <c r="A33" t="inlineStr">
        <is>
          <t>Rexona Women Dry Serum Fresh Sakura 50 Ml - Cream Pencerah Ketiak, Deodorant Serum</t>
        </is>
      </c>
      <c r="B33" t="inlineStr">
        <is>
          <t>0</t>
        </is>
      </c>
      <c r="C33" t="inlineStr">
        <is>
          <t>22%</t>
        </is>
      </c>
      <c r="D33" t="n">
        <v>16900</v>
      </c>
      <c r="E33" t="n">
        <v>21700</v>
      </c>
      <c r="F33" t="n">
        <v>16900</v>
      </c>
      <c r="G33" t="n">
        <v>21700</v>
      </c>
      <c r="H33" t="n">
        <v>16900</v>
      </c>
      <c r="I33" t="n">
        <v>21700</v>
      </c>
      <c r="J33" t="b">
        <v>1</v>
      </c>
      <c r="K33" t="inlineStr">
        <is>
          <t>Unilever Indonesia Official Shop</t>
        </is>
      </c>
      <c r="L33" t="inlineStr">
        <is>
          <t>KOTA BEKASI</t>
        </is>
      </c>
      <c r="M33" t="n">
        <v>5361178601</v>
      </c>
      <c r="N33" t="n">
        <v>14318452</v>
      </c>
      <c r="O33">
        <f>HYPERLINK("https://shopee.co.id/api/v4/item/get?itemid=5361178601&amp;shopid=14318452", "Rexona Women Dry Serum Fresh Sakura 50 Ml - Cream Pencerah Ketiak, Deodorant Serum")</f>
        <v/>
      </c>
      <c r="P33" t="n">
        <v>3419</v>
      </c>
      <c r="Q33" t="n">
        <v>5617</v>
      </c>
      <c r="R33" t="n">
        <v>4.927825394595101</v>
      </c>
      <c r="S33" t="n">
        <v>48</v>
      </c>
      <c r="T33" t="n">
        <v>20</v>
      </c>
      <c r="U33" t="n">
        <v>113</v>
      </c>
      <c r="V33" t="n">
        <v>1092</v>
      </c>
      <c r="W33" t="n">
        <v>20086</v>
      </c>
    </row>
    <row r="34">
      <c r="A34" t="inlineStr">
        <is>
          <t>Pepsodent Pasta Gigi Pencegah Gigi Berlubang Anti Cavity 120 gr</t>
        </is>
      </c>
      <c r="B34" t="inlineStr">
        <is>
          <t>0</t>
        </is>
      </c>
      <c r="C34" t="inlineStr">
        <is>
          <t>14%</t>
        </is>
      </c>
      <c r="D34" t="n">
        <v>8900</v>
      </c>
      <c r="E34" t="n">
        <v>10400</v>
      </c>
      <c r="F34" t="n">
        <v>8900</v>
      </c>
      <c r="G34" t="n">
        <v>10400</v>
      </c>
      <c r="H34" t="n">
        <v>8900</v>
      </c>
      <c r="I34" t="n">
        <v>10400</v>
      </c>
      <c r="J34" t="b">
        <v>1</v>
      </c>
      <c r="K34" t="inlineStr">
        <is>
          <t>Unilever Indonesia Official Shop</t>
        </is>
      </c>
      <c r="L34" t="inlineStr">
        <is>
          <t>KOTA BEKASI</t>
        </is>
      </c>
      <c r="M34" t="n">
        <v>127358140</v>
      </c>
      <c r="N34" t="n">
        <v>14318452</v>
      </c>
      <c r="O34">
        <f>HYPERLINK("https://shopee.co.id/api/v4/item/get?itemid=127358140&amp;shopid=14318452", "Pepsodent Pasta Gigi Pencegah Gigi Berlubang Anti Cavity 120 gr")</f>
        <v/>
      </c>
      <c r="P34" t="n">
        <v>2285</v>
      </c>
      <c r="Q34" t="n">
        <v>6458</v>
      </c>
      <c r="R34" t="n">
        <v>4.925379622116611</v>
      </c>
      <c r="S34" t="n">
        <v>53</v>
      </c>
      <c r="T34" t="n">
        <v>48</v>
      </c>
      <c r="U34" t="n">
        <v>228</v>
      </c>
      <c r="V34" t="n">
        <v>1773</v>
      </c>
      <c r="W34" t="n">
        <v>32409</v>
      </c>
    </row>
    <row r="35">
      <c r="A35" t="inlineStr">
        <is>
          <t>Vaseline Lip Therapy Balm Stick Rosy Lips 4.8 gr</t>
        </is>
      </c>
      <c r="B35" t="inlineStr"/>
      <c r="C35" t="inlineStr">
        <is>
          <t>16%</t>
        </is>
      </c>
      <c r="D35" t="n">
        <v>21800</v>
      </c>
      <c r="E35" t="n">
        <v>25900</v>
      </c>
      <c r="F35" t="n">
        <v>21800</v>
      </c>
      <c r="G35" t="n">
        <v>25900</v>
      </c>
      <c r="H35" t="n">
        <v>21800</v>
      </c>
      <c r="I35" t="n">
        <v>25900</v>
      </c>
      <c r="J35" t="b">
        <v>1</v>
      </c>
      <c r="K35" t="inlineStr">
        <is>
          <t>Unilever Indonesia Official Shop</t>
        </is>
      </c>
      <c r="L35" t="inlineStr">
        <is>
          <t>KOTA BEKASI</t>
        </is>
      </c>
      <c r="M35" t="n">
        <v>5314032594</v>
      </c>
      <c r="N35" t="n">
        <v>14318452</v>
      </c>
      <c r="O35">
        <f>HYPERLINK("https://shopee.co.id/api/v4/item/get?itemid=5314032594&amp;shopid=14318452", "Vaseline Lip Therapy Balm Stick Rosy Lips 4.8 gr")</f>
        <v/>
      </c>
      <c r="P35" t="n">
        <v>2050</v>
      </c>
      <c r="Q35" t="n">
        <v>1164</v>
      </c>
      <c r="R35" t="n">
        <v>4.918102127137866</v>
      </c>
      <c r="S35" t="n">
        <v>27</v>
      </c>
      <c r="T35" t="n">
        <v>25</v>
      </c>
      <c r="U35" t="n">
        <v>107</v>
      </c>
      <c r="V35" t="n">
        <v>946</v>
      </c>
      <c r="W35" t="n">
        <v>15210</v>
      </c>
    </row>
    <row r="36">
      <c r="A36" t="inlineStr">
        <is>
          <t>Ponds Micellar Water Brightening Rose 100ml 99% Makeup Remover dgn Niacinamide &amp; Vitamin C</t>
        </is>
      </c>
      <c r="B36" t="inlineStr">
        <is>
          <t>Pond's</t>
        </is>
      </c>
      <c r="C36" t="inlineStr">
        <is>
          <t>13%</t>
        </is>
      </c>
      <c r="D36" t="n">
        <v>21700</v>
      </c>
      <c r="E36" t="n">
        <v>25000</v>
      </c>
      <c r="F36" t="n">
        <v>21700</v>
      </c>
      <c r="G36" t="n">
        <v>25000</v>
      </c>
      <c r="H36" t="n">
        <v>21700</v>
      </c>
      <c r="I36" t="n">
        <v>25000</v>
      </c>
      <c r="J36" t="b">
        <v>1</v>
      </c>
      <c r="K36" t="inlineStr">
        <is>
          <t>Unilever Indonesia Official Shop</t>
        </is>
      </c>
      <c r="L36" t="inlineStr">
        <is>
          <t>KOTA BEKASI</t>
        </is>
      </c>
      <c r="M36" t="n">
        <v>2662430872</v>
      </c>
      <c r="N36" t="n">
        <v>14318452</v>
      </c>
      <c r="O36">
        <f>HYPERLINK("https://shopee.co.id/api/v4/item/get?itemid=2662430872&amp;shopid=14318452", "Ponds Micellar Water Brightening Rose 100ml 99% Makeup Remover dgn Niacinamide &amp; Vitamin C")</f>
        <v/>
      </c>
      <c r="P36" t="n">
        <v>1834</v>
      </c>
      <c r="Q36" t="n">
        <v>1053</v>
      </c>
      <c r="R36" t="n">
        <v>4.89188790560472</v>
      </c>
      <c r="S36" t="n">
        <v>135</v>
      </c>
      <c r="T36" t="n">
        <v>93</v>
      </c>
      <c r="U36" t="n">
        <v>375</v>
      </c>
      <c r="V36" t="n">
        <v>2112</v>
      </c>
      <c r="W36" t="n">
        <v>31190</v>
      </c>
    </row>
    <row r="37">
      <c r="A37" t="inlineStr">
        <is>
          <t>Sunsilk Vitamin Hair Mist Parfum Rambut Soft &amp; Smooth 40 Ml Rambut Sehat, Harum, &amp; Lembut</t>
        </is>
      </c>
      <c r="B37" t="inlineStr"/>
      <c r="C37" t="inlineStr">
        <is>
          <t>12%</t>
        </is>
      </c>
      <c r="D37" t="n">
        <v>13200</v>
      </c>
      <c r="E37" t="n">
        <v>15000</v>
      </c>
      <c r="F37" t="n">
        <v>13200</v>
      </c>
      <c r="G37" t="n">
        <v>15000</v>
      </c>
      <c r="H37" t="n">
        <v>13200</v>
      </c>
      <c r="I37" t="n">
        <v>15000</v>
      </c>
      <c r="J37" t="b">
        <v>1</v>
      </c>
      <c r="K37" t="inlineStr">
        <is>
          <t>Unilever Indonesia Official Shop</t>
        </is>
      </c>
      <c r="L37" t="inlineStr">
        <is>
          <t>KOTA BEKASI</t>
        </is>
      </c>
      <c r="M37" t="n">
        <v>8314340099</v>
      </c>
      <c r="N37" t="n">
        <v>14318452</v>
      </c>
      <c r="O37">
        <f>HYPERLINK("https://shopee.co.id/api/v4/item/get?itemid=8314340099&amp;shopid=14318452", "Sunsilk Vitamin Hair Mist Parfum Rambut Soft &amp; Smooth 40 Ml Rambut Sehat, Harum, &amp; Lembut")</f>
        <v/>
      </c>
      <c r="P37" t="n">
        <v>5498</v>
      </c>
      <c r="Q37" t="n">
        <v>3312</v>
      </c>
      <c r="R37" t="n">
        <v>4.838052536673327</v>
      </c>
      <c r="S37" t="n">
        <v>119</v>
      </c>
      <c r="T37" t="n">
        <v>95</v>
      </c>
      <c r="U37" t="n">
        <v>414</v>
      </c>
      <c r="V37" t="n">
        <v>1744</v>
      </c>
      <c r="W37" t="n">
        <v>18150</v>
      </c>
    </row>
    <row r="38">
      <c r="A38" t="inlineStr">
        <is>
          <t>Rexona Deodorant Roll On Dreamy White 40ml Anti Bakteri</t>
        </is>
      </c>
      <c r="B38" t="inlineStr">
        <is>
          <t>Rexona</t>
        </is>
      </c>
      <c r="C38" t="inlineStr">
        <is>
          <t>1%</t>
        </is>
      </c>
      <c r="D38" t="n">
        <v>15800</v>
      </c>
      <c r="E38" t="n">
        <v>15900</v>
      </c>
      <c r="F38" t="n">
        <v>15800</v>
      </c>
      <c r="G38" t="n">
        <v>15900</v>
      </c>
      <c r="H38" t="n">
        <v>15800</v>
      </c>
      <c r="I38" t="n">
        <v>15900</v>
      </c>
      <c r="J38" t="b">
        <v>1</v>
      </c>
      <c r="K38" t="inlineStr">
        <is>
          <t>Unilever Indonesia Official Shop</t>
        </is>
      </c>
      <c r="L38" t="inlineStr">
        <is>
          <t>KOTA BEKASI</t>
        </is>
      </c>
      <c r="M38" t="n">
        <v>5360828391</v>
      </c>
      <c r="N38" t="n">
        <v>14318452</v>
      </c>
      <c r="O38">
        <f>HYPERLINK("https://shopee.co.id/api/v4/item/get?itemid=5360828391&amp;shopid=14318452", "Rexona Deodorant Roll On Dreamy White 40ml Anti Bakteri")</f>
        <v/>
      </c>
      <c r="P38" t="n">
        <v>1148</v>
      </c>
      <c r="Q38" t="n">
        <v>6751</v>
      </c>
      <c r="R38" t="n">
        <v>4.919858870967742</v>
      </c>
      <c r="S38" t="n">
        <v>24</v>
      </c>
      <c r="T38" t="n">
        <v>8</v>
      </c>
      <c r="U38" t="n">
        <v>87</v>
      </c>
      <c r="V38" t="n">
        <v>667</v>
      </c>
      <c r="W38" t="n">
        <v>11120</v>
      </c>
    </row>
    <row r="39">
      <c r="A39" t="inlineStr">
        <is>
          <t>Vaseline Lotion Healthy Bright UV Extra Brightening 400ml</t>
        </is>
      </c>
      <c r="B39" t="inlineStr">
        <is>
          <t>Vaseline</t>
        </is>
      </c>
      <c r="C39" t="inlineStr">
        <is>
          <t>13%</t>
        </is>
      </c>
      <c r="D39" t="n">
        <v>56700</v>
      </c>
      <c r="E39" t="n">
        <v>65000</v>
      </c>
      <c r="F39" t="n">
        <v>56700</v>
      </c>
      <c r="G39" t="n">
        <v>65000</v>
      </c>
      <c r="H39" t="n">
        <v>56700</v>
      </c>
      <c r="I39" t="n">
        <v>65000</v>
      </c>
      <c r="J39" t="b">
        <v>1</v>
      </c>
      <c r="K39" t="inlineStr">
        <is>
          <t>Unilever Indonesia Official Shop</t>
        </is>
      </c>
      <c r="L39" t="inlineStr">
        <is>
          <t>KOTA BEKASI</t>
        </is>
      </c>
      <c r="M39" t="n">
        <v>127345872</v>
      </c>
      <c r="N39" t="n">
        <v>14318452</v>
      </c>
      <c r="O39">
        <f>HYPERLINK("https://shopee.co.id/api/v4/item/get?itemid=127345872&amp;shopid=14318452", "Vaseline Lotion Healthy Bright UV Extra Brightening 400ml")</f>
        <v/>
      </c>
      <c r="P39" t="n">
        <v>2019</v>
      </c>
      <c r="Q39" t="n">
        <v>11124</v>
      </c>
      <c r="R39" t="n">
        <v>4.901577826144689</v>
      </c>
      <c r="S39" t="n">
        <v>539</v>
      </c>
      <c r="T39" t="n">
        <v>441</v>
      </c>
      <c r="U39" t="n">
        <v>1840</v>
      </c>
      <c r="V39" t="n">
        <v>10048</v>
      </c>
      <c r="W39" t="n">
        <v>160392</v>
      </c>
    </row>
    <row r="40">
      <c r="A40" t="inlineStr">
        <is>
          <t>Ponds Vitamin Micellar Water Makeup Remover Brightening Rose For All Skin Type 55Ml</t>
        </is>
      </c>
      <c r="B40" t="inlineStr">
        <is>
          <t>Pond's</t>
        </is>
      </c>
      <c r="C40" t="inlineStr">
        <is>
          <t>36%</t>
        </is>
      </c>
      <c r="D40" t="n">
        <v>9600</v>
      </c>
      <c r="E40" t="n">
        <v>15000</v>
      </c>
      <c r="F40" t="n">
        <v>9600</v>
      </c>
      <c r="G40" t="n">
        <v>15000</v>
      </c>
      <c r="H40" t="n">
        <v>9600</v>
      </c>
      <c r="I40" t="n">
        <v>15000</v>
      </c>
      <c r="J40" t="b">
        <v>1</v>
      </c>
      <c r="K40" t="inlineStr">
        <is>
          <t>Unilever Indonesia Official Shop</t>
        </is>
      </c>
      <c r="L40" t="inlineStr">
        <is>
          <t>KOTA BEKASI</t>
        </is>
      </c>
      <c r="M40" t="n">
        <v>5517907333</v>
      </c>
      <c r="N40" t="n">
        <v>14318452</v>
      </c>
      <c r="O40">
        <f>HYPERLINK("https://shopee.co.id/api/v4/item/get?itemid=5517907333&amp;shopid=14318452", "Ponds Vitamin Micellar Water Makeup Remover Brightening Rose For All Skin Type 55Ml")</f>
        <v/>
      </c>
      <c r="P40" t="n">
        <v>4495</v>
      </c>
      <c r="Q40" t="n">
        <v>2224</v>
      </c>
      <c r="R40" t="n">
        <v>4.913971532476502</v>
      </c>
      <c r="S40" t="n">
        <v>156</v>
      </c>
      <c r="T40" t="n">
        <v>122</v>
      </c>
      <c r="U40" t="n">
        <v>786</v>
      </c>
      <c r="V40" t="n">
        <v>5486</v>
      </c>
      <c r="W40" t="n">
        <v>86149</v>
      </c>
    </row>
    <row r="41">
      <c r="A41" t="inlineStr">
        <is>
          <t>Pepsodent Kids Pasta Gigi Strawberry</t>
        </is>
      </c>
      <c r="B41" t="inlineStr">
        <is>
          <t>0</t>
        </is>
      </c>
      <c r="C41" t="inlineStr">
        <is>
          <t>22%</t>
        </is>
      </c>
      <c r="D41" t="n">
        <v>5400</v>
      </c>
      <c r="E41" t="n">
        <v>6950</v>
      </c>
      <c r="F41" t="n">
        <v>5400</v>
      </c>
      <c r="G41" t="n">
        <v>6950</v>
      </c>
      <c r="H41" t="n">
        <v>5400</v>
      </c>
      <c r="I41" t="n">
        <v>6950</v>
      </c>
      <c r="J41" t="b">
        <v>1</v>
      </c>
      <c r="K41" t="inlineStr">
        <is>
          <t>Unilever Indonesia Official Shop</t>
        </is>
      </c>
      <c r="L41" t="inlineStr">
        <is>
          <t>KOTA BEKASI</t>
        </is>
      </c>
      <c r="M41" t="n">
        <v>883187183</v>
      </c>
      <c r="N41" t="n">
        <v>14318452</v>
      </c>
      <c r="O41">
        <f>HYPERLINK("https://shopee.co.id/api/v4/item/get?itemid=883187183&amp;shopid=14318452", "Pepsodent Kids Pasta Gigi Strawberry")</f>
        <v/>
      </c>
      <c r="P41" t="n">
        <v>4268</v>
      </c>
      <c r="Q41" t="n">
        <v>20796</v>
      </c>
      <c r="R41" t="n">
        <v>4.934693944676512</v>
      </c>
      <c r="S41" t="n">
        <v>104</v>
      </c>
      <c r="T41" t="n">
        <v>57</v>
      </c>
      <c r="U41" t="n">
        <v>319</v>
      </c>
      <c r="V41" t="n">
        <v>2772</v>
      </c>
      <c r="W41" t="n">
        <v>57562</v>
      </c>
    </row>
    <row r="42">
      <c r="A42" t="inlineStr">
        <is>
          <t>Ponds Age Miracle Night Cream Moisturizer Anti Aging+Glowing With Retinol &amp; Spf18 10G</t>
        </is>
      </c>
      <c r="B42" t="inlineStr">
        <is>
          <t>Pond's</t>
        </is>
      </c>
      <c r="C42" t="inlineStr">
        <is>
          <t>13%</t>
        </is>
      </c>
      <c r="D42" t="n">
        <v>38300</v>
      </c>
      <c r="E42" t="n">
        <v>44200</v>
      </c>
      <c r="F42" t="n">
        <v>38300</v>
      </c>
      <c r="G42" t="n">
        <v>44200</v>
      </c>
      <c r="H42" t="n">
        <v>38300</v>
      </c>
      <c r="I42" t="n">
        <v>44200</v>
      </c>
      <c r="J42" t="b">
        <v>1</v>
      </c>
      <c r="K42" t="inlineStr">
        <is>
          <t>Unilever Indonesia Official Shop</t>
        </is>
      </c>
      <c r="L42" t="inlineStr">
        <is>
          <t>KOTA BEKASI</t>
        </is>
      </c>
      <c r="M42" t="n">
        <v>396829137</v>
      </c>
      <c r="N42" t="n">
        <v>14318452</v>
      </c>
      <c r="O42">
        <f>HYPERLINK("https://shopee.co.id/api/v4/item/get?itemid=396829137&amp;shopid=14318452", "Ponds Age Miracle Night Cream Moisturizer Anti Aging+Glowing With Retinol &amp; Spf18 10G")</f>
        <v/>
      </c>
      <c r="P42" t="n">
        <v>3590</v>
      </c>
      <c r="Q42" t="n">
        <v>3878</v>
      </c>
      <c r="R42" t="n">
        <v>4.910109894128619</v>
      </c>
      <c r="S42" t="n">
        <v>85</v>
      </c>
      <c r="T42" t="n">
        <v>71</v>
      </c>
      <c r="U42" t="n">
        <v>408</v>
      </c>
      <c r="V42" t="n">
        <v>3570</v>
      </c>
      <c r="W42" t="n">
        <v>50563</v>
      </c>
    </row>
    <row r="43">
      <c r="A43" t="inlineStr">
        <is>
          <t>Ponds Facial Foam Sabun Muka Pembersih Wajah Acne Solution 100gr Anti Bakteri</t>
        </is>
      </c>
      <c r="B43" t="inlineStr">
        <is>
          <t>Pond's</t>
        </is>
      </c>
      <c r="C43" t="inlineStr">
        <is>
          <t>11%</t>
        </is>
      </c>
      <c r="D43" t="n">
        <v>32900</v>
      </c>
      <c r="E43" t="n">
        <v>37100</v>
      </c>
      <c r="F43" t="n">
        <v>32900</v>
      </c>
      <c r="G43" t="n">
        <v>37100</v>
      </c>
      <c r="H43" t="n">
        <v>32900</v>
      </c>
      <c r="I43" t="n">
        <v>37100</v>
      </c>
      <c r="J43" t="b">
        <v>1</v>
      </c>
      <c r="K43" t="inlineStr">
        <is>
          <t>Unilever Indonesia Official Shop</t>
        </is>
      </c>
      <c r="L43" t="inlineStr">
        <is>
          <t>KOTA BEKASI</t>
        </is>
      </c>
      <c r="M43" t="n">
        <v>5560819673</v>
      </c>
      <c r="N43" t="n">
        <v>14318452</v>
      </c>
      <c r="O43">
        <f>HYPERLINK("https://shopee.co.id/api/v4/item/get?itemid=5560819673&amp;shopid=14318452", "Ponds Facial Foam Sabun Muka Pembersih Wajah Acne Solution 100gr Anti Bakteri")</f>
        <v/>
      </c>
      <c r="P43" t="n">
        <v>730</v>
      </c>
      <c r="Q43" t="n">
        <v>894</v>
      </c>
      <c r="R43" t="n">
        <v>4.921382152480583</v>
      </c>
      <c r="S43" t="n">
        <v>12</v>
      </c>
      <c r="T43" t="n">
        <v>10</v>
      </c>
      <c r="U43" t="n">
        <v>42</v>
      </c>
      <c r="V43" t="n">
        <v>337</v>
      </c>
      <c r="W43" t="n">
        <v>5909</v>
      </c>
    </row>
    <row r="44">
      <c r="A44" t="inlineStr">
        <is>
          <t>Vaseline Body Serum Body Lotion Soft Glow With Niacinamide, 100X Vitc &amp; Spf20 180Mlx2</t>
        </is>
      </c>
      <c r="B44" t="inlineStr">
        <is>
          <t>None</t>
        </is>
      </c>
      <c r="C44" t="inlineStr">
        <is>
          <t>14%</t>
        </is>
      </c>
      <c r="D44" t="n">
        <v>56700</v>
      </c>
      <c r="E44" t="n">
        <v>66200</v>
      </c>
      <c r="F44" t="n">
        <v>56700</v>
      </c>
      <c r="G44" t="n">
        <v>66200</v>
      </c>
      <c r="H44" t="n">
        <v>56700</v>
      </c>
      <c r="I44" t="n">
        <v>66200</v>
      </c>
      <c r="J44" t="b">
        <v>1</v>
      </c>
      <c r="K44" t="inlineStr">
        <is>
          <t>Unilever Indonesia Official Shop</t>
        </is>
      </c>
      <c r="L44" t="inlineStr">
        <is>
          <t>KOTA BEKASI</t>
        </is>
      </c>
      <c r="M44" t="n">
        <v>6862106677</v>
      </c>
      <c r="N44" t="n">
        <v>14318452</v>
      </c>
      <c r="O44">
        <f>HYPERLINK("https://shopee.co.id/api/v4/item/get?itemid=6862106677&amp;shopid=14318452", "Vaseline Body Serum Body Lotion Soft Glow With Niacinamide, 100X Vitc &amp; Spf20 180Mlx2")</f>
        <v/>
      </c>
      <c r="P44" t="n">
        <v>838</v>
      </c>
      <c r="Q44" t="n">
        <v>11600</v>
      </c>
      <c r="R44" t="n">
        <v>4.935370168940781</v>
      </c>
      <c r="S44" t="n">
        <v>107</v>
      </c>
      <c r="T44" t="n">
        <v>63</v>
      </c>
      <c r="U44" t="n">
        <v>285</v>
      </c>
      <c r="V44" t="n">
        <v>3568</v>
      </c>
      <c r="W44" t="n">
        <v>68639</v>
      </c>
    </row>
    <row r="45">
      <c r="A45" t="inlineStr">
        <is>
          <t>Zwitsal Mini Travel Pack Baby Gifset - Baby Travel Pack, Baby Hampers Gift, Gift Box Bayi</t>
        </is>
      </c>
      <c r="B45" t="inlineStr">
        <is>
          <t>0</t>
        </is>
      </c>
      <c r="C45" t="inlineStr">
        <is>
          <t>17%</t>
        </is>
      </c>
      <c r="D45" t="n">
        <v>23700</v>
      </c>
      <c r="E45" t="n">
        <v>28500</v>
      </c>
      <c r="F45" t="n">
        <v>23700</v>
      </c>
      <c r="G45" t="n">
        <v>28500</v>
      </c>
      <c r="H45" t="n">
        <v>23700</v>
      </c>
      <c r="I45" t="n">
        <v>28500</v>
      </c>
      <c r="J45" t="b">
        <v>1</v>
      </c>
      <c r="K45" t="inlineStr">
        <is>
          <t>Unilever Indonesia Official Shop</t>
        </is>
      </c>
      <c r="L45" t="inlineStr">
        <is>
          <t>KOTA SEMARANG</t>
        </is>
      </c>
      <c r="M45" t="n">
        <v>2523768155</v>
      </c>
      <c r="N45" t="n">
        <v>14318452</v>
      </c>
      <c r="O45">
        <f>HYPERLINK("https://shopee.co.id/api/v4/item/get?itemid=2523768155&amp;shopid=14318452", "Zwitsal Mini Travel Pack Baby Gifset - Baby Travel Pack, Baby Hampers Gift, Gift Box Bayi")</f>
        <v/>
      </c>
      <c r="P45" t="n">
        <v>2317</v>
      </c>
      <c r="Q45" t="n">
        <v>540</v>
      </c>
      <c r="R45" t="n">
        <v>4.874724496221662</v>
      </c>
      <c r="S45" t="n">
        <v>146</v>
      </c>
      <c r="T45" t="n">
        <v>136</v>
      </c>
      <c r="U45" t="n">
        <v>705</v>
      </c>
      <c r="V45" t="n">
        <v>3996</v>
      </c>
      <c r="W45" t="n">
        <v>45869</v>
      </c>
    </row>
    <row r="46">
      <c r="A46" t="inlineStr">
        <is>
          <t>Pepsodent Complete 8 Plus Whitening 75g</t>
        </is>
      </c>
      <c r="B46" t="inlineStr"/>
      <c r="C46" t="inlineStr">
        <is>
          <t>12%</t>
        </is>
      </c>
      <c r="D46" t="n">
        <v>9200</v>
      </c>
      <c r="E46" t="n">
        <v>10500</v>
      </c>
      <c r="F46" t="n">
        <v>9200</v>
      </c>
      <c r="G46" t="n">
        <v>10500</v>
      </c>
      <c r="H46" t="n">
        <v>9200</v>
      </c>
      <c r="I46" t="n">
        <v>10500</v>
      </c>
      <c r="J46" t="b">
        <v>1</v>
      </c>
      <c r="K46" t="inlineStr">
        <is>
          <t>Unilever Indonesia Official Shop</t>
        </is>
      </c>
      <c r="L46" t="inlineStr">
        <is>
          <t>KOTA BEKASI</t>
        </is>
      </c>
      <c r="M46" t="n">
        <v>11927242572</v>
      </c>
      <c r="N46" t="n">
        <v>14318452</v>
      </c>
      <c r="O46">
        <f>HYPERLINK("https://shopee.co.id/api/v4/item/get?itemid=11927242572&amp;shopid=14318452", "Pepsodent Complete 8 Plus Whitening 75g")</f>
        <v/>
      </c>
      <c r="P46" t="n">
        <v>1133</v>
      </c>
      <c r="Q46" t="n">
        <v>8422</v>
      </c>
      <c r="R46" t="n">
        <v>4.904123501929718</v>
      </c>
      <c r="S46" t="n">
        <v>22</v>
      </c>
      <c r="T46" t="n">
        <v>10</v>
      </c>
      <c r="U46" t="n">
        <v>44</v>
      </c>
      <c r="V46" t="n">
        <v>270</v>
      </c>
      <c r="W46" t="n">
        <v>4578</v>
      </c>
    </row>
    <row r="47">
      <c r="A47" t="inlineStr">
        <is>
          <t>Citra Sabun Mandi Natural Glow Bengkoang 70 gr x3</t>
        </is>
      </c>
      <c r="B47" t="inlineStr">
        <is>
          <t>0</t>
        </is>
      </c>
      <c r="C47" t="inlineStr">
        <is>
          <t>5%</t>
        </is>
      </c>
      <c r="D47" t="n">
        <v>10200</v>
      </c>
      <c r="E47" t="n">
        <v>10700</v>
      </c>
      <c r="F47" t="n">
        <v>10200</v>
      </c>
      <c r="G47" t="n">
        <v>10700</v>
      </c>
      <c r="H47" t="n">
        <v>10200</v>
      </c>
      <c r="I47" t="n">
        <v>10700</v>
      </c>
      <c r="J47" t="b">
        <v>0</v>
      </c>
      <c r="K47" t="inlineStr">
        <is>
          <t>Unilever Indonesia Official Shop</t>
        </is>
      </c>
      <c r="L47" t="inlineStr">
        <is>
          <t>KOTA BEKASI</t>
        </is>
      </c>
      <c r="M47" t="n">
        <v>6268012816</v>
      </c>
      <c r="N47" t="n">
        <v>14318452</v>
      </c>
      <c r="O47">
        <f>HYPERLINK("https://shopee.co.id/api/v4/item/get?itemid=6268012816&amp;shopid=14318452", "Citra Sabun Mandi Natural Glow Bengkoang 70 gr x3")</f>
        <v/>
      </c>
      <c r="P47" t="n">
        <v>2219</v>
      </c>
      <c r="Q47" t="n">
        <v>2625</v>
      </c>
      <c r="R47" t="n">
        <v>4.91831086510133</v>
      </c>
      <c r="S47" t="n">
        <v>54</v>
      </c>
      <c r="T47" t="n">
        <v>31</v>
      </c>
      <c r="U47" t="n">
        <v>172</v>
      </c>
      <c r="V47" t="n">
        <v>1198</v>
      </c>
      <c r="W47" t="n">
        <v>20962</v>
      </c>
    </row>
    <row r="48">
      <c r="A48" t="inlineStr">
        <is>
          <t>Zwitsal Kids Bubble Bath Pink Soft &amp; Moisturizing 280 ml</t>
        </is>
      </c>
      <c r="B48" t="inlineStr">
        <is>
          <t>0</t>
        </is>
      </c>
      <c r="C48" t="inlineStr">
        <is>
          <t>22%</t>
        </is>
      </c>
      <c r="D48" t="n">
        <v>20100</v>
      </c>
      <c r="E48" t="n">
        <v>25700</v>
      </c>
      <c r="F48" t="n">
        <v>20100</v>
      </c>
      <c r="G48" t="n">
        <v>25700</v>
      </c>
      <c r="H48" t="n">
        <v>20100</v>
      </c>
      <c r="I48" t="n">
        <v>25700</v>
      </c>
      <c r="J48" t="b">
        <v>1</v>
      </c>
      <c r="K48" t="inlineStr">
        <is>
          <t>Unilever Indonesia Official Shop</t>
        </is>
      </c>
      <c r="L48" t="inlineStr">
        <is>
          <t>KOTA BEKASI</t>
        </is>
      </c>
      <c r="M48" t="n">
        <v>2889007315</v>
      </c>
      <c r="N48" t="n">
        <v>14318452</v>
      </c>
      <c r="O48">
        <f>HYPERLINK("https://shopee.co.id/api/v4/item/get?itemid=2889007315&amp;shopid=14318452", "Zwitsal Kids Bubble Bath Pink Soft &amp; Moisturizing 280 ml")</f>
        <v/>
      </c>
      <c r="P48" t="n">
        <v>564</v>
      </c>
      <c r="Q48" t="n">
        <v>208</v>
      </c>
      <c r="R48" t="n">
        <v>4.913661613784013</v>
      </c>
      <c r="S48" t="n">
        <v>23</v>
      </c>
      <c r="T48" t="n">
        <v>22</v>
      </c>
      <c r="U48" t="n">
        <v>104</v>
      </c>
      <c r="V48" t="n">
        <v>558</v>
      </c>
      <c r="W48" t="n">
        <v>9916</v>
      </c>
    </row>
    <row r="49">
      <c r="A49" t="inlineStr">
        <is>
          <t>Pepsodent Toothbrush Sikat Gigi Double Care Sensitive Soft 3Pc</t>
        </is>
      </c>
      <c r="B49" t="inlineStr">
        <is>
          <t>Pepsodent</t>
        </is>
      </c>
      <c r="C49" t="inlineStr">
        <is>
          <t>28%</t>
        </is>
      </c>
      <c r="D49" t="n">
        <v>21500</v>
      </c>
      <c r="E49" t="n">
        <v>29800</v>
      </c>
      <c r="F49" t="n">
        <v>21500</v>
      </c>
      <c r="G49" t="n">
        <v>29800</v>
      </c>
      <c r="H49" t="n">
        <v>21500</v>
      </c>
      <c r="I49" t="n">
        <v>29800</v>
      </c>
      <c r="J49" t="b">
        <v>1</v>
      </c>
      <c r="K49" t="inlineStr">
        <is>
          <t>Unilever Indonesia Official Shop</t>
        </is>
      </c>
      <c r="L49" t="inlineStr">
        <is>
          <t>KOTA BEKASI</t>
        </is>
      </c>
      <c r="M49" t="n">
        <v>7761513599</v>
      </c>
      <c r="N49" t="n">
        <v>14318452</v>
      </c>
      <c r="O49">
        <f>HYPERLINK("https://shopee.co.id/api/v4/item/get?itemid=7761513599&amp;shopid=14318452", "Pepsodent Toothbrush Sikat Gigi Double Care Sensitive Soft 3Pc")</f>
        <v/>
      </c>
      <c r="P49" t="n">
        <v>4535</v>
      </c>
      <c r="Q49" t="n">
        <v>39</v>
      </c>
      <c r="R49" t="n">
        <v>4.933491228553331</v>
      </c>
      <c r="S49" t="n">
        <v>68</v>
      </c>
      <c r="T49" t="n">
        <v>39</v>
      </c>
      <c r="U49" t="n">
        <v>191</v>
      </c>
      <c r="V49" t="n">
        <v>1658</v>
      </c>
      <c r="W49" t="n">
        <v>34361</v>
      </c>
    </row>
    <row r="50">
      <c r="A50" t="inlineStr">
        <is>
          <t>Zwitsal Baby Bath Hair And Body Sabun Mandi Bayi Natural Aloe Vera 2 In 1 600 Ml</t>
        </is>
      </c>
      <c r="B50" t="inlineStr">
        <is>
          <t>Zwitsal</t>
        </is>
      </c>
      <c r="C50" t="inlineStr">
        <is>
          <t>8%</t>
        </is>
      </c>
      <c r="D50" t="n">
        <v>40500</v>
      </c>
      <c r="E50" t="n">
        <v>43800</v>
      </c>
      <c r="F50" t="n">
        <v>40500</v>
      </c>
      <c r="G50" t="n">
        <v>43800</v>
      </c>
      <c r="H50" t="n">
        <v>40500</v>
      </c>
      <c r="I50" t="n">
        <v>43800</v>
      </c>
      <c r="J50" t="b">
        <v>1</v>
      </c>
      <c r="K50" t="inlineStr">
        <is>
          <t>Unilever Indonesia Official Shop</t>
        </is>
      </c>
      <c r="L50" t="inlineStr">
        <is>
          <t>KOTA BEKASI</t>
        </is>
      </c>
      <c r="M50" t="n">
        <v>7969361435</v>
      </c>
      <c r="N50" t="n">
        <v>14318452</v>
      </c>
      <c r="O50">
        <f>HYPERLINK("https://shopee.co.id/api/v4/item/get?itemid=7969361435&amp;shopid=14318452", "Zwitsal Baby Bath Hair And Body Sabun Mandi Bayi Natural Aloe Vera 2 In 1 600 Ml")</f>
        <v/>
      </c>
      <c r="P50" t="n">
        <v>2730</v>
      </c>
      <c r="Q50" t="n">
        <v>2446</v>
      </c>
      <c r="R50" t="n">
        <v>4.924234125680067</v>
      </c>
      <c r="S50" t="n">
        <v>113</v>
      </c>
      <c r="T50" t="n">
        <v>41</v>
      </c>
      <c r="U50" t="n">
        <v>140</v>
      </c>
      <c r="V50" t="n">
        <v>1249</v>
      </c>
      <c r="W50" t="n">
        <v>25853</v>
      </c>
    </row>
    <row r="51">
      <c r="A51" t="inlineStr">
        <is>
          <t>Zwitsal Baby Natural Minyak Telon 60 ml</t>
        </is>
      </c>
      <c r="B51" t="inlineStr">
        <is>
          <t>Zwitsal</t>
        </is>
      </c>
      <c r="C51" t="inlineStr">
        <is>
          <t>19%</t>
        </is>
      </c>
      <c r="D51" t="n">
        <v>19500</v>
      </c>
      <c r="E51" t="n">
        <v>24100</v>
      </c>
      <c r="F51" t="n">
        <v>19500</v>
      </c>
      <c r="G51" t="n">
        <v>24100</v>
      </c>
      <c r="H51" t="n">
        <v>19500</v>
      </c>
      <c r="I51" t="n">
        <v>24100</v>
      </c>
      <c r="J51" t="b">
        <v>1</v>
      </c>
      <c r="K51" t="inlineStr">
        <is>
          <t>Unilever Indonesia Official Shop</t>
        </is>
      </c>
      <c r="L51" t="inlineStr">
        <is>
          <t>KOTA BEKASI</t>
        </is>
      </c>
      <c r="M51" t="n">
        <v>4031353588</v>
      </c>
      <c r="N51" t="n">
        <v>14318452</v>
      </c>
      <c r="O51">
        <f>HYPERLINK("https://shopee.co.id/api/v4/item/get?itemid=4031353588&amp;shopid=14318452", "Zwitsal Baby Natural Minyak Telon 60 ml")</f>
        <v/>
      </c>
      <c r="P51" t="n">
        <v>522</v>
      </c>
      <c r="Q51" t="n">
        <v>346</v>
      </c>
      <c r="R51" t="n">
        <v>4.918300255692195</v>
      </c>
      <c r="S51" t="n">
        <v>18</v>
      </c>
      <c r="T51" t="n">
        <v>19</v>
      </c>
      <c r="U51" t="n">
        <v>47</v>
      </c>
      <c r="V51" t="n">
        <v>455</v>
      </c>
      <c r="W51" t="n">
        <v>7676</v>
      </c>
    </row>
    <row r="52">
      <c r="A52" t="inlineStr">
        <is>
          <t>Sariwangi Teh Asli Teh Celup Isi 50 (Twin Pack)</t>
        </is>
      </c>
      <c r="B52" t="inlineStr">
        <is>
          <t>Sariwangi</t>
        </is>
      </c>
      <c r="C52" t="inlineStr">
        <is>
          <t>27%</t>
        </is>
      </c>
      <c r="D52" t="n">
        <v>16000</v>
      </c>
      <c r="E52" t="n">
        <v>22000</v>
      </c>
      <c r="F52" t="n">
        <v>16000</v>
      </c>
      <c r="G52" t="n">
        <v>22000</v>
      </c>
      <c r="H52" t="n">
        <v>16000</v>
      </c>
      <c r="I52" t="n">
        <v>22000</v>
      </c>
      <c r="J52" t="b">
        <v>1</v>
      </c>
      <c r="K52" t="inlineStr">
        <is>
          <t>Unilever Indonesia Official Shop</t>
        </is>
      </c>
      <c r="L52" t="inlineStr">
        <is>
          <t>KOTA SEMARANG</t>
        </is>
      </c>
      <c r="M52" t="n">
        <v>5431853422</v>
      </c>
      <c r="N52" t="n">
        <v>14318452</v>
      </c>
      <c r="O52">
        <f>HYPERLINK("https://shopee.co.id/api/v4/item/get?itemid=5431853422&amp;shopid=14318452", "Sariwangi Teh Asli Teh Celup Isi 50 (Twin Pack)")</f>
        <v/>
      </c>
      <c r="P52" t="n">
        <v>3767</v>
      </c>
      <c r="Q52" t="n">
        <v>897</v>
      </c>
      <c r="R52" t="n">
        <v>4.928659754589556</v>
      </c>
      <c r="S52" t="n">
        <v>49</v>
      </c>
      <c r="T52" t="n">
        <v>26</v>
      </c>
      <c r="U52" t="n">
        <v>131</v>
      </c>
      <c r="V52" t="n">
        <v>991</v>
      </c>
      <c r="W52" t="n">
        <v>19863</v>
      </c>
    </row>
    <row r="53">
      <c r="A53" t="inlineStr">
        <is>
          <t>Close Up Pasta Gigi Anti Bacterial Toothpaste Ever Fresh Nafas Segar 12Jam 160Gx2</t>
        </is>
      </c>
      <c r="B53" t="inlineStr">
        <is>
          <t>Close Up</t>
        </is>
      </c>
      <c r="C53" t="inlineStr">
        <is>
          <t>24%</t>
        </is>
      </c>
      <c r="D53" t="n">
        <v>30000</v>
      </c>
      <c r="E53" t="n">
        <v>39300</v>
      </c>
      <c r="F53" t="n">
        <v>30000</v>
      </c>
      <c r="G53" t="n">
        <v>39300</v>
      </c>
      <c r="H53" t="n">
        <v>30000</v>
      </c>
      <c r="I53" t="n">
        <v>39300</v>
      </c>
      <c r="J53" t="b">
        <v>1</v>
      </c>
      <c r="K53" t="inlineStr">
        <is>
          <t>Unilever Indonesia Official Shop</t>
        </is>
      </c>
      <c r="L53" t="inlineStr">
        <is>
          <t>KOTA BEKASI</t>
        </is>
      </c>
      <c r="M53" t="n">
        <v>4431324285</v>
      </c>
      <c r="N53" t="n">
        <v>14318452</v>
      </c>
      <c r="O53">
        <f>HYPERLINK("https://shopee.co.id/api/v4/item/get?itemid=4431324285&amp;shopid=14318452", "Close Up Pasta Gigi Anti Bacterial Toothpaste Ever Fresh Nafas Segar 12Jam 160Gx2")</f>
        <v/>
      </c>
      <c r="P53" t="n">
        <v>3489</v>
      </c>
      <c r="Q53" t="n">
        <v>50</v>
      </c>
      <c r="R53" t="n">
        <v>4.932260928605003</v>
      </c>
      <c r="S53" t="n">
        <v>50</v>
      </c>
      <c r="T53" t="n">
        <v>16</v>
      </c>
      <c r="U53" t="n">
        <v>115</v>
      </c>
      <c r="V53" t="n">
        <v>832</v>
      </c>
      <c r="W53" t="n">
        <v>18138</v>
      </c>
    </row>
    <row r="54">
      <c r="A54" t="inlineStr">
        <is>
          <t>Ponds Bright Beauty Serum Day Cream 20G with Hyaluronic Acid, Niacinamide, Gluta BoostC</t>
        </is>
      </c>
      <c r="B54" t="inlineStr">
        <is>
          <t>0</t>
        </is>
      </c>
      <c r="C54" t="inlineStr">
        <is>
          <t>11%</t>
        </is>
      </c>
      <c r="D54" t="n">
        <v>27300</v>
      </c>
      <c r="E54" t="n">
        <v>30800</v>
      </c>
      <c r="F54" t="n">
        <v>27300</v>
      </c>
      <c r="G54" t="n">
        <v>30800</v>
      </c>
      <c r="H54" t="n">
        <v>27300</v>
      </c>
      <c r="I54" t="n">
        <v>30800</v>
      </c>
      <c r="J54" t="b">
        <v>1</v>
      </c>
      <c r="K54" t="inlineStr">
        <is>
          <t>Unilever Indonesia Official Shop</t>
        </is>
      </c>
      <c r="L54" t="inlineStr">
        <is>
          <t>KOTA BEKASI</t>
        </is>
      </c>
      <c r="M54" t="n">
        <v>1040153497</v>
      </c>
      <c r="N54" t="n">
        <v>14318452</v>
      </c>
      <c r="O54">
        <f>HYPERLINK("https://shopee.co.id/api/v4/item/get?itemid=1040153497&amp;shopid=14318452", "Ponds Bright Beauty Serum Day Cream 20G with Hyaluronic Acid, Niacinamide, Gluta BoostC")</f>
        <v/>
      </c>
      <c r="P54" t="n">
        <v>1165</v>
      </c>
      <c r="Q54" t="n">
        <v>2516</v>
      </c>
      <c r="R54" t="n">
        <v>4.914410577386023</v>
      </c>
      <c r="S54" t="n">
        <v>48</v>
      </c>
      <c r="T54" t="n">
        <v>36</v>
      </c>
      <c r="U54" t="n">
        <v>210</v>
      </c>
      <c r="V54" t="n">
        <v>1601</v>
      </c>
      <c r="W54" t="n">
        <v>25119</v>
      </c>
    </row>
    <row r="55">
      <c r="A55" t="inlineStr">
        <is>
          <t>Zwitsal Natural Baby Shampoo Aloe Vera Kemiri Seledri Pump 300 ml</t>
        </is>
      </c>
      <c r="B55" t="inlineStr">
        <is>
          <t>0</t>
        </is>
      </c>
      <c r="C55" t="inlineStr">
        <is>
          <t>19%</t>
        </is>
      </c>
      <c r="D55" t="n">
        <v>26400</v>
      </c>
      <c r="E55" t="n">
        <v>32400</v>
      </c>
      <c r="F55" t="n">
        <v>26400</v>
      </c>
      <c r="G55" t="n">
        <v>32400</v>
      </c>
      <c r="H55" t="n">
        <v>26400</v>
      </c>
      <c r="I55" t="n">
        <v>32400</v>
      </c>
      <c r="J55" t="b">
        <v>1</v>
      </c>
      <c r="K55" t="inlineStr">
        <is>
          <t>Unilever Indonesia Official Shop</t>
        </is>
      </c>
      <c r="L55" t="inlineStr">
        <is>
          <t>KOTA BEKASI</t>
        </is>
      </c>
      <c r="M55" t="n">
        <v>6460899066</v>
      </c>
      <c r="N55" t="n">
        <v>14318452</v>
      </c>
      <c r="O55">
        <f>HYPERLINK("https://shopee.co.id/api/v4/item/get?itemid=6460899066&amp;shopid=14318452", "Zwitsal Natural Baby Shampoo Aloe Vera Kemiri Seledri Pump 300 ml")</f>
        <v/>
      </c>
      <c r="P55" t="n">
        <v>1421</v>
      </c>
      <c r="Q55" t="n">
        <v>966</v>
      </c>
      <c r="R55" t="n">
        <v>4.913980509745127</v>
      </c>
      <c r="S55" t="n">
        <v>28</v>
      </c>
      <c r="T55" t="n">
        <v>22</v>
      </c>
      <c r="U55" t="n">
        <v>96</v>
      </c>
      <c r="V55" t="n">
        <v>561</v>
      </c>
      <c r="W55" t="n">
        <v>9969</v>
      </c>
    </row>
    <row r="56">
      <c r="A56" t="inlineStr">
        <is>
          <t>Zwitsal Baby Hair Lotion Aloe Vera Kemiri Seledri 200 Ml - Pelebat Rambut Bayi</t>
        </is>
      </c>
      <c r="B56" t="inlineStr">
        <is>
          <t>Zwitsal</t>
        </is>
      </c>
      <c r="C56" t="inlineStr">
        <is>
          <t>18%</t>
        </is>
      </c>
      <c r="D56" t="n">
        <v>35000</v>
      </c>
      <c r="E56" t="n">
        <v>42600</v>
      </c>
      <c r="F56" t="n">
        <v>35000</v>
      </c>
      <c r="G56" t="n">
        <v>42600</v>
      </c>
      <c r="H56" t="n">
        <v>35000</v>
      </c>
      <c r="I56" t="n">
        <v>42600</v>
      </c>
      <c r="J56" t="b">
        <v>1</v>
      </c>
      <c r="K56" t="inlineStr">
        <is>
          <t>Unilever Indonesia Official Shop</t>
        </is>
      </c>
      <c r="L56" t="inlineStr">
        <is>
          <t>KOTA BEKASI</t>
        </is>
      </c>
      <c r="M56" t="n">
        <v>1026004992</v>
      </c>
      <c r="N56" t="n">
        <v>14318452</v>
      </c>
      <c r="O56">
        <f>HYPERLINK("https://shopee.co.id/api/v4/item/get?itemid=1026004992&amp;shopid=14318452", "Zwitsal Baby Hair Lotion Aloe Vera Kemiri Seledri 200 Ml - Pelebat Rambut Bayi")</f>
        <v/>
      </c>
      <c r="P56" t="n">
        <v>1078</v>
      </c>
      <c r="Q56" t="n">
        <v>496</v>
      </c>
      <c r="R56" t="n">
        <v>4.908250198640417</v>
      </c>
      <c r="S56" t="n">
        <v>161</v>
      </c>
      <c r="T56" t="n">
        <v>111</v>
      </c>
      <c r="U56" t="n">
        <v>417</v>
      </c>
      <c r="V56" t="n">
        <v>2364</v>
      </c>
      <c r="W56" t="n">
        <v>42260</v>
      </c>
    </row>
    <row r="57">
      <c r="A57" t="inlineStr">
        <is>
          <t>Rinso Molto Detergen Bubuk Classic Fresh 400 G</t>
        </is>
      </c>
      <c r="B57" t="inlineStr"/>
      <c r="C57" t="inlineStr">
        <is>
          <t>9%</t>
        </is>
      </c>
      <c r="D57" t="n">
        <v>9100</v>
      </c>
      <c r="E57" t="n">
        <v>10000</v>
      </c>
      <c r="F57" t="n">
        <v>9100</v>
      </c>
      <c r="G57" t="n">
        <v>10000</v>
      </c>
      <c r="H57" t="n">
        <v>9100</v>
      </c>
      <c r="I57" t="n">
        <v>10000</v>
      </c>
      <c r="J57" t="b">
        <v>0</v>
      </c>
      <c r="K57" t="inlineStr">
        <is>
          <t>Unilever Indonesia Official Shop</t>
        </is>
      </c>
      <c r="L57" t="inlineStr">
        <is>
          <t>KOTA BEKASI</t>
        </is>
      </c>
      <c r="M57" t="n">
        <v>4979139422</v>
      </c>
      <c r="N57" t="n">
        <v>14318452</v>
      </c>
      <c r="O57">
        <f>HYPERLINK("https://shopee.co.id/api/v4/item/get?itemid=4979139422&amp;shopid=14318452", "Rinso Molto Detergen Bubuk Classic Fresh 400 G")</f>
        <v/>
      </c>
      <c r="P57" t="n">
        <v>7796</v>
      </c>
      <c r="Q57" t="n">
        <v>5105</v>
      </c>
      <c r="R57" t="n">
        <v>4.907536008230453</v>
      </c>
      <c r="S57" t="n">
        <v>54</v>
      </c>
      <c r="T57" t="n">
        <v>34</v>
      </c>
      <c r="U57" t="n">
        <v>156</v>
      </c>
      <c r="V57" t="n">
        <v>825</v>
      </c>
      <c r="W57" t="n">
        <v>14496</v>
      </c>
    </row>
    <row r="58">
      <c r="A58" t="inlineStr">
        <is>
          <t>Zwitsal Kids Bath Sabun Mandi Cair Anak Clean and Fresh Blue 250Ml</t>
        </is>
      </c>
      <c r="B58" t="inlineStr">
        <is>
          <t>Zwitsal</t>
        </is>
      </c>
      <c r="C58" t="inlineStr">
        <is>
          <t>19%</t>
        </is>
      </c>
      <c r="D58" t="n">
        <v>16200</v>
      </c>
      <c r="E58" t="n">
        <v>20100</v>
      </c>
      <c r="F58" t="n">
        <v>16200</v>
      </c>
      <c r="G58" t="n">
        <v>20100</v>
      </c>
      <c r="H58" t="n">
        <v>16200</v>
      </c>
      <c r="I58" t="n">
        <v>20100</v>
      </c>
      <c r="J58" t="b">
        <v>1</v>
      </c>
      <c r="K58" t="inlineStr">
        <is>
          <t>Unilever Indonesia Official Shop</t>
        </is>
      </c>
      <c r="L58" t="inlineStr">
        <is>
          <t>KOTA BEKASI</t>
        </is>
      </c>
      <c r="M58" t="n">
        <v>5657887268</v>
      </c>
      <c r="N58" t="n">
        <v>14318452</v>
      </c>
      <c r="O58">
        <f>HYPERLINK("https://shopee.co.id/api/v4/item/get?itemid=5657887268&amp;shopid=14318452", "Zwitsal Kids Bath Sabun Mandi Cair Anak Clean and Fresh Blue 250Ml")</f>
        <v/>
      </c>
      <c r="P58" t="n">
        <v>715</v>
      </c>
      <c r="Q58" t="n">
        <v>1380</v>
      </c>
      <c r="R58" t="n">
        <v>4.940984498232255</v>
      </c>
      <c r="S58" t="n">
        <v>6</v>
      </c>
      <c r="T58" t="n">
        <v>3</v>
      </c>
      <c r="U58" t="n">
        <v>10</v>
      </c>
      <c r="V58" t="n">
        <v>164</v>
      </c>
      <c r="W58" t="n">
        <v>3494</v>
      </c>
    </row>
    <row r="59">
      <c r="A59" t="inlineStr">
        <is>
          <t>Vaseline Lotion Healthy Bright SPF24 PA++ 400ml</t>
        </is>
      </c>
      <c r="B59" t="inlineStr">
        <is>
          <t>Vaseline</t>
        </is>
      </c>
      <c r="C59" t="inlineStr">
        <is>
          <t>13%</t>
        </is>
      </c>
      <c r="D59" t="n">
        <v>72900</v>
      </c>
      <c r="E59" t="n">
        <v>83700</v>
      </c>
      <c r="F59" t="n">
        <v>72900</v>
      </c>
      <c r="G59" t="n">
        <v>83700</v>
      </c>
      <c r="H59" t="n">
        <v>72900</v>
      </c>
      <c r="I59" t="n">
        <v>83700</v>
      </c>
      <c r="J59" t="b">
        <v>1</v>
      </c>
      <c r="K59" t="inlineStr">
        <is>
          <t>Unilever Indonesia Official Shop</t>
        </is>
      </c>
      <c r="L59" t="inlineStr">
        <is>
          <t>KOTA BEKASI</t>
        </is>
      </c>
      <c r="M59" t="n">
        <v>246823854</v>
      </c>
      <c r="N59" t="n">
        <v>14318452</v>
      </c>
      <c r="O59">
        <f>HYPERLINK("https://shopee.co.id/api/v4/item/get?itemid=246823854&amp;shopid=14318452", "Vaseline Lotion Healthy Bright SPF24 PA++ 400ml")</f>
        <v/>
      </c>
      <c r="P59" t="n">
        <v>2507</v>
      </c>
      <c r="Q59" t="n">
        <v>4636</v>
      </c>
      <c r="R59" t="n">
        <v>4.864853238029054</v>
      </c>
      <c r="S59" t="n">
        <v>182</v>
      </c>
      <c r="T59" t="n">
        <v>148</v>
      </c>
      <c r="U59" t="n">
        <v>454</v>
      </c>
      <c r="V59" t="n">
        <v>2043</v>
      </c>
      <c r="W59" t="n">
        <v>27404</v>
      </c>
    </row>
    <row r="60">
      <c r="A60" t="inlineStr">
        <is>
          <t>Rexona Deodorant Roll On Glowing 40ml Anti Bakteri</t>
        </is>
      </c>
      <c r="B60" t="inlineStr">
        <is>
          <t>Rexona</t>
        </is>
      </c>
      <c r="C60" t="inlineStr">
        <is>
          <t>1%</t>
        </is>
      </c>
      <c r="D60" t="n">
        <v>16500</v>
      </c>
      <c r="E60" t="n">
        <v>16600</v>
      </c>
      <c r="F60" t="n">
        <v>16500</v>
      </c>
      <c r="G60" t="n">
        <v>16600</v>
      </c>
      <c r="H60" t="n">
        <v>16500</v>
      </c>
      <c r="I60" t="n">
        <v>16600</v>
      </c>
      <c r="J60" t="b">
        <v>1</v>
      </c>
      <c r="K60" t="inlineStr">
        <is>
          <t>Unilever Indonesia Official Shop</t>
        </is>
      </c>
      <c r="L60" t="inlineStr">
        <is>
          <t>KOTA BEKASI</t>
        </is>
      </c>
      <c r="M60" t="n">
        <v>1597356601</v>
      </c>
      <c r="N60" t="n">
        <v>14318452</v>
      </c>
      <c r="O60">
        <f>HYPERLINK("https://shopee.co.id/api/v4/item/get?itemid=1597356601&amp;shopid=14318452", "Rexona Deodorant Roll On Glowing 40ml Anti Bakteri")</f>
        <v/>
      </c>
      <c r="P60" t="n">
        <v>5826</v>
      </c>
      <c r="Q60" t="n">
        <v>9600</v>
      </c>
      <c r="R60" t="n">
        <v>4.921060733564582</v>
      </c>
      <c r="S60" t="n">
        <v>188</v>
      </c>
      <c r="T60" t="n">
        <v>132</v>
      </c>
      <c r="U60" t="n">
        <v>642</v>
      </c>
      <c r="V60" t="n">
        <v>5297</v>
      </c>
      <c r="W60" t="n">
        <v>91194</v>
      </c>
    </row>
    <row r="61">
      <c r="A61" t="inlineStr">
        <is>
          <t>Zwitsal Baby Minyak Telon Natural 100 Ml - Baby Telon, Minyak Telon Baby</t>
        </is>
      </c>
      <c r="B61" t="inlineStr">
        <is>
          <t>Zwitsal</t>
        </is>
      </c>
      <c r="C61" t="inlineStr">
        <is>
          <t>22%</t>
        </is>
      </c>
      <c r="D61" t="n">
        <v>30600</v>
      </c>
      <c r="E61" t="n">
        <v>39000</v>
      </c>
      <c r="F61" t="n">
        <v>30600</v>
      </c>
      <c r="G61" t="n">
        <v>39000</v>
      </c>
      <c r="H61" t="n">
        <v>30600</v>
      </c>
      <c r="I61" t="n">
        <v>39000</v>
      </c>
      <c r="J61" t="b">
        <v>1</v>
      </c>
      <c r="K61" t="inlineStr">
        <is>
          <t>Unilever Indonesia Official Shop</t>
        </is>
      </c>
      <c r="L61" t="inlineStr">
        <is>
          <t>KOTA BEKASI</t>
        </is>
      </c>
      <c r="M61" t="n">
        <v>976680619</v>
      </c>
      <c r="N61" t="n">
        <v>14318452</v>
      </c>
      <c r="O61">
        <f>HYPERLINK("https://shopee.co.id/api/v4/item/get?itemid=976680619&amp;shopid=14318452", "Zwitsal Baby Minyak Telon Natural 100 Ml - Baby Telon, Minyak Telon Baby")</f>
        <v/>
      </c>
      <c r="P61" t="n">
        <v>1170</v>
      </c>
      <c r="Q61" t="n">
        <v>878</v>
      </c>
      <c r="R61" t="n">
        <v>4.93134133711787</v>
      </c>
      <c r="S61" t="n">
        <v>99</v>
      </c>
      <c r="T61" t="n">
        <v>83</v>
      </c>
      <c r="U61" t="n">
        <v>259</v>
      </c>
      <c r="V61" t="n">
        <v>2452</v>
      </c>
      <c r="W61" t="n">
        <v>49261</v>
      </c>
    </row>
    <row r="62">
      <c r="A62" t="inlineStr">
        <is>
          <t>Dove Deodorant Wanita Roll On Antiperspirant Complete Care With Moisturizing Cream 40Mlx2</t>
        </is>
      </c>
      <c r="B62" t="inlineStr">
        <is>
          <t>Dove</t>
        </is>
      </c>
      <c r="C62" t="inlineStr">
        <is>
          <t>18%</t>
        </is>
      </c>
      <c r="D62" t="n">
        <v>38500</v>
      </c>
      <c r="E62" t="n">
        <v>47200</v>
      </c>
      <c r="F62" t="n">
        <v>38500</v>
      </c>
      <c r="G62" t="n">
        <v>47200</v>
      </c>
      <c r="H62" t="n">
        <v>38500</v>
      </c>
      <c r="I62" t="n">
        <v>47200</v>
      </c>
      <c r="J62" t="b">
        <v>1</v>
      </c>
      <c r="K62" t="inlineStr">
        <is>
          <t>Unilever Indonesia Official Shop</t>
        </is>
      </c>
      <c r="L62" t="inlineStr">
        <is>
          <t>KOTA BEKASI</t>
        </is>
      </c>
      <c r="M62" t="n">
        <v>3331123053</v>
      </c>
      <c r="N62" t="n">
        <v>14318452</v>
      </c>
      <c r="O62">
        <f>HYPERLINK("https://shopee.co.id/api/v4/item/get?itemid=3331123053&amp;shopid=14318452", "Dove Deodorant Wanita Roll On Antiperspirant Complete Care With Moisturizing Cream 40Mlx2")</f>
        <v/>
      </c>
      <c r="P62" t="n">
        <v>687</v>
      </c>
      <c r="Q62" t="n">
        <v>538</v>
      </c>
      <c r="R62" t="n">
        <v>4.937677053824363</v>
      </c>
      <c r="S62" t="n">
        <v>9</v>
      </c>
      <c r="T62" t="n">
        <v>5</v>
      </c>
      <c r="U62" t="n">
        <v>12</v>
      </c>
      <c r="V62" t="n">
        <v>115</v>
      </c>
      <c r="W62" t="n">
        <v>2687</v>
      </c>
    </row>
    <row r="63">
      <c r="A63" t="inlineStr">
        <is>
          <t>Zwitsal Essential Baby Gift Set Hampers Bayi Zwitsal Natural Paket Perlengkapan Bayi 1 Pc</t>
        </is>
      </c>
      <c r="B63" t="inlineStr">
        <is>
          <t>Zwitsal</t>
        </is>
      </c>
      <c r="C63" t="inlineStr">
        <is>
          <t>24%</t>
        </is>
      </c>
      <c r="D63" t="n">
        <v>99700</v>
      </c>
      <c r="E63" t="n">
        <v>131800</v>
      </c>
      <c r="F63" t="n">
        <v>99700</v>
      </c>
      <c r="G63" t="n">
        <v>131800</v>
      </c>
      <c r="H63" t="n">
        <v>99700</v>
      </c>
      <c r="I63" t="n">
        <v>131800</v>
      </c>
      <c r="J63" t="b">
        <v>1</v>
      </c>
      <c r="K63" t="inlineStr">
        <is>
          <t>Unilever Indonesia Official Shop</t>
        </is>
      </c>
      <c r="L63" t="inlineStr">
        <is>
          <t>KOTA SEMARANG</t>
        </is>
      </c>
      <c r="M63" t="n">
        <v>4942542978</v>
      </c>
      <c r="N63" t="n">
        <v>14318452</v>
      </c>
      <c r="O63">
        <f>HYPERLINK("https://shopee.co.id/api/v4/item/get?itemid=4942542978&amp;shopid=14318452", "Zwitsal Essential Baby Gift Set Hampers Bayi Zwitsal Natural Paket Perlengkapan Bayi 1 Pc")</f>
        <v/>
      </c>
      <c r="P63" t="n">
        <v>3151</v>
      </c>
      <c r="Q63" t="n">
        <v>484</v>
      </c>
      <c r="R63" t="n">
        <v>4.875028083576725</v>
      </c>
      <c r="S63" t="n">
        <v>68</v>
      </c>
      <c r="T63" t="n">
        <v>62</v>
      </c>
      <c r="U63" t="n">
        <v>246</v>
      </c>
      <c r="V63" t="n">
        <v>1307</v>
      </c>
      <c r="W63" t="n">
        <v>16131</v>
      </c>
    </row>
    <row r="64">
      <c r="A64" t="inlineStr">
        <is>
          <t>Glow And Lovely Facial Foam Sabun Muka Pembersih Wajah Vitamin 100G</t>
        </is>
      </c>
      <c r="B64" t="inlineStr">
        <is>
          <t>Fair &amp; Lovely</t>
        </is>
      </c>
      <c r="C64" t="inlineStr">
        <is>
          <t>15%</t>
        </is>
      </c>
      <c r="D64" t="n">
        <v>23800</v>
      </c>
      <c r="E64" t="n">
        <v>28100</v>
      </c>
      <c r="F64" t="n">
        <v>23800</v>
      </c>
      <c r="G64" t="n">
        <v>28100</v>
      </c>
      <c r="H64" t="n">
        <v>23800</v>
      </c>
      <c r="I64" t="n">
        <v>28100</v>
      </c>
      <c r="J64" t="b">
        <v>1</v>
      </c>
      <c r="K64" t="inlineStr">
        <is>
          <t>Unilever Indonesia Official Shop</t>
        </is>
      </c>
      <c r="L64" t="inlineStr">
        <is>
          <t>KOTA SEMARANG</t>
        </is>
      </c>
      <c r="M64" t="n">
        <v>4161514360</v>
      </c>
      <c r="N64" t="n">
        <v>14318452</v>
      </c>
      <c r="O64">
        <f>HYPERLINK("https://shopee.co.id/api/v4/item/get?itemid=4161514360&amp;shopid=14318452", "Glow And Lovely Facial Foam Sabun Muka Pembersih Wajah Vitamin 100G")</f>
        <v/>
      </c>
      <c r="P64" t="n">
        <v>1218</v>
      </c>
      <c r="Q64" t="n">
        <v>1474</v>
      </c>
      <c r="R64" t="n">
        <v>4.910910140465654</v>
      </c>
      <c r="S64" t="n">
        <v>22</v>
      </c>
      <c r="T64" t="n">
        <v>12</v>
      </c>
      <c r="U64" t="n">
        <v>79</v>
      </c>
      <c r="V64" t="n">
        <v>653</v>
      </c>
      <c r="W64" t="n">
        <v>9632</v>
      </c>
    </row>
    <row r="65">
      <c r="A65" t="inlineStr">
        <is>
          <t>Pepsodent Pasta Gigi Complete 8 Plus Whitening Toothpaste 190G</t>
        </is>
      </c>
      <c r="B65" t="inlineStr">
        <is>
          <t>Pepsodent</t>
        </is>
      </c>
      <c r="C65" t="inlineStr">
        <is>
          <t>20%</t>
        </is>
      </c>
      <c r="D65" t="n">
        <v>20000</v>
      </c>
      <c r="E65" t="n">
        <v>25100</v>
      </c>
      <c r="F65" t="n">
        <v>20000</v>
      </c>
      <c r="G65" t="n">
        <v>25100</v>
      </c>
      <c r="H65" t="n">
        <v>20000</v>
      </c>
      <c r="I65" t="n">
        <v>25100</v>
      </c>
      <c r="J65" t="b">
        <v>1</v>
      </c>
      <c r="K65" t="inlineStr">
        <is>
          <t>Unilever Indonesia Official Shop</t>
        </is>
      </c>
      <c r="L65" t="inlineStr">
        <is>
          <t>KOTA BEKASI</t>
        </is>
      </c>
      <c r="M65" t="n">
        <v>127358044</v>
      </c>
      <c r="N65" t="n">
        <v>14318452</v>
      </c>
      <c r="O65">
        <f>HYPERLINK("https://shopee.co.id/api/v4/item/get?itemid=127358044&amp;shopid=14318452", "Pepsodent Pasta Gigi Complete 8 Plus Whitening Toothpaste 190G")</f>
        <v/>
      </c>
      <c r="P65" t="n">
        <v>3502</v>
      </c>
      <c r="Q65" t="n">
        <v>6243</v>
      </c>
      <c r="R65" t="n">
        <v>4.932220149253731</v>
      </c>
      <c r="S65" t="n">
        <v>107</v>
      </c>
      <c r="T65" t="n">
        <v>66</v>
      </c>
      <c r="U65" t="n">
        <v>309</v>
      </c>
      <c r="V65" t="n">
        <v>2430</v>
      </c>
      <c r="W65" t="n">
        <v>50701</v>
      </c>
    </row>
    <row r="66">
      <c r="A66" t="inlineStr">
        <is>
          <t>Pond's Flawless Radiance Brightening Day Cream 10 gr with Niacinamide &amp; SPF18 PA++</t>
        </is>
      </c>
      <c r="B66" t="inlineStr">
        <is>
          <t>0</t>
        </is>
      </c>
      <c r="C66" t="inlineStr">
        <is>
          <t>14%</t>
        </is>
      </c>
      <c r="D66" t="n">
        <v>27800</v>
      </c>
      <c r="E66" t="n">
        <v>32300</v>
      </c>
      <c r="F66" t="n">
        <v>27800</v>
      </c>
      <c r="G66" t="n">
        <v>32300</v>
      </c>
      <c r="H66" t="n">
        <v>27800</v>
      </c>
      <c r="I66" t="n">
        <v>32300</v>
      </c>
      <c r="J66" t="b">
        <v>1</v>
      </c>
      <c r="K66" t="inlineStr">
        <is>
          <t>Unilever Indonesia Official Shop</t>
        </is>
      </c>
      <c r="L66" t="inlineStr">
        <is>
          <t>KOTA BEKASI</t>
        </is>
      </c>
      <c r="M66" t="n">
        <v>127043322</v>
      </c>
      <c r="N66" t="n">
        <v>14318452</v>
      </c>
      <c r="O66">
        <f>HYPERLINK("https://shopee.co.id/api/v4/item/get?itemid=127043322&amp;shopid=14318452", "Pond's Flawless Radiance Brightening Day Cream 10 gr with Niacinamide &amp; SPF18 PA++")</f>
        <v/>
      </c>
      <c r="P66" t="n">
        <v>1462</v>
      </c>
      <c r="Q66" t="n">
        <v>901</v>
      </c>
      <c r="R66" t="n">
        <v>4.900309939285866</v>
      </c>
      <c r="S66" t="n">
        <v>55</v>
      </c>
      <c r="T66" t="n">
        <v>53</v>
      </c>
      <c r="U66" t="n">
        <v>238</v>
      </c>
      <c r="V66" t="n">
        <v>1506</v>
      </c>
      <c r="W66" t="n">
        <v>21705</v>
      </c>
    </row>
    <row r="67">
      <c r="A67" t="inlineStr">
        <is>
          <t>Zwitsal Baby Natural Hair And Body 100 ml</t>
        </is>
      </c>
      <c r="B67" t="inlineStr">
        <is>
          <t>0</t>
        </is>
      </c>
      <c r="C67" t="inlineStr">
        <is>
          <t>14%</t>
        </is>
      </c>
      <c r="D67" t="n">
        <v>12400</v>
      </c>
      <c r="E67" t="n">
        <v>14500</v>
      </c>
      <c r="F67" t="n">
        <v>12400</v>
      </c>
      <c r="G67" t="n">
        <v>14500</v>
      </c>
      <c r="H67" t="n">
        <v>12400</v>
      </c>
      <c r="I67" t="n">
        <v>14500</v>
      </c>
      <c r="J67" t="b">
        <v>1</v>
      </c>
      <c r="K67" t="inlineStr">
        <is>
          <t>Unilever Indonesia Official Shop</t>
        </is>
      </c>
      <c r="L67" t="inlineStr">
        <is>
          <t>KOTA BEKASI</t>
        </is>
      </c>
      <c r="M67" t="n">
        <v>1568726814</v>
      </c>
      <c r="N67" t="n">
        <v>14318452</v>
      </c>
      <c r="O67">
        <f>HYPERLINK("https://shopee.co.id/api/v4/item/get?itemid=1568726814&amp;shopid=14318452", "Zwitsal Baby Natural Hair And Body 100 ml")</f>
        <v/>
      </c>
      <c r="P67" t="n">
        <v>891</v>
      </c>
      <c r="Q67" t="n">
        <v>782</v>
      </c>
      <c r="R67" t="n">
        <v>4.910051371522729</v>
      </c>
      <c r="S67" t="n">
        <v>20</v>
      </c>
      <c r="T67" t="n">
        <v>23</v>
      </c>
      <c r="U67" t="n">
        <v>91</v>
      </c>
      <c r="V67" t="n">
        <v>597</v>
      </c>
      <c r="W67" t="n">
        <v>9587</v>
      </c>
    </row>
    <row r="68">
      <c r="A68" t="inlineStr">
        <is>
          <t>Zwitsal Baby Powder Classic Soft Floral 300 gr</t>
        </is>
      </c>
      <c r="B68" t="inlineStr">
        <is>
          <t>Zwitsal</t>
        </is>
      </c>
      <c r="C68" t="inlineStr">
        <is>
          <t>19%</t>
        </is>
      </c>
      <c r="D68" t="n">
        <v>17700</v>
      </c>
      <c r="E68" t="n">
        <v>21800</v>
      </c>
      <c r="F68" t="n">
        <v>17700</v>
      </c>
      <c r="G68" t="n">
        <v>21800</v>
      </c>
      <c r="H68" t="n">
        <v>17700</v>
      </c>
      <c r="I68" t="n">
        <v>21800</v>
      </c>
      <c r="J68" t="b">
        <v>1</v>
      </c>
      <c r="K68" t="inlineStr">
        <is>
          <t>Unilever Indonesia Official Shop</t>
        </is>
      </c>
      <c r="L68" t="inlineStr">
        <is>
          <t>KOTA BALIKPAPAN</t>
        </is>
      </c>
      <c r="M68" t="n">
        <v>5331353933</v>
      </c>
      <c r="N68" t="n">
        <v>14318452</v>
      </c>
      <c r="O68">
        <f>HYPERLINK("https://shopee.co.id/api/v4/item/get?itemid=5331353933&amp;shopid=14318452", "Zwitsal Baby Powder Classic Soft Floral 300 gr")</f>
        <v/>
      </c>
      <c r="P68" t="n">
        <v>268</v>
      </c>
      <c r="Q68" t="n">
        <v>6</v>
      </c>
      <c r="R68" t="n">
        <v>4.923620549062245</v>
      </c>
      <c r="S68" t="n">
        <v>7</v>
      </c>
      <c r="T68" t="n">
        <v>4</v>
      </c>
      <c r="U68" t="n">
        <v>18</v>
      </c>
      <c r="V68" t="n">
        <v>205</v>
      </c>
      <c r="W68" t="n">
        <v>3445</v>
      </c>
    </row>
    <row r="69">
      <c r="A69" t="inlineStr">
        <is>
          <t>Ponds Facial Wash Pure Bright 100G - Sabun Muka, Facial Foam, Sabun Pembersih Muka</t>
        </is>
      </c>
      <c r="B69" t="inlineStr">
        <is>
          <t>Pond's</t>
        </is>
      </c>
      <c r="C69" t="inlineStr">
        <is>
          <t>11%</t>
        </is>
      </c>
      <c r="D69" t="n">
        <v>32100</v>
      </c>
      <c r="E69" t="n">
        <v>36000</v>
      </c>
      <c r="F69" t="n">
        <v>32100</v>
      </c>
      <c r="G69" t="n">
        <v>36000</v>
      </c>
      <c r="H69" t="n">
        <v>32100</v>
      </c>
      <c r="I69" t="n">
        <v>36000</v>
      </c>
      <c r="J69" t="b">
        <v>1</v>
      </c>
      <c r="K69" t="inlineStr">
        <is>
          <t>Unilever Indonesia Official Shop</t>
        </is>
      </c>
      <c r="L69" t="inlineStr">
        <is>
          <t>KOTA SURABAYA</t>
        </is>
      </c>
      <c r="M69" t="n">
        <v>1008956401</v>
      </c>
      <c r="N69" t="n">
        <v>14318452</v>
      </c>
      <c r="O69">
        <f>HYPERLINK("https://shopee.co.id/api/v4/item/get?itemid=1008956401&amp;shopid=14318452", "Ponds Facial Wash Pure Bright 100G - Sabun Muka, Facial Foam, Sabun Pembersih Muka")</f>
        <v/>
      </c>
      <c r="P69" t="n">
        <v>1037</v>
      </c>
      <c r="Q69" t="n">
        <v>717</v>
      </c>
      <c r="R69" t="n">
        <v>4.924925257446573</v>
      </c>
      <c r="S69" t="n">
        <v>55</v>
      </c>
      <c r="T69" t="n">
        <v>30</v>
      </c>
      <c r="U69" t="n">
        <v>166</v>
      </c>
      <c r="V69" t="n">
        <v>1412</v>
      </c>
      <c r="W69" t="n">
        <v>25435</v>
      </c>
    </row>
    <row r="70">
      <c r="A70" t="inlineStr">
        <is>
          <t>Vaseline Repairing Petroleum Jelly Lotion Original Pure 100Ml</t>
        </is>
      </c>
      <c r="B70" t="inlineStr">
        <is>
          <t>Vaseline</t>
        </is>
      </c>
      <c r="C70" t="inlineStr">
        <is>
          <t>12%</t>
        </is>
      </c>
      <c r="D70" t="n">
        <v>44800</v>
      </c>
      <c r="E70" t="n">
        <v>51100</v>
      </c>
      <c r="F70" t="n">
        <v>44800</v>
      </c>
      <c r="G70" t="n">
        <v>51100</v>
      </c>
      <c r="H70" t="n">
        <v>44800</v>
      </c>
      <c r="I70" t="n">
        <v>51100</v>
      </c>
      <c r="J70" t="b">
        <v>1</v>
      </c>
      <c r="K70" t="inlineStr">
        <is>
          <t>Unilever Indonesia Official Shop</t>
        </is>
      </c>
      <c r="L70" t="inlineStr">
        <is>
          <t>KOTA BEKASI</t>
        </is>
      </c>
      <c r="M70" t="n">
        <v>3260937771</v>
      </c>
      <c r="N70" t="n">
        <v>14318452</v>
      </c>
      <c r="O70">
        <f>HYPERLINK("https://shopee.co.id/api/v4/item/get?itemid=3260937771&amp;shopid=14318452", "Vaseline Repairing Petroleum Jelly Lotion Original Pure 100Ml")</f>
        <v/>
      </c>
      <c r="P70" t="n">
        <v>1318</v>
      </c>
      <c r="Q70" t="n">
        <v>2134</v>
      </c>
      <c r="R70" t="n">
        <v>4.926419800460476</v>
      </c>
      <c r="S70" t="n">
        <v>22</v>
      </c>
      <c r="T70" t="n">
        <v>6</v>
      </c>
      <c r="U70" t="n">
        <v>58</v>
      </c>
      <c r="V70" t="n">
        <v>574</v>
      </c>
      <c r="W70" t="n">
        <v>9772</v>
      </c>
    </row>
    <row r="71">
      <c r="A71" t="inlineStr">
        <is>
          <t>Glow &amp; Lovely Sabun Cuci Muka Multivitamin Pencerah Facial Foam 100G</t>
        </is>
      </c>
      <c r="B71" t="inlineStr">
        <is>
          <t>Fair &amp; Lovely</t>
        </is>
      </c>
      <c r="C71" t="inlineStr">
        <is>
          <t>14%</t>
        </is>
      </c>
      <c r="D71" t="n">
        <v>26100</v>
      </c>
      <c r="E71" t="n">
        <v>30400</v>
      </c>
      <c r="F71" t="n">
        <v>26100</v>
      </c>
      <c r="G71" t="n">
        <v>30400</v>
      </c>
      <c r="H71" t="n">
        <v>26100</v>
      </c>
      <c r="I71" t="n">
        <v>30400</v>
      </c>
      <c r="J71" t="b">
        <v>1</v>
      </c>
      <c r="K71" t="inlineStr">
        <is>
          <t>Unilever Indonesia Official Shop</t>
        </is>
      </c>
      <c r="L71" t="inlineStr">
        <is>
          <t>KOTA SEMARANG</t>
        </is>
      </c>
      <c r="M71" t="n">
        <v>483894191</v>
      </c>
      <c r="N71" t="n">
        <v>14318452</v>
      </c>
      <c r="O71">
        <f>HYPERLINK("https://shopee.co.id/api/v4/item/get?itemid=483894191&amp;shopid=14318452", "Glow &amp; Lovely Sabun Cuci Muka Multivitamin Pencerah Facial Foam 100G")</f>
        <v/>
      </c>
      <c r="P71" t="n">
        <v>2075</v>
      </c>
      <c r="Q71" t="n">
        <v>1473</v>
      </c>
      <c r="R71" t="n">
        <v>4.924596331713435</v>
      </c>
      <c r="S71" t="n">
        <v>81</v>
      </c>
      <c r="T71" t="n">
        <v>62</v>
      </c>
      <c r="U71" t="n">
        <v>340</v>
      </c>
      <c r="V71" t="n">
        <v>3165</v>
      </c>
      <c r="W71" t="n">
        <v>53778</v>
      </c>
    </row>
    <row r="72">
      <c r="A72" t="inlineStr">
        <is>
          <t>PEPSODENT SIKAT GIGI BRILIAN SIKAT GIGI LEMBUT</t>
        </is>
      </c>
      <c r="B72" t="inlineStr"/>
      <c r="C72" t="inlineStr">
        <is>
          <t>24%</t>
        </is>
      </c>
      <c r="D72" t="n">
        <v>2800</v>
      </c>
      <c r="E72" t="n">
        <v>3700</v>
      </c>
      <c r="F72" t="n">
        <v>2800</v>
      </c>
      <c r="G72" t="n">
        <v>3700</v>
      </c>
      <c r="H72" t="n">
        <v>2800</v>
      </c>
      <c r="I72" t="n">
        <v>3700</v>
      </c>
      <c r="J72" t="b">
        <v>0</v>
      </c>
      <c r="K72" t="inlineStr">
        <is>
          <t>Unilever Indonesia Official Shop</t>
        </is>
      </c>
      <c r="L72" t="inlineStr">
        <is>
          <t>KAB. BANYUASIN</t>
        </is>
      </c>
      <c r="M72" t="n">
        <v>13756835250</v>
      </c>
      <c r="N72" t="n">
        <v>14318452</v>
      </c>
      <c r="O72">
        <f>HYPERLINK("https://shopee.co.id/api/v4/item/get?itemid=13756835250&amp;shopid=14318452", "PEPSODENT SIKAT GIGI BRILIAN SIKAT GIGI LEMBUT")</f>
        <v/>
      </c>
      <c r="P72" t="n">
        <v>3408</v>
      </c>
      <c r="Q72" t="n">
        <v>682</v>
      </c>
      <c r="R72" t="n">
        <v>4.911229135053111</v>
      </c>
      <c r="S72" t="n">
        <v>26</v>
      </c>
      <c r="T72" t="n">
        <v>5</v>
      </c>
      <c r="U72" t="n">
        <v>81</v>
      </c>
      <c r="V72" t="n">
        <v>545</v>
      </c>
      <c r="W72" t="n">
        <v>8571</v>
      </c>
    </row>
    <row r="73">
      <c r="A73" t="inlineStr">
        <is>
          <t>Ponds Bright Beauty Power Serum 7.5G</t>
        </is>
      </c>
      <c r="B73" t="inlineStr"/>
      <c r="C73" t="inlineStr">
        <is>
          <t>2%</t>
        </is>
      </c>
      <c r="D73" t="n">
        <v>18100</v>
      </c>
      <c r="E73" t="n">
        <v>18500</v>
      </c>
      <c r="F73" t="n">
        <v>18100</v>
      </c>
      <c r="G73" t="n">
        <v>18500</v>
      </c>
      <c r="H73" t="n">
        <v>18100</v>
      </c>
      <c r="I73" t="n">
        <v>18500</v>
      </c>
      <c r="J73" t="b">
        <v>1</v>
      </c>
      <c r="K73" t="inlineStr">
        <is>
          <t>Unilever Indonesia Official Shop</t>
        </is>
      </c>
      <c r="L73" t="inlineStr">
        <is>
          <t>KOTA BEKASI</t>
        </is>
      </c>
      <c r="M73" t="n">
        <v>8935272757</v>
      </c>
      <c r="N73" t="n">
        <v>14318452</v>
      </c>
      <c r="O73">
        <f>HYPERLINK("https://shopee.co.id/api/v4/item/get?itemid=8935272757&amp;shopid=14318452", "Ponds Bright Beauty Power Serum 7.5G")</f>
        <v/>
      </c>
      <c r="P73" t="n">
        <v>1328</v>
      </c>
      <c r="Q73" t="n">
        <v>1982</v>
      </c>
      <c r="R73" t="n">
        <v>4.881877329290632</v>
      </c>
      <c r="S73" t="n">
        <v>48</v>
      </c>
      <c r="T73" t="n">
        <v>32</v>
      </c>
      <c r="U73" t="n">
        <v>196</v>
      </c>
      <c r="V73" t="n">
        <v>1200</v>
      </c>
      <c r="W73" t="n">
        <v>14359</v>
      </c>
    </row>
    <row r="74">
      <c r="A74" t="inlineStr">
        <is>
          <t>Glow &amp; Lovely Multi Vitamin 23 gr</t>
        </is>
      </c>
      <c r="B74" t="inlineStr">
        <is>
          <t>Fair &amp; Lovely</t>
        </is>
      </c>
      <c r="C74" t="inlineStr">
        <is>
          <t>15%</t>
        </is>
      </c>
      <c r="D74" t="n">
        <v>18000</v>
      </c>
      <c r="E74" t="n">
        <v>21200</v>
      </c>
      <c r="F74" t="n">
        <v>18000</v>
      </c>
      <c r="G74" t="n">
        <v>21200</v>
      </c>
      <c r="H74" t="n">
        <v>18000</v>
      </c>
      <c r="I74" t="n">
        <v>21200</v>
      </c>
      <c r="J74" t="b">
        <v>1</v>
      </c>
      <c r="K74" t="inlineStr">
        <is>
          <t>Unilever Indonesia Official Shop</t>
        </is>
      </c>
      <c r="L74" t="inlineStr">
        <is>
          <t>KOTA BEKASI</t>
        </is>
      </c>
      <c r="M74" t="n">
        <v>4360774231</v>
      </c>
      <c r="N74" t="n">
        <v>14318452</v>
      </c>
      <c r="O74">
        <f>HYPERLINK("https://shopee.co.id/api/v4/item/get?itemid=4360774231&amp;shopid=14318452", "Glow &amp; Lovely Multi Vitamin 23 gr")</f>
        <v/>
      </c>
      <c r="P74" t="n">
        <v>521</v>
      </c>
      <c r="Q74" t="n">
        <v>542</v>
      </c>
      <c r="R74" t="n">
        <v>4.898191424507214</v>
      </c>
      <c r="S74" t="n">
        <v>19</v>
      </c>
      <c r="T74" t="n">
        <v>8</v>
      </c>
      <c r="U74" t="n">
        <v>53</v>
      </c>
      <c r="V74" t="n">
        <v>303</v>
      </c>
      <c r="W74" t="n">
        <v>4540</v>
      </c>
    </row>
    <row r="75">
      <c r="A75" t="inlineStr">
        <is>
          <t>Vaseline Repairing Petroleum Jelly Original Kulit Kering 100% Pure 50Ml</t>
        </is>
      </c>
      <c r="B75" t="inlineStr">
        <is>
          <t>Vaseline</t>
        </is>
      </c>
      <c r="C75" t="inlineStr">
        <is>
          <t>12%</t>
        </is>
      </c>
      <c r="D75" t="n">
        <v>29600</v>
      </c>
      <c r="E75" t="n">
        <v>33700</v>
      </c>
      <c r="F75" t="n">
        <v>29600</v>
      </c>
      <c r="G75" t="n">
        <v>33700</v>
      </c>
      <c r="H75" t="n">
        <v>29600</v>
      </c>
      <c r="I75" t="n">
        <v>33700</v>
      </c>
      <c r="J75" t="b">
        <v>1</v>
      </c>
      <c r="K75" t="inlineStr">
        <is>
          <t>Unilever Indonesia Official Shop</t>
        </is>
      </c>
      <c r="L75" t="inlineStr">
        <is>
          <t>KOTA BEKASI</t>
        </is>
      </c>
      <c r="M75" t="n">
        <v>253774714</v>
      </c>
      <c r="N75" t="n">
        <v>14318452</v>
      </c>
      <c r="O75">
        <f>HYPERLINK("https://shopee.co.id/api/v4/item/get?itemid=253774714&amp;shopid=14318452", "Vaseline Repairing Petroleum Jelly Original Kulit Kering 100% Pure 50Ml")</f>
        <v/>
      </c>
      <c r="P75" t="n">
        <v>3689</v>
      </c>
      <c r="Q75" t="n">
        <v>5188</v>
      </c>
      <c r="R75" t="n">
        <v>4.924374063410281</v>
      </c>
      <c r="S75" t="n">
        <v>182</v>
      </c>
      <c r="T75" t="n">
        <v>98</v>
      </c>
      <c r="U75" t="n">
        <v>706</v>
      </c>
      <c r="V75" t="n">
        <v>6615</v>
      </c>
      <c r="W75" t="n">
        <v>111200</v>
      </c>
    </row>
    <row r="76">
      <c r="A76" t="inlineStr">
        <is>
          <t>Citra Night Collagen Glow Hand &amp; Body Lotion 230 ml</t>
        </is>
      </c>
      <c r="B76" t="inlineStr">
        <is>
          <t>Citra</t>
        </is>
      </c>
      <c r="C76" t="inlineStr">
        <is>
          <t>1%</t>
        </is>
      </c>
      <c r="D76" t="n">
        <v>30800</v>
      </c>
      <c r="E76" t="n">
        <v>31100</v>
      </c>
      <c r="F76" t="n">
        <v>30800</v>
      </c>
      <c r="G76" t="n">
        <v>31100</v>
      </c>
      <c r="H76" t="n">
        <v>30800</v>
      </c>
      <c r="I76" t="n">
        <v>31100</v>
      </c>
      <c r="J76" t="b">
        <v>1</v>
      </c>
      <c r="K76" t="inlineStr">
        <is>
          <t>Unilever Indonesia Official Shop</t>
        </is>
      </c>
      <c r="L76" t="inlineStr">
        <is>
          <t>KOTA BEKASI</t>
        </is>
      </c>
      <c r="M76" t="n">
        <v>3760912735</v>
      </c>
      <c r="N76" t="n">
        <v>14318452</v>
      </c>
      <c r="O76">
        <f>HYPERLINK("https://shopee.co.id/api/v4/item/get?itemid=3760912735&amp;shopid=14318452", "Citra Night Collagen Glow Hand &amp; Body Lotion 230 ml")</f>
        <v/>
      </c>
      <c r="P76" t="n">
        <v>953</v>
      </c>
      <c r="Q76" t="n">
        <v>1807</v>
      </c>
      <c r="R76" t="n">
        <v>4.902690136167386</v>
      </c>
      <c r="S76" t="n">
        <v>23</v>
      </c>
      <c r="T76" t="n">
        <v>16</v>
      </c>
      <c r="U76" t="n">
        <v>84</v>
      </c>
      <c r="V76" t="n">
        <v>578</v>
      </c>
      <c r="W76" t="n">
        <v>8334</v>
      </c>
    </row>
    <row r="77">
      <c r="A77" t="inlineStr">
        <is>
          <t>Royco Bumbu Kaldu Ayam 220 G - Bumbu Kaldu Ayam, Penyedap Makanan, Bumbu Kaldu</t>
        </is>
      </c>
      <c r="B77" t="inlineStr">
        <is>
          <t>Royco</t>
        </is>
      </c>
      <c r="C77" t="inlineStr">
        <is>
          <t>11%</t>
        </is>
      </c>
      <c r="D77" t="n">
        <v>9200</v>
      </c>
      <c r="E77" t="n">
        <v>10300</v>
      </c>
      <c r="F77" t="n">
        <v>9200</v>
      </c>
      <c r="G77" t="n">
        <v>10300</v>
      </c>
      <c r="H77" t="n">
        <v>9200</v>
      </c>
      <c r="I77" t="n">
        <v>10300</v>
      </c>
      <c r="J77" t="b">
        <v>1</v>
      </c>
      <c r="K77" t="inlineStr">
        <is>
          <t>Unilever Indonesia Official Shop</t>
        </is>
      </c>
      <c r="L77" t="inlineStr">
        <is>
          <t>KOTA BEKASI</t>
        </is>
      </c>
      <c r="M77" t="n">
        <v>1480864128</v>
      </c>
      <c r="N77" t="n">
        <v>14318452</v>
      </c>
      <c r="O77">
        <f>HYPERLINK("https://shopee.co.id/api/v4/item/get?itemid=1480864128&amp;shopid=14318452", "Royco Bumbu Kaldu Ayam 220 G - Bumbu Kaldu Ayam, Penyedap Makanan, Bumbu Kaldu")</f>
        <v/>
      </c>
      <c r="P77" t="n">
        <v>6556</v>
      </c>
      <c r="Q77" t="n">
        <v>9247</v>
      </c>
      <c r="R77" t="n">
        <v>4.942191010242168</v>
      </c>
      <c r="S77" t="n">
        <v>105</v>
      </c>
      <c r="T77" t="n">
        <v>50</v>
      </c>
      <c r="U77" t="n">
        <v>263</v>
      </c>
      <c r="V77" t="n">
        <v>2206</v>
      </c>
      <c r="W77" t="n">
        <v>53957</v>
      </c>
    </row>
    <row r="78">
      <c r="A78" t="inlineStr">
        <is>
          <t>Zwitsal Baby Bath Hair And Body Sabun Mandi Bayi Natural Aloe Vera 2 In 1 450Ml</t>
        </is>
      </c>
      <c r="B78" t="inlineStr">
        <is>
          <t>Zwitsal</t>
        </is>
      </c>
      <c r="C78" t="inlineStr">
        <is>
          <t>7%</t>
        </is>
      </c>
      <c r="D78" t="n">
        <v>37100</v>
      </c>
      <c r="E78" t="n">
        <v>40100</v>
      </c>
      <c r="F78" t="n">
        <v>37100</v>
      </c>
      <c r="G78" t="n">
        <v>40100</v>
      </c>
      <c r="H78" t="n">
        <v>37100</v>
      </c>
      <c r="I78" t="n">
        <v>40100</v>
      </c>
      <c r="J78" t="b">
        <v>1</v>
      </c>
      <c r="K78" t="inlineStr">
        <is>
          <t>Unilever Indonesia Official Shop</t>
        </is>
      </c>
      <c r="L78" t="inlineStr">
        <is>
          <t>KOTA BEKASI</t>
        </is>
      </c>
      <c r="M78" t="n">
        <v>1010584952</v>
      </c>
      <c r="N78" t="n">
        <v>14318452</v>
      </c>
      <c r="O78">
        <f>HYPERLINK("https://shopee.co.id/api/v4/item/get?itemid=1010584952&amp;shopid=14318452", "Zwitsal Baby Bath Hair And Body Sabun Mandi Bayi Natural Aloe Vera 2 In 1 450Ml")</f>
        <v/>
      </c>
      <c r="P78" t="n">
        <v>356</v>
      </c>
      <c r="Q78" t="n">
        <v>436</v>
      </c>
      <c r="R78" t="n">
        <v>4.937904846995756</v>
      </c>
      <c r="S78" t="n">
        <v>37</v>
      </c>
      <c r="T78" t="n">
        <v>21</v>
      </c>
      <c r="U78" t="n">
        <v>121</v>
      </c>
      <c r="V78" t="n">
        <v>937</v>
      </c>
      <c r="W78" t="n">
        <v>21269</v>
      </c>
    </row>
    <row r="79">
      <c r="A79" t="inlineStr">
        <is>
          <t>Zwitsal Kids Body Mist Fresh Touch 100 ml</t>
        </is>
      </c>
      <c r="B79" t="inlineStr"/>
      <c r="C79" t="inlineStr">
        <is>
          <t>16%</t>
        </is>
      </c>
      <c r="D79" t="n">
        <v>15600</v>
      </c>
      <c r="E79" t="n">
        <v>18500</v>
      </c>
      <c r="F79" t="n">
        <v>15600</v>
      </c>
      <c r="G79" t="n">
        <v>18500</v>
      </c>
      <c r="H79" t="n">
        <v>15600</v>
      </c>
      <c r="I79" t="n">
        <v>18500</v>
      </c>
      <c r="J79" t="b">
        <v>1</v>
      </c>
      <c r="K79" t="inlineStr">
        <is>
          <t>Unilever Indonesia Official Shop</t>
        </is>
      </c>
      <c r="L79" t="inlineStr">
        <is>
          <t>KOTA BEKASI</t>
        </is>
      </c>
      <c r="M79" t="n">
        <v>3718724148</v>
      </c>
      <c r="N79" t="n">
        <v>14318452</v>
      </c>
      <c r="O79">
        <f>HYPERLINK("https://shopee.co.id/api/v4/item/get?itemid=3718724148&amp;shopid=14318452", "Zwitsal Kids Body Mist Fresh Touch 100 ml")</f>
        <v/>
      </c>
      <c r="P79" t="n">
        <v>1250</v>
      </c>
      <c r="Q79" t="n">
        <v>451</v>
      </c>
      <c r="R79" t="n">
        <v>4.879500478372527</v>
      </c>
      <c r="S79" t="n">
        <v>71</v>
      </c>
      <c r="T79" t="n">
        <v>54</v>
      </c>
      <c r="U79" t="n">
        <v>297</v>
      </c>
      <c r="V79" t="n">
        <v>1364</v>
      </c>
      <c r="W79" t="n">
        <v>18076</v>
      </c>
    </row>
    <row r="80">
      <c r="A80" t="inlineStr">
        <is>
          <t>Pepsodent Pasta Gigi Pencegah Gigi Berlubang AntiCavity Toothpaste Dgn Mikrokalsium 225Gx2</t>
        </is>
      </c>
      <c r="B80" t="inlineStr">
        <is>
          <t>Pepsodent</t>
        </is>
      </c>
      <c r="C80" t="inlineStr">
        <is>
          <t>27%</t>
        </is>
      </c>
      <c r="D80" t="n">
        <v>23600</v>
      </c>
      <c r="E80" t="n">
        <v>32200</v>
      </c>
      <c r="F80" t="n">
        <v>23600</v>
      </c>
      <c r="G80" t="n">
        <v>32200</v>
      </c>
      <c r="H80" t="n">
        <v>23600</v>
      </c>
      <c r="I80" t="n">
        <v>32200</v>
      </c>
      <c r="J80" t="b">
        <v>1</v>
      </c>
      <c r="K80" t="inlineStr">
        <is>
          <t>Unilever Indonesia Official Shop</t>
        </is>
      </c>
      <c r="L80" t="inlineStr">
        <is>
          <t>KOTA BEKASI</t>
        </is>
      </c>
      <c r="M80" t="n">
        <v>4931371609</v>
      </c>
      <c r="N80" t="n">
        <v>14318452</v>
      </c>
      <c r="O80">
        <f>HYPERLINK("https://shopee.co.id/api/v4/item/get?itemid=4931371609&amp;shopid=14318452", "Pepsodent Pasta Gigi Pencegah Gigi Berlubang AntiCavity Toothpaste Dgn Mikrokalsium 225Gx2")</f>
        <v/>
      </c>
      <c r="P80" t="n">
        <v>2747</v>
      </c>
      <c r="Q80" t="n">
        <v>13215</v>
      </c>
      <c r="R80" t="n">
        <v>4.940611164233313</v>
      </c>
      <c r="S80" t="n">
        <v>253</v>
      </c>
      <c r="T80" t="n">
        <v>109</v>
      </c>
      <c r="U80" t="n">
        <v>588</v>
      </c>
      <c r="V80" t="n">
        <v>5020</v>
      </c>
      <c r="W80" t="n">
        <v>118562</v>
      </c>
    </row>
    <row r="81">
      <c r="A81" t="inlineStr">
        <is>
          <t>Closeup Pasta Gigi Triple Fresh Menthol Antibacterial 110g</t>
        </is>
      </c>
      <c r="B81" t="inlineStr">
        <is>
          <t>0</t>
        </is>
      </c>
      <c r="C81" t="inlineStr">
        <is>
          <t>15%</t>
        </is>
      </c>
      <c r="D81" t="n">
        <v>13800</v>
      </c>
      <c r="E81" t="n">
        <v>16300</v>
      </c>
      <c r="F81" t="n">
        <v>13800</v>
      </c>
      <c r="G81" t="n">
        <v>16300</v>
      </c>
      <c r="H81" t="n">
        <v>13800</v>
      </c>
      <c r="I81" t="n">
        <v>16300</v>
      </c>
      <c r="J81" t="b">
        <v>1</v>
      </c>
      <c r="K81" t="inlineStr">
        <is>
          <t>Unilever Indonesia Official Shop</t>
        </is>
      </c>
      <c r="L81" t="inlineStr">
        <is>
          <t>KAB. BANYUASIN</t>
        </is>
      </c>
      <c r="M81" t="n">
        <v>1026009497</v>
      </c>
      <c r="N81" t="n">
        <v>14318452</v>
      </c>
      <c r="O81">
        <f>HYPERLINK("https://shopee.co.id/api/v4/item/get?itemid=1026009497&amp;shopid=14318452", "Closeup Pasta Gigi Triple Fresh Menthol Antibacterial 110g")</f>
        <v/>
      </c>
      <c r="P81" t="n">
        <v>603</v>
      </c>
      <c r="Q81" t="n">
        <v>245</v>
      </c>
      <c r="R81" t="n">
        <v>4.906741040504575</v>
      </c>
      <c r="S81" t="n">
        <v>74</v>
      </c>
      <c r="T81" t="n">
        <v>60</v>
      </c>
      <c r="U81" t="n">
        <v>282</v>
      </c>
      <c r="V81" t="n">
        <v>1532</v>
      </c>
      <c r="W81" t="n">
        <v>25485</v>
      </c>
    </row>
    <row r="82">
      <c r="A82" t="inlineStr">
        <is>
          <t>Zwitsal Deterjen Cair Green Tea &amp; Aloe Vera 750 Ml - Baby Laundry, Baby Laundry Detergent</t>
        </is>
      </c>
      <c r="B82" t="inlineStr">
        <is>
          <t>Zwitsal</t>
        </is>
      </c>
      <c r="C82" t="inlineStr">
        <is>
          <t>15%</t>
        </is>
      </c>
      <c r="D82" t="n">
        <v>24700</v>
      </c>
      <c r="E82" t="n">
        <v>28900</v>
      </c>
      <c r="F82" t="n">
        <v>24700</v>
      </c>
      <c r="G82" t="n">
        <v>28900</v>
      </c>
      <c r="H82" t="n">
        <v>24700</v>
      </c>
      <c r="I82" t="n">
        <v>28900</v>
      </c>
      <c r="J82" t="b">
        <v>1</v>
      </c>
      <c r="K82" t="inlineStr">
        <is>
          <t>Unilever Indonesia Official Shop</t>
        </is>
      </c>
      <c r="L82" t="inlineStr">
        <is>
          <t>KAB. DELI SERDANG</t>
        </is>
      </c>
      <c r="M82" t="n">
        <v>2771309270</v>
      </c>
      <c r="N82" t="n">
        <v>14318452</v>
      </c>
      <c r="O82">
        <f>HYPERLINK("https://shopee.co.id/api/v4/item/get?itemid=2771309270&amp;shopid=14318452", "Zwitsal Deterjen Cair Green Tea &amp; Aloe Vera 750 Ml - Baby Laundry, Baby Laundry Detergent")</f>
        <v/>
      </c>
      <c r="P82" t="n">
        <v>644</v>
      </c>
      <c r="Q82" t="n">
        <v>545</v>
      </c>
      <c r="R82" t="n">
        <v>4.923473433782712</v>
      </c>
      <c r="S82" t="n">
        <v>47</v>
      </c>
      <c r="T82" t="n">
        <v>19</v>
      </c>
      <c r="U82" t="n">
        <v>131</v>
      </c>
      <c r="V82" t="n">
        <v>847</v>
      </c>
      <c r="W82" t="n">
        <v>16617</v>
      </c>
    </row>
    <row r="83">
      <c r="A83" t="inlineStr">
        <is>
          <t>Pond's Juice Collection Cleanser Watermelon Extract 90 gr</t>
        </is>
      </c>
      <c r="B83" t="inlineStr"/>
      <c r="C83" t="inlineStr">
        <is>
          <t>14%</t>
        </is>
      </c>
      <c r="D83" t="n">
        <v>26700</v>
      </c>
      <c r="E83" t="n">
        <v>31100</v>
      </c>
      <c r="F83" t="n">
        <v>26700</v>
      </c>
      <c r="G83" t="n">
        <v>31100</v>
      </c>
      <c r="H83" t="n">
        <v>26700</v>
      </c>
      <c r="I83" t="n">
        <v>31100</v>
      </c>
      <c r="J83" t="b">
        <v>1</v>
      </c>
      <c r="K83" t="inlineStr">
        <is>
          <t>Unilever Indonesia Official Shop</t>
        </is>
      </c>
      <c r="L83" t="inlineStr">
        <is>
          <t>KOTA BEKASI</t>
        </is>
      </c>
      <c r="M83" t="n">
        <v>5561172351</v>
      </c>
      <c r="N83" t="n">
        <v>14318452</v>
      </c>
      <c r="O83">
        <f>HYPERLINK("https://shopee.co.id/api/v4/item/get?itemid=5561172351&amp;shopid=14318452", "Pond's Juice Collection Cleanser Watermelon Extract 90 gr")</f>
        <v/>
      </c>
      <c r="P83" t="n">
        <v>653</v>
      </c>
      <c r="Q83" t="n">
        <v>414</v>
      </c>
      <c r="R83" t="n">
        <v>4.931468531468531</v>
      </c>
      <c r="S83" t="n">
        <v>12</v>
      </c>
      <c r="T83" t="n">
        <v>2</v>
      </c>
      <c r="U83" t="n">
        <v>46</v>
      </c>
      <c r="V83" t="n">
        <v>348</v>
      </c>
      <c r="W83" t="n">
        <v>6743</v>
      </c>
    </row>
    <row r="84">
      <c r="A84" t="inlineStr">
        <is>
          <t>Zwitsal Baby Cream Extra Care Zinc 50 ml</t>
        </is>
      </c>
      <c r="B84" t="inlineStr">
        <is>
          <t>0</t>
        </is>
      </c>
      <c r="C84" t="inlineStr">
        <is>
          <t>20%</t>
        </is>
      </c>
      <c r="D84" t="n">
        <v>15200</v>
      </c>
      <c r="E84" t="n">
        <v>19000</v>
      </c>
      <c r="F84" t="n">
        <v>15200</v>
      </c>
      <c r="G84" t="n">
        <v>19000</v>
      </c>
      <c r="H84" t="n">
        <v>15200</v>
      </c>
      <c r="I84" t="n">
        <v>19000</v>
      </c>
      <c r="J84" t="b">
        <v>1</v>
      </c>
      <c r="K84" t="inlineStr">
        <is>
          <t>Unilever Indonesia Official Shop</t>
        </is>
      </c>
      <c r="L84" t="inlineStr">
        <is>
          <t>KOTA BEKASI</t>
        </is>
      </c>
      <c r="M84" t="n">
        <v>3167464207</v>
      </c>
      <c r="N84" t="n">
        <v>14318452</v>
      </c>
      <c r="O84">
        <f>HYPERLINK("https://shopee.co.id/api/v4/item/get?itemid=3167464207&amp;shopid=14318452", "Zwitsal Baby Cream Extra Care Zinc 50 ml")</f>
        <v/>
      </c>
      <c r="P84" t="n">
        <v>1272</v>
      </c>
      <c r="Q84" t="n">
        <v>2887</v>
      </c>
      <c r="R84" t="n">
        <v>4.888488414858404</v>
      </c>
      <c r="S84" t="n">
        <v>68</v>
      </c>
      <c r="T84" t="n">
        <v>37</v>
      </c>
      <c r="U84" t="n">
        <v>166</v>
      </c>
      <c r="V84" t="n">
        <v>819</v>
      </c>
      <c r="W84" t="n">
        <v>12510</v>
      </c>
    </row>
    <row r="85">
      <c r="A85" t="inlineStr">
        <is>
          <t>Ponds Bright Beauty Cleansing Milk 150ml</t>
        </is>
      </c>
      <c r="B85" t="inlineStr">
        <is>
          <t>Pond's</t>
        </is>
      </c>
      <c r="C85" t="inlineStr">
        <is>
          <t>14%</t>
        </is>
      </c>
      <c r="D85" t="n">
        <v>28100</v>
      </c>
      <c r="E85" t="n">
        <v>32600</v>
      </c>
      <c r="F85" t="n">
        <v>28100</v>
      </c>
      <c r="G85" t="n">
        <v>32600</v>
      </c>
      <c r="H85" t="n">
        <v>28100</v>
      </c>
      <c r="I85" t="n">
        <v>32600</v>
      </c>
      <c r="J85" t="b">
        <v>1</v>
      </c>
      <c r="K85" t="inlineStr">
        <is>
          <t>Unilever Indonesia Official Shop</t>
        </is>
      </c>
      <c r="L85" t="inlineStr">
        <is>
          <t>KOTA BEKASI</t>
        </is>
      </c>
      <c r="M85" t="n">
        <v>127358177</v>
      </c>
      <c r="N85" t="n">
        <v>14318452</v>
      </c>
      <c r="O85">
        <f>HYPERLINK("https://shopee.co.id/api/v4/item/get?itemid=127358177&amp;shopid=14318452", "Ponds Bright Beauty Cleansing Milk 150ml")</f>
        <v/>
      </c>
      <c r="P85" t="n">
        <v>615</v>
      </c>
      <c r="Q85" t="n">
        <v>521</v>
      </c>
      <c r="R85" t="n">
        <v>4.920805241667458</v>
      </c>
      <c r="S85" t="n">
        <v>18</v>
      </c>
      <c r="T85" t="n">
        <v>18</v>
      </c>
      <c r="U85" t="n">
        <v>87</v>
      </c>
      <c r="V85" t="n">
        <v>537</v>
      </c>
      <c r="W85" t="n">
        <v>9872</v>
      </c>
    </row>
    <row r="86">
      <c r="A86" t="inlineStr">
        <is>
          <t>Glow &amp; Lovely Bright C Glow Facial Foam 100g</t>
        </is>
      </c>
      <c r="B86" t="inlineStr">
        <is>
          <t>None</t>
        </is>
      </c>
      <c r="C86" t="inlineStr">
        <is>
          <t>14%</t>
        </is>
      </c>
      <c r="D86" t="n">
        <v>26100</v>
      </c>
      <c r="E86" t="n">
        <v>30400</v>
      </c>
      <c r="F86" t="n">
        <v>26100</v>
      </c>
      <c r="G86" t="n">
        <v>30400</v>
      </c>
      <c r="H86" t="n">
        <v>26100</v>
      </c>
      <c r="I86" t="n">
        <v>30400</v>
      </c>
      <c r="J86" t="b">
        <v>1</v>
      </c>
      <c r="K86" t="inlineStr">
        <is>
          <t>Unilever Indonesia Official Shop</t>
        </is>
      </c>
      <c r="L86" t="inlineStr">
        <is>
          <t>KOTA BEKASI</t>
        </is>
      </c>
      <c r="M86" t="n">
        <v>7469212811</v>
      </c>
      <c r="N86" t="n">
        <v>14318452</v>
      </c>
      <c r="O86">
        <f>HYPERLINK("https://shopee.co.id/api/v4/item/get?itemid=7469212811&amp;shopid=14318452", "Glow &amp; Lovely Bright C Glow Facial Foam 100g")</f>
        <v/>
      </c>
      <c r="P86" t="n">
        <v>983</v>
      </c>
      <c r="Q86" t="n">
        <v>874</v>
      </c>
      <c r="R86" t="n">
        <v>4.911058566751546</v>
      </c>
      <c r="S86" t="n">
        <v>20</v>
      </c>
      <c r="T86" t="n">
        <v>12</v>
      </c>
      <c r="U86" t="n">
        <v>87</v>
      </c>
      <c r="V86" t="n">
        <v>696</v>
      </c>
      <c r="W86" t="n">
        <v>10183</v>
      </c>
    </row>
    <row r="87">
      <c r="A87" t="inlineStr">
        <is>
          <t>Sariwangi 100% Teh Hitam Asli Teh Celup Membantu Kesehatan Jantung* 1.85G Isi 50</t>
        </is>
      </c>
      <c r="B87" t="inlineStr">
        <is>
          <t>Sariwangi</t>
        </is>
      </c>
      <c r="C87" t="inlineStr">
        <is>
          <t>24%</t>
        </is>
      </c>
      <c r="D87" t="n">
        <v>9400</v>
      </c>
      <c r="E87" t="n">
        <v>12300</v>
      </c>
      <c r="F87" t="n">
        <v>9400</v>
      </c>
      <c r="G87" t="n">
        <v>12300</v>
      </c>
      <c r="H87" t="n">
        <v>9400</v>
      </c>
      <c r="I87" t="n">
        <v>12300</v>
      </c>
      <c r="J87" t="b">
        <v>1</v>
      </c>
      <c r="K87" t="inlineStr">
        <is>
          <t>Unilever Indonesia Official Shop</t>
        </is>
      </c>
      <c r="L87" t="inlineStr">
        <is>
          <t>KOTA SEMARANG</t>
        </is>
      </c>
      <c r="M87" t="n">
        <v>976680601</v>
      </c>
      <c r="N87" t="n">
        <v>14318452</v>
      </c>
      <c r="O87">
        <f>HYPERLINK("https://shopee.co.id/api/v4/item/get?itemid=976680601&amp;shopid=14318452", "Sariwangi 100% Teh Hitam Asli Teh Celup Membantu Kesehatan Jantung* 1.85G Isi 50")</f>
        <v/>
      </c>
      <c r="P87" t="n">
        <v>1834</v>
      </c>
      <c r="Q87" t="n">
        <v>1794</v>
      </c>
      <c r="R87" t="n">
        <v>4.929336689889351</v>
      </c>
      <c r="S87" t="n">
        <v>114</v>
      </c>
      <c r="T87" t="n">
        <v>72</v>
      </c>
      <c r="U87" t="n">
        <v>342</v>
      </c>
      <c r="V87" t="n">
        <v>2305</v>
      </c>
      <c r="W87" t="n">
        <v>48426</v>
      </c>
    </row>
    <row r="88">
      <c r="A88" t="inlineStr">
        <is>
          <t>Rexona Men Deodorant Roll On Antiperspirant Ice Cool 72 Jam Kesegaran Nonstop 45Ml</t>
        </is>
      </c>
      <c r="B88" t="inlineStr">
        <is>
          <t>Rexona</t>
        </is>
      </c>
      <c r="C88" t="inlineStr">
        <is>
          <t>1%</t>
        </is>
      </c>
      <c r="D88" t="n">
        <v>19500</v>
      </c>
      <c r="E88" t="n">
        <v>19600</v>
      </c>
      <c r="F88" t="n">
        <v>19500</v>
      </c>
      <c r="G88" t="n">
        <v>19600</v>
      </c>
      <c r="H88" t="n">
        <v>19500</v>
      </c>
      <c r="I88" t="n">
        <v>19600</v>
      </c>
      <c r="J88" t="b">
        <v>1</v>
      </c>
      <c r="K88" t="inlineStr">
        <is>
          <t>Unilever Indonesia Official Shop</t>
        </is>
      </c>
      <c r="L88" t="inlineStr">
        <is>
          <t>KOTA BEKASI</t>
        </is>
      </c>
      <c r="M88" t="n">
        <v>127043367</v>
      </c>
      <c r="N88" t="n">
        <v>14318452</v>
      </c>
      <c r="O88">
        <f>HYPERLINK("https://shopee.co.id/api/v4/item/get?itemid=127043367&amp;shopid=14318452", "Rexona Men Deodorant Roll On Antiperspirant Ice Cool 72 Jam Kesegaran Nonstop 45Ml")</f>
        <v/>
      </c>
      <c r="P88" t="n">
        <v>3314</v>
      </c>
      <c r="Q88" t="n">
        <v>7721</v>
      </c>
      <c r="R88" t="n">
        <v>4.910453249977015</v>
      </c>
      <c r="S88" t="n">
        <v>68</v>
      </c>
      <c r="T88" t="n">
        <v>35</v>
      </c>
      <c r="U88" t="n">
        <v>179</v>
      </c>
      <c r="V88" t="n">
        <v>1229</v>
      </c>
      <c r="W88" t="n">
        <v>20248</v>
      </c>
    </row>
    <row r="89">
      <c r="A89" t="inlineStr">
        <is>
          <t>Ponds Bright Beauty Serum Burst Cream 20G with Hyaluronic Acid, Niacinamide, Gluta BoostC</t>
        </is>
      </c>
      <c r="B89" t="inlineStr">
        <is>
          <t>0</t>
        </is>
      </c>
      <c r="C89" t="inlineStr">
        <is>
          <t>14%</t>
        </is>
      </c>
      <c r="D89" t="n">
        <v>34300</v>
      </c>
      <c r="E89" t="n">
        <v>39900</v>
      </c>
      <c r="F89" t="n">
        <v>34300</v>
      </c>
      <c r="G89" t="n">
        <v>39900</v>
      </c>
      <c r="H89" t="n">
        <v>34300</v>
      </c>
      <c r="I89" t="n">
        <v>39900</v>
      </c>
      <c r="J89" t="b">
        <v>1</v>
      </c>
      <c r="K89" t="inlineStr">
        <is>
          <t>Unilever Indonesia Official Shop</t>
        </is>
      </c>
      <c r="L89" t="inlineStr">
        <is>
          <t>KOTA BEKASI</t>
        </is>
      </c>
      <c r="M89" t="n">
        <v>6001803518</v>
      </c>
      <c r="N89" t="n">
        <v>14318452</v>
      </c>
      <c r="O89">
        <f>HYPERLINK("https://shopee.co.id/api/v4/item/get?itemid=6001803518&amp;shopid=14318452", "Ponds Bright Beauty Serum Burst Cream 20G with Hyaluronic Acid, Niacinamide, Gluta BoostC")</f>
        <v/>
      </c>
      <c r="P89" t="n">
        <v>589</v>
      </c>
      <c r="Q89" t="n">
        <v>846</v>
      </c>
      <c r="R89" t="n">
        <v>4.922965171846925</v>
      </c>
      <c r="S89" t="n">
        <v>43</v>
      </c>
      <c r="T89" t="n">
        <v>18</v>
      </c>
      <c r="U89" t="n">
        <v>159</v>
      </c>
      <c r="V89" t="n">
        <v>1475</v>
      </c>
      <c r="W89" t="n">
        <v>24463</v>
      </c>
    </row>
    <row r="90">
      <c r="A90" t="inlineStr">
        <is>
          <t>Ponds Bright Beauty Serum Facial Foam Sabun Muka 100 G with Hyaluronic Acid &amp; Niacinamide</t>
        </is>
      </c>
      <c r="B90" t="inlineStr">
        <is>
          <t>Pond's</t>
        </is>
      </c>
      <c r="C90" t="inlineStr">
        <is>
          <t>14%</t>
        </is>
      </c>
      <c r="D90" t="n">
        <v>30900</v>
      </c>
      <c r="E90" t="n">
        <v>36000</v>
      </c>
      <c r="F90" t="n">
        <v>30900</v>
      </c>
      <c r="G90" t="n">
        <v>36000</v>
      </c>
      <c r="H90" t="n">
        <v>30900</v>
      </c>
      <c r="I90" t="n">
        <v>36000</v>
      </c>
      <c r="J90" t="b">
        <v>1</v>
      </c>
      <c r="K90" t="inlineStr">
        <is>
          <t>Unilever Indonesia Official Shop</t>
        </is>
      </c>
      <c r="L90" t="inlineStr">
        <is>
          <t>KOTA BEKASI</t>
        </is>
      </c>
      <c r="M90" t="n">
        <v>1008956408</v>
      </c>
      <c r="N90" t="n">
        <v>14318452</v>
      </c>
      <c r="O90">
        <f>HYPERLINK("https://shopee.co.id/api/v4/item/get?itemid=1008956408&amp;shopid=14318452", "Ponds Bright Beauty Serum Facial Foam Sabun Muka 100 G with Hyaluronic Acid &amp; Niacinamide")</f>
        <v/>
      </c>
      <c r="P90" t="n">
        <v>1414</v>
      </c>
      <c r="Q90" t="n">
        <v>5257</v>
      </c>
      <c r="R90" t="n">
        <v>4.928616137061675</v>
      </c>
      <c r="S90" t="n">
        <v>139</v>
      </c>
      <c r="T90" t="n">
        <v>70</v>
      </c>
      <c r="U90" t="n">
        <v>387</v>
      </c>
      <c r="V90" t="n">
        <v>3385</v>
      </c>
      <c r="W90" t="n">
        <v>64726</v>
      </c>
    </row>
    <row r="91">
      <c r="A91" t="inlineStr">
        <is>
          <t>Ponds Pure Bright Facial Foam 100gr Twin Pack</t>
        </is>
      </c>
      <c r="B91" t="inlineStr">
        <is>
          <t>Pond's</t>
        </is>
      </c>
      <c r="C91" t="inlineStr">
        <is>
          <t>15%</t>
        </is>
      </c>
      <c r="D91" t="n">
        <v>61300</v>
      </c>
      <c r="E91" t="n">
        <v>71900</v>
      </c>
      <c r="F91" t="n">
        <v>61300</v>
      </c>
      <c r="G91" t="n">
        <v>71900</v>
      </c>
      <c r="H91" t="n">
        <v>61300</v>
      </c>
      <c r="I91" t="n">
        <v>71900</v>
      </c>
      <c r="J91" t="b">
        <v>1</v>
      </c>
      <c r="K91" t="inlineStr">
        <is>
          <t>Unilever Indonesia Official Shop</t>
        </is>
      </c>
      <c r="L91" t="inlineStr">
        <is>
          <t>KOTA SURABAYA</t>
        </is>
      </c>
      <c r="M91" t="n">
        <v>3231543989</v>
      </c>
      <c r="N91" t="n">
        <v>14318452</v>
      </c>
      <c r="O91">
        <f>HYPERLINK("https://shopee.co.id/api/v4/item/get?itemid=3231543989&amp;shopid=14318452", "Ponds Pure Bright Facial Foam 100gr Twin Pack")</f>
        <v/>
      </c>
      <c r="P91" t="n">
        <v>414</v>
      </c>
      <c r="Q91" t="n">
        <v>356</v>
      </c>
      <c r="R91" t="n">
        <v>4.933939873417722</v>
      </c>
      <c r="S91" t="n">
        <v>31</v>
      </c>
      <c r="T91" t="n">
        <v>10</v>
      </c>
      <c r="U91" t="n">
        <v>49</v>
      </c>
      <c r="V91" t="n">
        <v>427</v>
      </c>
      <c r="W91" t="n">
        <v>9598</v>
      </c>
    </row>
    <row r="92">
      <c r="A92" t="inlineStr">
        <is>
          <t>Zwitsal Kids Hair Lotion Spray Penumbuh Rambut Anak Natural And Nourisihing 100ml</t>
        </is>
      </c>
      <c r="B92" t="inlineStr"/>
      <c r="C92" t="inlineStr">
        <is>
          <t>27%</t>
        </is>
      </c>
      <c r="D92" t="n">
        <v>18700</v>
      </c>
      <c r="E92" t="n">
        <v>25600</v>
      </c>
      <c r="F92" t="n">
        <v>18700</v>
      </c>
      <c r="G92" t="n">
        <v>25600</v>
      </c>
      <c r="H92" t="n">
        <v>18700</v>
      </c>
      <c r="I92" t="n">
        <v>25600</v>
      </c>
      <c r="J92" t="b">
        <v>0</v>
      </c>
      <c r="K92" t="inlineStr">
        <is>
          <t>Unilever Indonesia Official Shop</t>
        </is>
      </c>
      <c r="L92" t="inlineStr">
        <is>
          <t>KOTA BEKASI</t>
        </is>
      </c>
      <c r="M92" t="n">
        <v>10256670303</v>
      </c>
      <c r="N92" t="n">
        <v>14318452</v>
      </c>
      <c r="O92">
        <f>HYPERLINK("https://shopee.co.id/api/v4/item/get?itemid=10256670303&amp;shopid=14318452", "Zwitsal Kids Hair Lotion Spray Penumbuh Rambut Anak Natural And Nourisihing 100ml")</f>
        <v/>
      </c>
      <c r="P92" t="n">
        <v>1233</v>
      </c>
      <c r="Q92" t="n">
        <v>2037</v>
      </c>
      <c r="R92" t="n">
        <v>4.885916203937406</v>
      </c>
      <c r="S92" t="n">
        <v>27</v>
      </c>
      <c r="T92" t="n">
        <v>23</v>
      </c>
      <c r="U92" t="n">
        <v>69</v>
      </c>
      <c r="V92" t="n">
        <v>371</v>
      </c>
      <c r="W92" t="n">
        <v>5455</v>
      </c>
    </row>
    <row r="93">
      <c r="A93" t="inlineStr">
        <is>
          <t>Ponds Tripleglow Serum Wajah Brightening Serum Bright Beauty W Hyaluronic&amp;Niacinamide 30G</t>
        </is>
      </c>
      <c r="B93" t="inlineStr"/>
      <c r="C93" t="inlineStr">
        <is>
          <t>29%</t>
        </is>
      </c>
      <c r="D93" t="n">
        <v>72300</v>
      </c>
      <c r="E93" t="n">
        <v>102200</v>
      </c>
      <c r="F93" t="n">
        <v>72300</v>
      </c>
      <c r="G93" t="n">
        <v>102200</v>
      </c>
      <c r="H93" t="n">
        <v>72300</v>
      </c>
      <c r="I93" t="n">
        <v>102200</v>
      </c>
      <c r="J93" t="b">
        <v>1</v>
      </c>
      <c r="K93" t="inlineStr">
        <is>
          <t>Unilever Indonesia Official Shop</t>
        </is>
      </c>
      <c r="L93" t="inlineStr">
        <is>
          <t>KOTA SEMARANG</t>
        </is>
      </c>
      <c r="M93" t="n">
        <v>8335269295</v>
      </c>
      <c r="N93" t="n">
        <v>14318452</v>
      </c>
      <c r="O93">
        <f>HYPERLINK("https://shopee.co.id/api/v4/item/get?itemid=8335269295&amp;shopid=14318452", "Ponds Tripleglow Serum Wajah Brightening Serum Bright Beauty W Hyaluronic&amp;Niacinamide 30G")</f>
        <v/>
      </c>
      <c r="P93" t="n">
        <v>1058</v>
      </c>
      <c r="Q93" t="n">
        <v>77</v>
      </c>
      <c r="R93" t="n">
        <v>4.914530448918344</v>
      </c>
      <c r="S93" t="n">
        <v>22</v>
      </c>
      <c r="T93" t="n">
        <v>17</v>
      </c>
      <c r="U93" t="n">
        <v>118</v>
      </c>
      <c r="V93" t="n">
        <v>1016</v>
      </c>
      <c r="W93" t="n">
        <v>14828</v>
      </c>
    </row>
    <row r="94">
      <c r="A94" t="inlineStr">
        <is>
          <t>Dove Deodorant Wanita Roll On Nourish And Smooth Deodorant 40Ml</t>
        </is>
      </c>
      <c r="B94" t="inlineStr">
        <is>
          <t>Dove</t>
        </is>
      </c>
      <c r="C94" t="inlineStr">
        <is>
          <t>18%</t>
        </is>
      </c>
      <c r="D94" t="n">
        <v>19300</v>
      </c>
      <c r="E94" t="n">
        <v>23600</v>
      </c>
      <c r="F94" t="n">
        <v>19300</v>
      </c>
      <c r="G94" t="n">
        <v>23600</v>
      </c>
      <c r="H94" t="n">
        <v>19300</v>
      </c>
      <c r="I94" t="n">
        <v>23600</v>
      </c>
      <c r="J94" t="b">
        <v>1</v>
      </c>
      <c r="K94" t="inlineStr">
        <is>
          <t>Unilever Indonesia Official Shop</t>
        </is>
      </c>
      <c r="L94" t="inlineStr">
        <is>
          <t>KOTA BEKASI</t>
        </is>
      </c>
      <c r="M94" t="n">
        <v>126957875</v>
      </c>
      <c r="N94" t="n">
        <v>14318452</v>
      </c>
      <c r="O94">
        <f>HYPERLINK("https://shopee.co.id/api/v4/item/get?itemid=126957875&amp;shopid=14318452", "Dove Deodorant Wanita Roll On Nourish And Smooth Deodorant 40Ml")</f>
        <v/>
      </c>
      <c r="P94" t="n">
        <v>1147</v>
      </c>
      <c r="Q94" t="n">
        <v>1081</v>
      </c>
      <c r="R94" t="n">
        <v>4.931049099258213</v>
      </c>
      <c r="S94" t="n">
        <v>23</v>
      </c>
      <c r="T94" t="n">
        <v>10</v>
      </c>
      <c r="U94" t="n">
        <v>92</v>
      </c>
      <c r="V94" t="n">
        <v>670</v>
      </c>
      <c r="W94" t="n">
        <v>13360</v>
      </c>
    </row>
    <row r="95">
      <c r="A95" t="inlineStr">
        <is>
          <t>Sunlight Lime New Pouch 210 ml</t>
        </is>
      </c>
      <c r="B95" t="inlineStr">
        <is>
          <t>0</t>
        </is>
      </c>
      <c r="C95" t="inlineStr">
        <is>
          <t>6%</t>
        </is>
      </c>
      <c r="D95" t="n">
        <v>4800</v>
      </c>
      <c r="E95" t="n">
        <v>5100</v>
      </c>
      <c r="F95" t="n">
        <v>4800</v>
      </c>
      <c r="G95" t="n">
        <v>5100</v>
      </c>
      <c r="H95" t="n">
        <v>4800</v>
      </c>
      <c r="I95" t="n">
        <v>5100</v>
      </c>
      <c r="J95" t="b">
        <v>1</v>
      </c>
      <c r="K95" t="inlineStr">
        <is>
          <t>Unilever Indonesia Official Shop</t>
        </is>
      </c>
      <c r="L95" t="inlineStr">
        <is>
          <t>KOTA BEKASI</t>
        </is>
      </c>
      <c r="M95" t="n">
        <v>1921369117</v>
      </c>
      <c r="N95" t="n">
        <v>14318452</v>
      </c>
      <c r="O95">
        <f>HYPERLINK("https://shopee.co.id/api/v4/item/get?itemid=1921369117&amp;shopid=14318452", "Sunlight Lime New Pouch 210 ml")</f>
        <v/>
      </c>
      <c r="P95" t="n">
        <v>2398</v>
      </c>
      <c r="Q95" t="n">
        <v>69499</v>
      </c>
      <c r="R95" t="n">
        <v>4.9104447974583</v>
      </c>
      <c r="S95" t="n">
        <v>139</v>
      </c>
      <c r="T95" t="n">
        <v>87</v>
      </c>
      <c r="U95" t="n">
        <v>421</v>
      </c>
      <c r="V95" t="n">
        <v>1967</v>
      </c>
      <c r="W95" t="n">
        <v>37704</v>
      </c>
    </row>
    <row r="96">
      <c r="A96" t="inlineStr">
        <is>
          <t>Pepsodent Pencegah Gigi Berlubang Pasta Gigi 120gr Twin Pack</t>
        </is>
      </c>
      <c r="B96" t="inlineStr">
        <is>
          <t>0</t>
        </is>
      </c>
      <c r="C96" t="inlineStr">
        <is>
          <t>17%</t>
        </is>
      </c>
      <c r="D96" t="n">
        <v>16000</v>
      </c>
      <c r="E96" t="n">
        <v>19300</v>
      </c>
      <c r="F96" t="n">
        <v>16000</v>
      </c>
      <c r="G96" t="n">
        <v>19300</v>
      </c>
      <c r="H96" t="n">
        <v>16000</v>
      </c>
      <c r="I96" t="n">
        <v>19300</v>
      </c>
      <c r="J96" t="b">
        <v>1</v>
      </c>
      <c r="K96" t="inlineStr">
        <is>
          <t>Unilever Indonesia Official Shop</t>
        </is>
      </c>
      <c r="L96" t="inlineStr">
        <is>
          <t>KOTA BEKASI</t>
        </is>
      </c>
      <c r="M96" t="n">
        <v>7531368566</v>
      </c>
      <c r="N96" t="n">
        <v>14318452</v>
      </c>
      <c r="O96">
        <f>HYPERLINK("https://shopee.co.id/api/v4/item/get?itemid=7531368566&amp;shopid=14318452", "Pepsodent Pencegah Gigi Berlubang Pasta Gigi 120gr Twin Pack")</f>
        <v/>
      </c>
      <c r="P96" t="n">
        <v>1333</v>
      </c>
      <c r="Q96" t="n">
        <v>3229</v>
      </c>
      <c r="R96" t="n">
        <v>4.920627950378746</v>
      </c>
      <c r="S96" t="n">
        <v>22</v>
      </c>
      <c r="T96" t="n">
        <v>11</v>
      </c>
      <c r="U96" t="n">
        <v>72</v>
      </c>
      <c r="V96" t="n">
        <v>466</v>
      </c>
      <c r="W96" t="n">
        <v>8540</v>
      </c>
    </row>
    <row r="97">
      <c r="A97" t="inlineStr">
        <is>
          <t>Zwitsal Baby Powder Aloe Vera 300 gr</t>
        </is>
      </c>
      <c r="B97" t="inlineStr">
        <is>
          <t>Zwitsal</t>
        </is>
      </c>
      <c r="C97" t="inlineStr">
        <is>
          <t>18%</t>
        </is>
      </c>
      <c r="D97" t="n">
        <v>19300</v>
      </c>
      <c r="E97" t="n">
        <v>23600</v>
      </c>
      <c r="F97" t="n">
        <v>19300</v>
      </c>
      <c r="G97" t="n">
        <v>23600</v>
      </c>
      <c r="H97" t="n">
        <v>19300</v>
      </c>
      <c r="I97" t="n">
        <v>23600</v>
      </c>
      <c r="J97" t="b">
        <v>1</v>
      </c>
      <c r="K97" t="inlineStr">
        <is>
          <t>Unilever Indonesia Official Shop</t>
        </is>
      </c>
      <c r="L97" t="inlineStr">
        <is>
          <t>KOTA BEKASI</t>
        </is>
      </c>
      <c r="M97" t="n">
        <v>7831352550</v>
      </c>
      <c r="N97" t="n">
        <v>14318452</v>
      </c>
      <c r="O97">
        <f>HYPERLINK("https://shopee.co.id/api/v4/item/get?itemid=7831352550&amp;shopid=14318452", "Zwitsal Baby Powder Aloe Vera 300 gr")</f>
        <v/>
      </c>
      <c r="P97" t="n">
        <v>802</v>
      </c>
      <c r="Q97" t="n">
        <v>508</v>
      </c>
      <c r="R97" t="n">
        <v>4.922070769654413</v>
      </c>
      <c r="S97" t="n">
        <v>13</v>
      </c>
      <c r="T97" t="n">
        <v>13</v>
      </c>
      <c r="U97" t="n">
        <v>50</v>
      </c>
      <c r="V97" t="n">
        <v>379</v>
      </c>
      <c r="W97" t="n">
        <v>6809</v>
      </c>
    </row>
    <row r="98">
      <c r="A98" t="inlineStr">
        <is>
          <t>Lux Botanicals Body Wash Pump Soft Rose Kulit Lembut 580ml</t>
        </is>
      </c>
      <c r="B98" t="inlineStr">
        <is>
          <t>LUX</t>
        </is>
      </c>
      <c r="C98" t="inlineStr">
        <is>
          <t>17%</t>
        </is>
      </c>
      <c r="D98" t="n">
        <v>49100</v>
      </c>
      <c r="E98" t="n">
        <v>59200</v>
      </c>
      <c r="F98" t="n">
        <v>49100</v>
      </c>
      <c r="G98" t="n">
        <v>59200</v>
      </c>
      <c r="H98" t="n">
        <v>49100</v>
      </c>
      <c r="I98" t="n">
        <v>59200</v>
      </c>
      <c r="J98" t="b">
        <v>1</v>
      </c>
      <c r="K98" t="inlineStr">
        <is>
          <t>Unilever Indonesia Official Shop</t>
        </is>
      </c>
      <c r="L98" t="inlineStr">
        <is>
          <t>KAB. DELI SERDANG</t>
        </is>
      </c>
      <c r="M98" t="n">
        <v>127014701</v>
      </c>
      <c r="N98" t="n">
        <v>14318452</v>
      </c>
      <c r="O98">
        <f>HYPERLINK("https://shopee.co.id/api/v4/item/get?itemid=127014701&amp;shopid=14318452", "Lux Botanicals Body Wash Pump Soft Rose Kulit Lembut 580ml")</f>
        <v/>
      </c>
      <c r="P98" t="n">
        <v>447</v>
      </c>
      <c r="Q98" t="n">
        <v>122</v>
      </c>
      <c r="R98" t="n">
        <v>4.886923120058319</v>
      </c>
      <c r="S98" t="n">
        <v>157</v>
      </c>
      <c r="T98" t="n">
        <v>142</v>
      </c>
      <c r="U98" t="n">
        <v>474</v>
      </c>
      <c r="V98" t="n">
        <v>2070</v>
      </c>
      <c r="W98" t="n">
        <v>32835</v>
      </c>
    </row>
    <row r="99">
      <c r="A99" t="inlineStr">
        <is>
          <t>Lifebuoy Body Wash Refill Total 10 Antibakteri 825ml</t>
        </is>
      </c>
      <c r="B99" t="inlineStr">
        <is>
          <t>Lifebuoy</t>
        </is>
      </c>
      <c r="C99" t="inlineStr">
        <is>
          <t>18%</t>
        </is>
      </c>
      <c r="D99" t="n">
        <v>40600</v>
      </c>
      <c r="E99" t="n">
        <v>49500</v>
      </c>
      <c r="F99" t="n">
        <v>40600</v>
      </c>
      <c r="G99" t="n">
        <v>49500</v>
      </c>
      <c r="H99" t="n">
        <v>40600</v>
      </c>
      <c r="I99" t="n">
        <v>49500</v>
      </c>
      <c r="J99" t="b">
        <v>1</v>
      </c>
      <c r="K99" t="inlineStr">
        <is>
          <t>Unilever Indonesia Official Shop</t>
        </is>
      </c>
      <c r="L99" t="inlineStr">
        <is>
          <t>KOTA BEKASI</t>
        </is>
      </c>
      <c r="M99" t="n">
        <v>986466243</v>
      </c>
      <c r="N99" t="n">
        <v>14318452</v>
      </c>
      <c r="O99">
        <f>HYPERLINK("https://shopee.co.id/api/v4/item/get?itemid=986466243&amp;shopid=14318452", "Lifebuoy Body Wash Refill Total 10 Antibakteri 825ml")</f>
        <v/>
      </c>
      <c r="P99" t="n">
        <v>2884</v>
      </c>
      <c r="Q99" t="n">
        <v>8053</v>
      </c>
      <c r="R99" t="n">
        <v>4.943547272073666</v>
      </c>
      <c r="S99" t="n">
        <v>119</v>
      </c>
      <c r="T99" t="n">
        <v>93</v>
      </c>
      <c r="U99" t="n">
        <v>334</v>
      </c>
      <c r="V99" t="n">
        <v>2699</v>
      </c>
      <c r="W99" t="n">
        <v>69103</v>
      </c>
    </row>
    <row r="100">
      <c r="A100" t="inlineStr">
        <is>
          <t>Vaseline Lotion Healthy Bright SPF24 PA++ 100ml</t>
        </is>
      </c>
      <c r="B100" t="inlineStr"/>
      <c r="C100" t="inlineStr">
        <is>
          <t>3%</t>
        </is>
      </c>
      <c r="D100" t="n">
        <v>27000</v>
      </c>
      <c r="E100" t="n">
        <v>27900</v>
      </c>
      <c r="F100" t="n">
        <v>27000</v>
      </c>
      <c r="G100" t="n">
        <v>27900</v>
      </c>
      <c r="H100" t="n">
        <v>27000</v>
      </c>
      <c r="I100" t="n">
        <v>27900</v>
      </c>
      <c r="J100" t="b">
        <v>1</v>
      </c>
      <c r="K100" t="inlineStr">
        <is>
          <t>Unilever Indonesia Official Shop</t>
        </is>
      </c>
      <c r="L100" t="inlineStr">
        <is>
          <t>KOTA BEKASI</t>
        </is>
      </c>
      <c r="M100" t="n">
        <v>6631996645</v>
      </c>
      <c r="N100" t="n">
        <v>14318452</v>
      </c>
      <c r="O100">
        <f>HYPERLINK("https://shopee.co.id/api/v4/item/get?itemid=6631996645&amp;shopid=14318452", "Vaseline Lotion Healthy Bright SPF24 PA++ 100ml")</f>
        <v/>
      </c>
      <c r="P100" t="n">
        <v>754</v>
      </c>
      <c r="Q100" t="n">
        <v>540</v>
      </c>
      <c r="R100" t="n">
        <v>4.91554151106004</v>
      </c>
      <c r="S100" t="n">
        <v>13</v>
      </c>
      <c r="T100" t="n">
        <v>4</v>
      </c>
      <c r="U100" t="n">
        <v>59</v>
      </c>
      <c r="V100" t="n">
        <v>414</v>
      </c>
      <c r="W100" t="n">
        <v>6474</v>
      </c>
    </row>
    <row r="101">
      <c r="A101" t="inlineStr">
        <is>
          <t>Lifebuoy Sabun Batang Antiseptik Lemon Fresh 4X110G</t>
        </is>
      </c>
      <c r="B101" t="inlineStr">
        <is>
          <t>None</t>
        </is>
      </c>
      <c r="C101" t="inlineStr">
        <is>
          <t>3%</t>
        </is>
      </c>
      <c r="D101" t="n">
        <v>23200</v>
      </c>
      <c r="E101" t="n">
        <v>23900</v>
      </c>
      <c r="F101" t="n">
        <v>23200</v>
      </c>
      <c r="G101" t="n">
        <v>23900</v>
      </c>
      <c r="H101" t="n">
        <v>23200</v>
      </c>
      <c r="I101" t="n">
        <v>23900</v>
      </c>
      <c r="J101" t="b">
        <v>1</v>
      </c>
      <c r="K101" t="inlineStr">
        <is>
          <t>Unilever Indonesia Official Shop</t>
        </is>
      </c>
      <c r="L101" t="inlineStr">
        <is>
          <t>KOTA BEKASI</t>
        </is>
      </c>
      <c r="M101" t="n">
        <v>7231996134</v>
      </c>
      <c r="N101" t="n">
        <v>14318452</v>
      </c>
      <c r="O101">
        <f>HYPERLINK("https://shopee.co.id/api/v4/item/get?itemid=7231996134&amp;shopid=14318452", "Lifebuoy Sabun Batang Antiseptik Lemon Fresh 4X110G")</f>
        <v/>
      </c>
      <c r="P101" t="n">
        <v>1860</v>
      </c>
      <c r="Q101" t="n">
        <v>1481</v>
      </c>
      <c r="R101" t="n">
        <v>4.939622325503496</v>
      </c>
      <c r="S101" t="n">
        <v>45</v>
      </c>
      <c r="T101" t="n">
        <v>23</v>
      </c>
      <c r="U101" t="n">
        <v>103</v>
      </c>
      <c r="V101" t="n">
        <v>1011</v>
      </c>
      <c r="W101" t="n">
        <v>22708</v>
      </c>
    </row>
    <row r="102">
      <c r="A102" t="inlineStr">
        <is>
          <t>Zwitsal Baby Cologne Floral Kisses Minyak Wangi Bayi 100Ml -Perawatan Bayi, Cologne Anak</t>
        </is>
      </c>
      <c r="B102" t="inlineStr">
        <is>
          <t>Zwitsal</t>
        </is>
      </c>
      <c r="C102" t="inlineStr">
        <is>
          <t>19%</t>
        </is>
      </c>
      <c r="D102" t="n">
        <v>20200</v>
      </c>
      <c r="E102" t="n">
        <v>25000</v>
      </c>
      <c r="F102" t="n">
        <v>20200</v>
      </c>
      <c r="G102" t="n">
        <v>25000</v>
      </c>
      <c r="H102" t="n">
        <v>20200</v>
      </c>
      <c r="I102" t="n">
        <v>25000</v>
      </c>
      <c r="J102" t="b">
        <v>1</v>
      </c>
      <c r="K102" t="inlineStr">
        <is>
          <t>Unilever Indonesia Official Shop</t>
        </is>
      </c>
      <c r="L102" t="inlineStr">
        <is>
          <t>KOTA BEKASI</t>
        </is>
      </c>
      <c r="M102" t="n">
        <v>1026005000</v>
      </c>
      <c r="N102" t="n">
        <v>14318452</v>
      </c>
      <c r="O102">
        <f>HYPERLINK("https://shopee.co.id/api/v4/item/get?itemid=1026005000&amp;shopid=14318452", "Zwitsal Baby Cologne Floral Kisses Minyak Wangi Bayi 100Ml -Perawatan Bayi, Cologne Anak")</f>
        <v/>
      </c>
      <c r="P102" t="n">
        <v>1661</v>
      </c>
      <c r="Q102" t="n">
        <v>613</v>
      </c>
      <c r="R102" t="n">
        <v>4.93293966323667</v>
      </c>
      <c r="S102" t="n">
        <v>29</v>
      </c>
      <c r="T102" t="n">
        <v>14</v>
      </c>
      <c r="U102" t="n">
        <v>106</v>
      </c>
      <c r="V102" t="n">
        <v>781</v>
      </c>
      <c r="W102" t="n">
        <v>16175</v>
      </c>
    </row>
    <row r="103">
      <c r="A103" t="inlineStr">
        <is>
          <t>Zwitsal Kids Shampo Clean &amp; Fresh 180 Ml - Shampoo Anak, Sampo Anak, Kids Shampoo</t>
        </is>
      </c>
      <c r="B103" t="inlineStr">
        <is>
          <t>0</t>
        </is>
      </c>
      <c r="C103" t="inlineStr">
        <is>
          <t>18%</t>
        </is>
      </c>
      <c r="D103" t="n">
        <v>15500</v>
      </c>
      <c r="E103" t="n">
        <v>18800</v>
      </c>
      <c r="F103" t="n">
        <v>15500</v>
      </c>
      <c r="G103" t="n">
        <v>18800</v>
      </c>
      <c r="H103" t="n">
        <v>15500</v>
      </c>
      <c r="I103" t="n">
        <v>18800</v>
      </c>
      <c r="J103" t="b">
        <v>1</v>
      </c>
      <c r="K103" t="inlineStr">
        <is>
          <t>Unilever Indonesia Official Shop</t>
        </is>
      </c>
      <c r="L103" t="inlineStr">
        <is>
          <t>KOTA BEKASI</t>
        </is>
      </c>
      <c r="M103" t="n">
        <v>2889007319</v>
      </c>
      <c r="N103" t="n">
        <v>14318452</v>
      </c>
      <c r="O103">
        <f>HYPERLINK("https://shopee.co.id/api/v4/item/get?itemid=2889007319&amp;shopid=14318452", "Zwitsal Kids Shampo Clean &amp; Fresh 180 Ml - Shampoo Anak, Sampo Anak, Kids Shampoo")</f>
        <v/>
      </c>
      <c r="P103" t="n">
        <v>283</v>
      </c>
      <c r="Q103" t="n">
        <v>1139</v>
      </c>
      <c r="R103" t="n">
        <v>4.942633637548892</v>
      </c>
      <c r="S103" t="n">
        <v>27</v>
      </c>
      <c r="T103" t="n">
        <v>16</v>
      </c>
      <c r="U103" t="n">
        <v>81</v>
      </c>
      <c r="V103" t="n">
        <v>789</v>
      </c>
      <c r="W103" t="n">
        <v>18264</v>
      </c>
    </row>
    <row r="104">
      <c r="A104" t="inlineStr">
        <is>
          <t>Zwitsal Baby Shampoo Natural Aloe Vera Kemiri Seledri 100 ml</t>
        </is>
      </c>
      <c r="B104" t="inlineStr">
        <is>
          <t>0</t>
        </is>
      </c>
      <c r="C104" t="inlineStr">
        <is>
          <t>13%</t>
        </is>
      </c>
      <c r="D104" t="n">
        <v>13000</v>
      </c>
      <c r="E104" t="n">
        <v>14900</v>
      </c>
      <c r="F104" t="n">
        <v>13000</v>
      </c>
      <c r="G104" t="n">
        <v>14900</v>
      </c>
      <c r="H104" t="n">
        <v>13000</v>
      </c>
      <c r="I104" t="n">
        <v>14900</v>
      </c>
      <c r="J104" t="b">
        <v>1</v>
      </c>
      <c r="K104" t="inlineStr">
        <is>
          <t>Unilever Indonesia Official Shop</t>
        </is>
      </c>
      <c r="L104" t="inlineStr">
        <is>
          <t>KOTA SEMARANG</t>
        </is>
      </c>
      <c r="M104" t="n">
        <v>1084017159</v>
      </c>
      <c r="N104" t="n">
        <v>14318452</v>
      </c>
      <c r="O104">
        <f>HYPERLINK("https://shopee.co.id/api/v4/item/get?itemid=1084017159&amp;shopid=14318452", "Zwitsal Baby Shampoo Natural Aloe Vera Kemiri Seledri 100 ml")</f>
        <v/>
      </c>
      <c r="P104" t="n">
        <v>1241</v>
      </c>
      <c r="Q104" t="n">
        <v>349</v>
      </c>
      <c r="R104" t="n">
        <v>4.923018772836084</v>
      </c>
      <c r="S104" t="n">
        <v>29</v>
      </c>
      <c r="T104" t="n">
        <v>17</v>
      </c>
      <c r="U104" t="n">
        <v>92</v>
      </c>
      <c r="V104" t="n">
        <v>878</v>
      </c>
      <c r="W104" t="n">
        <v>14860</v>
      </c>
    </row>
    <row r="105">
      <c r="A105" t="inlineStr">
        <is>
          <t>Rexona Deodorant Roll On Glowing White 40ml Anti Bakteri</t>
        </is>
      </c>
      <c r="B105" t="inlineStr">
        <is>
          <t>Rexona</t>
        </is>
      </c>
      <c r="C105" t="inlineStr">
        <is>
          <t>1%</t>
        </is>
      </c>
      <c r="D105" t="n">
        <v>15800</v>
      </c>
      <c r="E105" t="n">
        <v>15900</v>
      </c>
      <c r="F105" t="n">
        <v>15800</v>
      </c>
      <c r="G105" t="n">
        <v>15900</v>
      </c>
      <c r="H105" t="n">
        <v>15800</v>
      </c>
      <c r="I105" t="n">
        <v>15900</v>
      </c>
      <c r="J105" t="b">
        <v>1</v>
      </c>
      <c r="K105" t="inlineStr">
        <is>
          <t>Unilever Indonesia Official Shop</t>
        </is>
      </c>
      <c r="L105" t="inlineStr">
        <is>
          <t>KOTA BEKASI</t>
        </is>
      </c>
      <c r="M105" t="n">
        <v>5860793370</v>
      </c>
      <c r="N105" t="n">
        <v>14318452</v>
      </c>
      <c r="O105">
        <f>HYPERLINK("https://shopee.co.id/api/v4/item/get?itemid=5860793370&amp;shopid=14318452", "Rexona Deodorant Roll On Glowing White 40ml Anti Bakteri")</f>
        <v/>
      </c>
      <c r="P105" t="n">
        <v>1403</v>
      </c>
      <c r="Q105" t="n">
        <v>9600</v>
      </c>
      <c r="R105" t="n">
        <v>4.925548300323231</v>
      </c>
      <c r="S105" t="n">
        <v>72</v>
      </c>
      <c r="T105" t="n">
        <v>37</v>
      </c>
      <c r="U105" t="n">
        <v>302</v>
      </c>
      <c r="V105" t="n">
        <v>2457</v>
      </c>
      <c r="W105" t="n">
        <v>43237</v>
      </c>
    </row>
    <row r="106">
      <c r="A106" t="inlineStr">
        <is>
          <t>Royco Bumbu Kaldu Sapi 220 G - Bumbu Kaldu Sapi, Penyedap Makanan, Bumbu Kaldu</t>
        </is>
      </c>
      <c r="B106" t="inlineStr">
        <is>
          <t>Royco</t>
        </is>
      </c>
      <c r="C106" t="inlineStr">
        <is>
          <t>20%</t>
        </is>
      </c>
      <c r="D106" t="n">
        <v>8200</v>
      </c>
      <c r="E106" t="n">
        <v>10300</v>
      </c>
      <c r="F106" t="n">
        <v>8200</v>
      </c>
      <c r="G106" t="n">
        <v>10300</v>
      </c>
      <c r="H106" t="n">
        <v>8200</v>
      </c>
      <c r="I106" t="n">
        <v>10300</v>
      </c>
      <c r="J106" t="b">
        <v>1</v>
      </c>
      <c r="K106" t="inlineStr">
        <is>
          <t>Unilever Indonesia Official Shop</t>
        </is>
      </c>
      <c r="L106" t="inlineStr">
        <is>
          <t>KOTA BEKASI</t>
        </is>
      </c>
      <c r="M106" t="n">
        <v>1480864137</v>
      </c>
      <c r="N106" t="n">
        <v>14318452</v>
      </c>
      <c r="O106">
        <f>HYPERLINK("https://shopee.co.id/api/v4/item/get?itemid=1480864137&amp;shopid=14318452", "Royco Bumbu Kaldu Sapi 220 G - Bumbu Kaldu Sapi, Penyedap Makanan, Bumbu Kaldu")</f>
        <v/>
      </c>
      <c r="P106" t="n">
        <v>2400</v>
      </c>
      <c r="Q106" t="n">
        <v>3028</v>
      </c>
      <c r="R106" t="n">
        <v>4.933741080530071</v>
      </c>
      <c r="S106" t="n">
        <v>38</v>
      </c>
      <c r="T106" t="n">
        <v>21</v>
      </c>
      <c r="U106" t="n">
        <v>108</v>
      </c>
      <c r="V106" t="n">
        <v>745</v>
      </c>
      <c r="W106" t="n">
        <v>16773</v>
      </c>
    </row>
    <row r="107">
      <c r="A107" t="inlineStr">
        <is>
          <t>Citra Green Tea Anti Acne Facial Foam 100 gr</t>
        </is>
      </c>
      <c r="B107" t="inlineStr">
        <is>
          <t>Citra</t>
        </is>
      </c>
      <c r="C107" t="inlineStr">
        <is>
          <t>1%</t>
        </is>
      </c>
      <c r="D107" t="n">
        <v>33000</v>
      </c>
      <c r="E107" t="n">
        <v>33300</v>
      </c>
      <c r="F107" t="n">
        <v>33000</v>
      </c>
      <c r="G107" t="n">
        <v>33300</v>
      </c>
      <c r="H107" t="n">
        <v>33000</v>
      </c>
      <c r="I107" t="n">
        <v>33300</v>
      </c>
      <c r="J107" t="b">
        <v>1</v>
      </c>
      <c r="K107" t="inlineStr">
        <is>
          <t>Unilever Indonesia Official Shop</t>
        </is>
      </c>
      <c r="L107" t="inlineStr">
        <is>
          <t>KOTA BEKASI</t>
        </is>
      </c>
      <c r="M107" t="n">
        <v>6660831428</v>
      </c>
      <c r="N107" t="n">
        <v>14318452</v>
      </c>
      <c r="O107">
        <f>HYPERLINK("https://shopee.co.id/api/v4/item/get?itemid=6660831428&amp;shopid=14318452", "Citra Green Tea Anti Acne Facial Foam 100 gr")</f>
        <v/>
      </c>
      <c r="P107" t="n">
        <v>728</v>
      </c>
      <c r="Q107" t="n">
        <v>1210</v>
      </c>
      <c r="R107" t="n">
        <v>4.908373063170441</v>
      </c>
      <c r="S107" t="n">
        <v>12</v>
      </c>
      <c r="T107" t="n">
        <v>13</v>
      </c>
      <c r="U107" t="n">
        <v>57</v>
      </c>
      <c r="V107" t="n">
        <v>414</v>
      </c>
      <c r="W107" t="n">
        <v>6216</v>
      </c>
    </row>
    <row r="108">
      <c r="A108" t="inlineStr">
        <is>
          <t>Vaseline Lotion Healthy Bright Fresh &amp; Bright Cooling 100ml</t>
        </is>
      </c>
      <c r="B108" t="inlineStr">
        <is>
          <t>0</t>
        </is>
      </c>
      <c r="C108" t="inlineStr">
        <is>
          <t>9%</t>
        </is>
      </c>
      <c r="D108" t="n">
        <v>16800</v>
      </c>
      <c r="E108" t="n">
        <v>18400</v>
      </c>
      <c r="F108" t="n">
        <v>16800</v>
      </c>
      <c r="G108" t="n">
        <v>18400</v>
      </c>
      <c r="H108" t="n">
        <v>16800</v>
      </c>
      <c r="I108" t="n">
        <v>18400</v>
      </c>
      <c r="J108" t="b">
        <v>1</v>
      </c>
      <c r="K108" t="inlineStr">
        <is>
          <t>Unilever Indonesia Official Shop</t>
        </is>
      </c>
      <c r="L108" t="inlineStr">
        <is>
          <t>KOTA BEKASI</t>
        </is>
      </c>
      <c r="M108" t="n">
        <v>1883050621</v>
      </c>
      <c r="N108" t="n">
        <v>14318452</v>
      </c>
      <c r="O108">
        <f>HYPERLINK("https://shopee.co.id/api/v4/item/get?itemid=1883050621&amp;shopid=14318452", "Vaseline Lotion Healthy Bright Fresh &amp; Bright Cooling 100ml")</f>
        <v/>
      </c>
      <c r="P108" t="n">
        <v>387</v>
      </c>
      <c r="Q108" t="n">
        <v>617</v>
      </c>
      <c r="R108" t="n">
        <v>4.916775639828134</v>
      </c>
      <c r="S108" t="n">
        <v>39</v>
      </c>
      <c r="T108" t="n">
        <v>36</v>
      </c>
      <c r="U108" t="n">
        <v>140</v>
      </c>
      <c r="V108" t="n">
        <v>1242</v>
      </c>
      <c r="W108" t="n">
        <v>19956</v>
      </c>
    </row>
    <row r="109">
      <c r="A109" t="inlineStr">
        <is>
          <t>Citra Hand &amp; Body Lotion Natural Glow UV 230ml</t>
        </is>
      </c>
      <c r="B109" t="inlineStr">
        <is>
          <t>Citra</t>
        </is>
      </c>
      <c r="C109" t="inlineStr">
        <is>
          <t>1%</t>
        </is>
      </c>
      <c r="D109" t="n">
        <v>26700</v>
      </c>
      <c r="E109" t="n">
        <v>26900</v>
      </c>
      <c r="F109" t="n">
        <v>26700</v>
      </c>
      <c r="G109" t="n">
        <v>26900</v>
      </c>
      <c r="H109" t="n">
        <v>26700</v>
      </c>
      <c r="I109" t="n">
        <v>26900</v>
      </c>
      <c r="J109" t="b">
        <v>1</v>
      </c>
      <c r="K109" t="inlineStr">
        <is>
          <t>Unilever Indonesia Official Shop</t>
        </is>
      </c>
      <c r="L109" t="inlineStr">
        <is>
          <t>KOTA BEKASI</t>
        </is>
      </c>
      <c r="M109" t="n">
        <v>224776361</v>
      </c>
      <c r="N109" t="n">
        <v>14318452</v>
      </c>
      <c r="O109">
        <f>HYPERLINK("https://shopee.co.id/api/v4/item/get?itemid=224776361&amp;shopid=14318452", "Citra Hand &amp; Body Lotion Natural Glow UV 230ml")</f>
        <v/>
      </c>
      <c r="P109" t="n">
        <v>492</v>
      </c>
      <c r="Q109" t="n">
        <v>1879</v>
      </c>
      <c r="R109" t="n">
        <v>4.923582014883372</v>
      </c>
      <c r="S109" t="n">
        <v>30</v>
      </c>
      <c r="T109" t="n">
        <v>18</v>
      </c>
      <c r="U109" t="n">
        <v>97</v>
      </c>
      <c r="V109" t="n">
        <v>861</v>
      </c>
      <c r="W109" t="n">
        <v>14987</v>
      </c>
    </row>
    <row r="110">
      <c r="A110" t="inlineStr">
        <is>
          <t>Lifebuoy Body Wash Refill Total 10 Antibakteri 400ml</t>
        </is>
      </c>
      <c r="B110" t="inlineStr">
        <is>
          <t>Lifebuoy</t>
        </is>
      </c>
      <c r="C110" t="inlineStr"/>
      <c r="D110" t="n">
        <v>29500</v>
      </c>
      <c r="E110" t="n">
        <v>0</v>
      </c>
      <c r="F110" t="n">
        <v>29500</v>
      </c>
      <c r="G110" t="n">
        <v>-1e-05</v>
      </c>
      <c r="H110" t="n">
        <v>29500</v>
      </c>
      <c r="I110" t="n">
        <v>-1e-05</v>
      </c>
      <c r="J110" t="b">
        <v>1</v>
      </c>
      <c r="K110" t="inlineStr">
        <is>
          <t>Unilever Indonesia Official Shop</t>
        </is>
      </c>
      <c r="L110" t="inlineStr">
        <is>
          <t>KOTA BEKASI</t>
        </is>
      </c>
      <c r="M110" t="n">
        <v>224777252</v>
      </c>
      <c r="N110" t="n">
        <v>14318452</v>
      </c>
      <c r="O110">
        <f>HYPERLINK("https://shopee.co.id/api/v4/item/get?itemid=224777252&amp;shopid=14318452", "Lifebuoy Body Wash Refill Total 10 Antibakteri 400ml")</f>
        <v/>
      </c>
      <c r="P110" t="n">
        <v>524</v>
      </c>
      <c r="Q110" t="n">
        <v>620</v>
      </c>
      <c r="R110" t="n">
        <v>4.928449161246149</v>
      </c>
      <c r="S110" t="n">
        <v>32</v>
      </c>
      <c r="T110" t="n">
        <v>17</v>
      </c>
      <c r="U110" t="n">
        <v>75</v>
      </c>
      <c r="V110" t="n">
        <v>731</v>
      </c>
      <c r="W110" t="n">
        <v>13755</v>
      </c>
    </row>
    <row r="111">
      <c r="A111" t="inlineStr">
        <is>
          <t>Vaseline Lotion Intensive Care Advanced Stregth 100Ml</t>
        </is>
      </c>
      <c r="B111" t="inlineStr">
        <is>
          <t>0</t>
        </is>
      </c>
      <c r="C111" t="inlineStr">
        <is>
          <t>7%</t>
        </is>
      </c>
      <c r="D111" t="n">
        <v>26000</v>
      </c>
      <c r="E111" t="n">
        <v>27900</v>
      </c>
      <c r="F111" t="n">
        <v>26000</v>
      </c>
      <c r="G111" t="n">
        <v>27900</v>
      </c>
      <c r="H111" t="n">
        <v>26000</v>
      </c>
      <c r="I111" t="n">
        <v>27900</v>
      </c>
      <c r="J111" t="b">
        <v>1</v>
      </c>
      <c r="K111" t="inlineStr">
        <is>
          <t>Unilever Indonesia Official Shop</t>
        </is>
      </c>
      <c r="L111" t="inlineStr">
        <is>
          <t>KOTA BEKASI</t>
        </is>
      </c>
      <c r="M111" t="n">
        <v>224779112</v>
      </c>
      <c r="N111" t="n">
        <v>14318452</v>
      </c>
      <c r="O111">
        <f>HYPERLINK("https://shopee.co.id/api/v4/item/get?itemid=224779112&amp;shopid=14318452", "Vaseline Lotion Intensive Care Advanced Stregth 100Ml")</f>
        <v/>
      </c>
      <c r="P111" t="n">
        <v>450</v>
      </c>
      <c r="Q111" t="n">
        <v>429</v>
      </c>
      <c r="R111" t="n">
        <v>4.914649415692821</v>
      </c>
      <c r="S111" t="n">
        <v>15</v>
      </c>
      <c r="T111" t="n">
        <v>18</v>
      </c>
      <c r="U111" t="n">
        <v>76</v>
      </c>
      <c r="V111" t="n">
        <v>559</v>
      </c>
      <c r="W111" t="n">
        <v>8918</v>
      </c>
    </row>
    <row r="112">
      <c r="A112" t="inlineStr">
        <is>
          <t>Vaseline Hijab Bright Cooling Body Serum - All Day Radiant Long Lasting Fragrance 180ML</t>
        </is>
      </c>
      <c r="B112" t="inlineStr">
        <is>
          <t>None</t>
        </is>
      </c>
      <c r="C112" t="inlineStr">
        <is>
          <t>13%</t>
        </is>
      </c>
      <c r="D112" t="n">
        <v>30900</v>
      </c>
      <c r="E112" t="n">
        <v>35700</v>
      </c>
      <c r="F112" t="n">
        <v>30900</v>
      </c>
      <c r="G112" t="n">
        <v>35700</v>
      </c>
      <c r="H112" t="n">
        <v>30900</v>
      </c>
      <c r="I112" t="n">
        <v>35700</v>
      </c>
      <c r="J112" t="b">
        <v>1</v>
      </c>
      <c r="K112" t="inlineStr">
        <is>
          <t>Unilever Indonesia Official Shop</t>
        </is>
      </c>
      <c r="L112" t="inlineStr">
        <is>
          <t>KOTA BEKASI</t>
        </is>
      </c>
      <c r="M112" t="n">
        <v>10127240562</v>
      </c>
      <c r="N112" t="n">
        <v>14318452</v>
      </c>
      <c r="O112">
        <f>HYPERLINK("https://shopee.co.id/api/v4/item/get?itemid=10127240562&amp;shopid=14318452", "Vaseline Hijab Bright Cooling Body Serum - All Day Radiant Long Lasting Fragrance 180ML")</f>
        <v/>
      </c>
      <c r="P112" t="n">
        <v>548</v>
      </c>
      <c r="Q112" t="n">
        <v>1595</v>
      </c>
      <c r="R112" t="n">
        <v>4.92573402417962</v>
      </c>
      <c r="S112" t="n">
        <v>10</v>
      </c>
      <c r="T112" t="n">
        <v>7</v>
      </c>
      <c r="U112" t="n">
        <v>43</v>
      </c>
      <c r="V112" t="n">
        <v>416</v>
      </c>
      <c r="W112" t="n">
        <v>7052</v>
      </c>
    </row>
    <row r="113">
      <c r="A113" t="inlineStr">
        <is>
          <t>Rexona Men Deodorant Roll On Antiperspirant Invisible Dry 72 Jam Kesegaran Nonstop 45Ml</t>
        </is>
      </c>
      <c r="B113" t="inlineStr">
        <is>
          <t>Rexona</t>
        </is>
      </c>
      <c r="C113" t="inlineStr">
        <is>
          <t>1%</t>
        </is>
      </c>
      <c r="D113" t="n">
        <v>19500</v>
      </c>
      <c r="E113" t="n">
        <v>19600</v>
      </c>
      <c r="F113" t="n">
        <v>19500</v>
      </c>
      <c r="G113" t="n">
        <v>19600</v>
      </c>
      <c r="H113" t="n">
        <v>19500</v>
      </c>
      <c r="I113" t="n">
        <v>19600</v>
      </c>
      <c r="J113" t="b">
        <v>1</v>
      </c>
      <c r="K113" t="inlineStr">
        <is>
          <t>Unilever Indonesia Official Shop</t>
        </is>
      </c>
      <c r="L113" t="inlineStr">
        <is>
          <t>KOTA BEKASI</t>
        </is>
      </c>
      <c r="M113" t="n">
        <v>127043369</v>
      </c>
      <c r="N113" t="n">
        <v>14318452</v>
      </c>
      <c r="O113">
        <f>HYPERLINK("https://shopee.co.id/api/v4/item/get?itemid=127043369&amp;shopid=14318452", "Rexona Men Deodorant Roll On Antiperspirant Invisible Dry 72 Jam Kesegaran Nonstop 45Ml")</f>
        <v/>
      </c>
      <c r="P113" t="n">
        <v>2208</v>
      </c>
      <c r="Q113" t="n">
        <v>3726</v>
      </c>
      <c r="R113" t="n">
        <v>4.921652954375467</v>
      </c>
      <c r="S113" t="n">
        <v>103</v>
      </c>
      <c r="T113" t="n">
        <v>47</v>
      </c>
      <c r="U113" t="n">
        <v>243</v>
      </c>
      <c r="V113" t="n">
        <v>1922</v>
      </c>
      <c r="W113" t="n">
        <v>35129</v>
      </c>
    </row>
    <row r="114">
      <c r="A114" t="inlineStr">
        <is>
          <t>Zwitsal Baby Bottle Cleaner 425 ml</t>
        </is>
      </c>
      <c r="B114" t="inlineStr">
        <is>
          <t>0</t>
        </is>
      </c>
      <c r="C114" t="inlineStr">
        <is>
          <t>7%</t>
        </is>
      </c>
      <c r="D114" t="n">
        <v>20000</v>
      </c>
      <c r="E114" t="n">
        <v>21600</v>
      </c>
      <c r="F114" t="n">
        <v>20000</v>
      </c>
      <c r="G114" t="n">
        <v>21600</v>
      </c>
      <c r="H114" t="n">
        <v>20000</v>
      </c>
      <c r="I114" t="n">
        <v>21600</v>
      </c>
      <c r="J114" t="b">
        <v>1</v>
      </c>
      <c r="K114" t="inlineStr">
        <is>
          <t>Unilever Indonesia Official Shop</t>
        </is>
      </c>
      <c r="L114" t="inlineStr">
        <is>
          <t>KOTA BEKASI</t>
        </is>
      </c>
      <c r="M114" t="n">
        <v>4757891674</v>
      </c>
      <c r="N114" t="n">
        <v>14318452</v>
      </c>
      <c r="O114">
        <f>HYPERLINK("https://shopee.co.id/api/v4/item/get?itemid=4757891674&amp;shopid=14318452", "Zwitsal Baby Bottle Cleaner 425 ml")</f>
        <v/>
      </c>
      <c r="P114" t="n">
        <v>486</v>
      </c>
      <c r="Q114" t="n">
        <v>1810</v>
      </c>
      <c r="R114" t="n">
        <v>4.926645519429025</v>
      </c>
      <c r="S114" t="n">
        <v>8</v>
      </c>
      <c r="T114" t="n">
        <v>7</v>
      </c>
      <c r="U114" t="n">
        <v>24</v>
      </c>
      <c r="V114" t="n">
        <v>272</v>
      </c>
      <c r="W114" t="n">
        <v>4734</v>
      </c>
    </row>
    <row r="115">
      <c r="A115" t="inlineStr">
        <is>
          <t>Ponds Men Facial Foam Sabun Muka Pembersih Wajah Acne Solution 100 gr Anti Bakteri</t>
        </is>
      </c>
      <c r="B115" t="inlineStr">
        <is>
          <t>Pond's</t>
        </is>
      </c>
      <c r="C115" t="inlineStr">
        <is>
          <t>12%</t>
        </is>
      </c>
      <c r="D115" t="n">
        <v>35500</v>
      </c>
      <c r="E115" t="n">
        <v>40300</v>
      </c>
      <c r="F115" t="n">
        <v>35500</v>
      </c>
      <c r="G115" t="n">
        <v>40300</v>
      </c>
      <c r="H115" t="n">
        <v>35500</v>
      </c>
      <c r="I115" t="n">
        <v>40300</v>
      </c>
      <c r="J115" t="b">
        <v>1</v>
      </c>
      <c r="K115" t="inlineStr">
        <is>
          <t>Unilever Indonesia Official Shop</t>
        </is>
      </c>
      <c r="L115" t="inlineStr">
        <is>
          <t>KOTA BEKASI</t>
        </is>
      </c>
      <c r="M115" t="n">
        <v>6860898571</v>
      </c>
      <c r="N115" t="n">
        <v>14318452</v>
      </c>
      <c r="O115">
        <f>HYPERLINK("https://shopee.co.id/api/v4/item/get?itemid=6860898571&amp;shopid=14318452", "Ponds Men Facial Foam Sabun Muka Pembersih Wajah Acne Solution 100 gr Anti Bakteri")</f>
        <v/>
      </c>
      <c r="P115" t="n">
        <v>1496</v>
      </c>
      <c r="Q115" t="n">
        <v>1972</v>
      </c>
      <c r="R115" t="n">
        <v>4.889092295957284</v>
      </c>
      <c r="S115" t="n">
        <v>50</v>
      </c>
      <c r="T115" t="n">
        <v>27</v>
      </c>
      <c r="U115" t="n">
        <v>144</v>
      </c>
      <c r="V115" t="n">
        <v>904</v>
      </c>
      <c r="W115" t="n">
        <v>11990</v>
      </c>
    </row>
    <row r="116">
      <c r="A116" t="inlineStr">
        <is>
          <t>Citra Hand Body Lotion Glow Uv 380Ml</t>
        </is>
      </c>
      <c r="B116" t="inlineStr">
        <is>
          <t>Citra</t>
        </is>
      </c>
      <c r="C116" t="inlineStr">
        <is>
          <t>1%</t>
        </is>
      </c>
      <c r="D116" t="n">
        <v>39800</v>
      </c>
      <c r="E116" t="n">
        <v>40200</v>
      </c>
      <c r="F116" t="n">
        <v>39800</v>
      </c>
      <c r="G116" t="n">
        <v>40200</v>
      </c>
      <c r="H116" t="n">
        <v>39800</v>
      </c>
      <c r="I116" t="n">
        <v>40200</v>
      </c>
      <c r="J116" t="b">
        <v>1</v>
      </c>
      <c r="K116" t="inlineStr">
        <is>
          <t>Unilever Indonesia Official Shop</t>
        </is>
      </c>
      <c r="L116" t="inlineStr">
        <is>
          <t>KOTA BEKASI</t>
        </is>
      </c>
      <c r="M116" t="n">
        <v>7860775097</v>
      </c>
      <c r="N116" t="n">
        <v>14318452</v>
      </c>
      <c r="O116">
        <f>HYPERLINK("https://shopee.co.id/api/v4/item/get?itemid=7860775097&amp;shopid=14318452", "Citra Hand Body Lotion Glow Uv 380Ml")</f>
        <v/>
      </c>
      <c r="P116" t="n">
        <v>1678</v>
      </c>
      <c r="Q116" t="n">
        <v>2518</v>
      </c>
      <c r="R116" t="n">
        <v>4.897589882278078</v>
      </c>
      <c r="S116" t="n">
        <v>79</v>
      </c>
      <c r="T116" t="n">
        <v>66</v>
      </c>
      <c r="U116" t="n">
        <v>268</v>
      </c>
      <c r="V116" t="n">
        <v>1562</v>
      </c>
      <c r="W116" t="n">
        <v>23180</v>
      </c>
    </row>
    <row r="117">
      <c r="A117" t="inlineStr">
        <is>
          <t>Citra Fresh Glow Multifunction Gel Aloe Bright Uv 180 ml</t>
        </is>
      </c>
      <c r="B117" t="inlineStr">
        <is>
          <t>0</t>
        </is>
      </c>
      <c r="C117" t="inlineStr">
        <is>
          <t>1%</t>
        </is>
      </c>
      <c r="D117" t="n">
        <v>30800</v>
      </c>
      <c r="E117" t="n">
        <v>31100</v>
      </c>
      <c r="F117" t="n">
        <v>30800</v>
      </c>
      <c r="G117" t="n">
        <v>31100</v>
      </c>
      <c r="H117" t="n">
        <v>30800</v>
      </c>
      <c r="I117" t="n">
        <v>31100</v>
      </c>
      <c r="J117" t="b">
        <v>1</v>
      </c>
      <c r="K117" t="inlineStr">
        <is>
          <t>Unilever Indonesia Official Shop</t>
        </is>
      </c>
      <c r="L117" t="inlineStr">
        <is>
          <t>KOTA BEKASI</t>
        </is>
      </c>
      <c r="M117" t="n">
        <v>7660896194</v>
      </c>
      <c r="N117" t="n">
        <v>14318452</v>
      </c>
      <c r="O117">
        <f>HYPERLINK("https://shopee.co.id/api/v4/item/get?itemid=7660896194&amp;shopid=14318452", "Citra Fresh Glow Multifunction Gel Aloe Bright Uv 180 ml")</f>
        <v/>
      </c>
      <c r="P117" t="n">
        <v>1772</v>
      </c>
      <c r="Q117" t="n">
        <v>5966</v>
      </c>
      <c r="R117" t="n">
        <v>4.907795033385851</v>
      </c>
      <c r="S117" t="n">
        <v>42</v>
      </c>
      <c r="T117" t="n">
        <v>36</v>
      </c>
      <c r="U117" t="n">
        <v>234</v>
      </c>
      <c r="V117" t="n">
        <v>1731</v>
      </c>
      <c r="W117" t="n">
        <v>24622</v>
      </c>
    </row>
    <row r="118">
      <c r="A118" t="inlineStr">
        <is>
          <t>Zwitsal Baby Bottle Cleaner 425 ml</t>
        </is>
      </c>
      <c r="B118" t="inlineStr">
        <is>
          <t>0</t>
        </is>
      </c>
      <c r="C118" t="inlineStr">
        <is>
          <t>7%</t>
        </is>
      </c>
      <c r="D118" t="n">
        <v>20600</v>
      </c>
      <c r="E118" t="n">
        <v>22200</v>
      </c>
      <c r="F118" t="n">
        <v>20600</v>
      </c>
      <c r="G118" t="n">
        <v>22200</v>
      </c>
      <c r="H118" t="n">
        <v>20600</v>
      </c>
      <c r="I118" t="n">
        <v>22200</v>
      </c>
      <c r="J118" t="b">
        <v>1</v>
      </c>
      <c r="K118" t="inlineStr">
        <is>
          <t>Unilever Indonesia Official Shop</t>
        </is>
      </c>
      <c r="L118" t="inlineStr">
        <is>
          <t>KOTA BEKASI</t>
        </is>
      </c>
      <c r="M118" t="n">
        <v>2684774101</v>
      </c>
      <c r="N118" t="n">
        <v>14318452</v>
      </c>
      <c r="O118">
        <f>HYPERLINK("https://shopee.co.id/api/v4/item/get?itemid=2684774101&amp;shopid=14318452", "Zwitsal Baby Bottle Cleaner 425 ml")</f>
        <v/>
      </c>
      <c r="P118" t="n">
        <v>1810</v>
      </c>
      <c r="Q118" t="n">
        <v>1810</v>
      </c>
      <c r="R118" t="n">
        <v>4.920704012112036</v>
      </c>
      <c r="S118" t="n">
        <v>71</v>
      </c>
      <c r="T118" t="n">
        <v>34</v>
      </c>
      <c r="U118" t="n">
        <v>132</v>
      </c>
      <c r="V118" t="n">
        <v>1033</v>
      </c>
      <c r="W118" t="n">
        <v>19868</v>
      </c>
    </row>
    <row r="119">
      <c r="A119" t="inlineStr">
        <is>
          <t>Vaseline Lotion Healthy Bright UV Extra Brightening 100ml</t>
        </is>
      </c>
      <c r="B119" t="inlineStr"/>
      <c r="C119" t="inlineStr">
        <is>
          <t>3%</t>
        </is>
      </c>
      <c r="D119" t="n">
        <v>17800</v>
      </c>
      <c r="E119" t="n">
        <v>18400</v>
      </c>
      <c r="F119" t="n">
        <v>17800</v>
      </c>
      <c r="G119" t="n">
        <v>18400</v>
      </c>
      <c r="H119" t="n">
        <v>17800</v>
      </c>
      <c r="I119" t="n">
        <v>18400</v>
      </c>
      <c r="J119" t="b">
        <v>1</v>
      </c>
      <c r="K119" t="inlineStr">
        <is>
          <t>Unilever Indonesia Official Shop</t>
        </is>
      </c>
      <c r="L119" t="inlineStr">
        <is>
          <t>KOTA BEKASI</t>
        </is>
      </c>
      <c r="M119" t="n">
        <v>6631996675</v>
      </c>
      <c r="N119" t="n">
        <v>14318452</v>
      </c>
      <c r="O119">
        <f>HYPERLINK("https://shopee.co.id/api/v4/item/get?itemid=6631996675&amp;shopid=14318452", "Vaseline Lotion Healthy Bright UV Extra Brightening 100ml")</f>
        <v/>
      </c>
      <c r="P119" t="n">
        <v>823</v>
      </c>
      <c r="Q119" t="n">
        <v>2933</v>
      </c>
      <c r="R119" t="n">
        <v>4.89052505044434</v>
      </c>
      <c r="S119" t="n">
        <v>56</v>
      </c>
      <c r="T119" t="n">
        <v>52</v>
      </c>
      <c r="U119" t="n">
        <v>268</v>
      </c>
      <c r="V119" t="n">
        <v>1650</v>
      </c>
      <c r="W119" t="n">
        <v>21272</v>
      </c>
    </row>
    <row r="120">
      <c r="A120" t="inlineStr">
        <is>
          <t>Zwitsal Kids 2 In 1 Hair &amp; Body Wash Soft And Moisturizing 280 ml</t>
        </is>
      </c>
      <c r="B120" t="inlineStr">
        <is>
          <t>None</t>
        </is>
      </c>
      <c r="C120" t="inlineStr">
        <is>
          <t>22%</t>
        </is>
      </c>
      <c r="D120" t="n">
        <v>21200</v>
      </c>
      <c r="E120" t="n">
        <v>27100</v>
      </c>
      <c r="F120" t="n">
        <v>21200</v>
      </c>
      <c r="G120" t="n">
        <v>27100</v>
      </c>
      <c r="H120" t="n">
        <v>21200</v>
      </c>
      <c r="I120" t="n">
        <v>27100</v>
      </c>
      <c r="J120" t="b">
        <v>1</v>
      </c>
      <c r="K120" t="inlineStr">
        <is>
          <t>Unilever Indonesia Official Shop</t>
        </is>
      </c>
      <c r="L120" t="inlineStr">
        <is>
          <t>KOTA BEKASI</t>
        </is>
      </c>
      <c r="M120" t="n">
        <v>7765377084</v>
      </c>
      <c r="N120" t="n">
        <v>14318452</v>
      </c>
      <c r="O120">
        <f>HYPERLINK("https://shopee.co.id/api/v4/item/get?itemid=7765377084&amp;shopid=14318452", "Zwitsal Kids 2 In 1 Hair &amp; Body Wash Soft And Moisturizing 280 ml")</f>
        <v/>
      </c>
      <c r="P120" t="n">
        <v>1178</v>
      </c>
      <c r="Q120" t="n">
        <v>487</v>
      </c>
      <c r="R120" t="n">
        <v>4.916822624246205</v>
      </c>
      <c r="S120" t="n">
        <v>22</v>
      </c>
      <c r="T120" t="n">
        <v>10</v>
      </c>
      <c r="U120" t="n">
        <v>30</v>
      </c>
      <c r="V120" t="n">
        <v>228</v>
      </c>
      <c r="W120" t="n">
        <v>4521</v>
      </c>
    </row>
    <row r="121">
      <c r="A121" t="inlineStr">
        <is>
          <t>Bango Kecap Manis 400 ml</t>
        </is>
      </c>
      <c r="B121" t="inlineStr">
        <is>
          <t>0</t>
        </is>
      </c>
      <c r="C121" t="inlineStr">
        <is>
          <t>23%</t>
        </is>
      </c>
      <c r="D121" t="n">
        <v>15900</v>
      </c>
      <c r="E121" t="n">
        <v>20700</v>
      </c>
      <c r="F121" t="n">
        <v>15900</v>
      </c>
      <c r="G121" t="n">
        <v>20700</v>
      </c>
      <c r="H121" t="n">
        <v>15900</v>
      </c>
      <c r="I121" t="n">
        <v>20700</v>
      </c>
      <c r="J121" t="b">
        <v>1</v>
      </c>
      <c r="K121" t="inlineStr">
        <is>
          <t>Unilever Indonesia Official Shop</t>
        </is>
      </c>
      <c r="L121" t="inlineStr">
        <is>
          <t>KAB. BANYUASIN</t>
        </is>
      </c>
      <c r="M121" t="n">
        <v>1652158496</v>
      </c>
      <c r="N121" t="n">
        <v>14318452</v>
      </c>
      <c r="O121">
        <f>HYPERLINK("https://shopee.co.id/api/v4/item/get?itemid=1652158496&amp;shopid=14318452", "Bango Kecap Manis 400 ml")</f>
        <v/>
      </c>
      <c r="P121" t="n">
        <v>466</v>
      </c>
      <c r="Q121" t="n">
        <v>97</v>
      </c>
      <c r="R121" t="n">
        <v>4.926795051651575</v>
      </c>
      <c r="S121" t="n">
        <v>58</v>
      </c>
      <c r="T121" t="n">
        <v>31</v>
      </c>
      <c r="U121" t="n">
        <v>153</v>
      </c>
      <c r="V121" t="n">
        <v>1097</v>
      </c>
      <c r="W121" t="n">
        <v>22186</v>
      </c>
    </row>
    <row r="122">
      <c r="A122" t="inlineStr">
        <is>
          <t>Glow &amp; Lovely BB Cream &amp; Krim Pencerah For All Skin Type SPF 15 15g</t>
        </is>
      </c>
      <c r="B122" t="inlineStr">
        <is>
          <t>0</t>
        </is>
      </c>
      <c r="C122" t="inlineStr">
        <is>
          <t>14%</t>
        </is>
      </c>
      <c r="D122" t="n">
        <v>25600</v>
      </c>
      <c r="E122" t="n">
        <v>29800</v>
      </c>
      <c r="F122" t="n">
        <v>25600</v>
      </c>
      <c r="G122" t="n">
        <v>29800</v>
      </c>
      <c r="H122" t="n">
        <v>25600</v>
      </c>
      <c r="I122" t="n">
        <v>29800</v>
      </c>
      <c r="J122" t="b">
        <v>1</v>
      </c>
      <c r="K122" t="inlineStr">
        <is>
          <t>Unilever Indonesia Official Shop</t>
        </is>
      </c>
      <c r="L122" t="inlineStr">
        <is>
          <t>KOTA SEMARANG</t>
        </is>
      </c>
      <c r="M122" t="n">
        <v>2364537198</v>
      </c>
      <c r="N122" t="n">
        <v>14318452</v>
      </c>
      <c r="O122">
        <f>HYPERLINK("https://shopee.co.id/api/v4/item/get?itemid=2364537198&amp;shopid=14318452", "Glow &amp; Lovely BB Cream &amp; Krim Pencerah For All Skin Type SPF 15 15g")</f>
        <v/>
      </c>
      <c r="P122" t="n">
        <v>665</v>
      </c>
      <c r="Q122" t="n">
        <v>413</v>
      </c>
      <c r="R122" t="n">
        <v>4.872090289207618</v>
      </c>
      <c r="S122" t="n">
        <v>29</v>
      </c>
      <c r="T122" t="n">
        <v>29</v>
      </c>
      <c r="U122" t="n">
        <v>185</v>
      </c>
      <c r="V122" t="n">
        <v>1059</v>
      </c>
      <c r="W122" t="n">
        <v>11457</v>
      </c>
    </row>
    <row r="123">
      <c r="A123" t="inlineStr">
        <is>
          <t>Glow &amp; Lovely Multivitamin Cream 46gr &amp; Multivitamin Facial Foam 100gr</t>
        </is>
      </c>
      <c r="B123" t="inlineStr">
        <is>
          <t>Fair &amp; Lovely</t>
        </is>
      </c>
      <c r="C123" t="inlineStr">
        <is>
          <t>15%</t>
        </is>
      </c>
      <c r="D123" t="n">
        <v>55100</v>
      </c>
      <c r="E123" t="n">
        <v>65200</v>
      </c>
      <c r="F123" t="n">
        <v>55100</v>
      </c>
      <c r="G123" t="n">
        <v>65200</v>
      </c>
      <c r="H123" t="n">
        <v>55100</v>
      </c>
      <c r="I123" t="n">
        <v>65200</v>
      </c>
      <c r="J123" t="b">
        <v>1</v>
      </c>
      <c r="K123" t="inlineStr">
        <is>
          <t>Unilever Indonesia Official Shop</t>
        </is>
      </c>
      <c r="L123" t="inlineStr">
        <is>
          <t>KOTA SEMARANG</t>
        </is>
      </c>
      <c r="M123" t="n">
        <v>7831325909</v>
      </c>
      <c r="N123" t="n">
        <v>14318452</v>
      </c>
      <c r="O123">
        <f>HYPERLINK("https://shopee.co.id/api/v4/item/get?itemid=7831325909&amp;shopid=14318452", "Glow &amp; Lovely Multivitamin Cream 46gr &amp; Multivitamin Facial Foam 100gr")</f>
        <v/>
      </c>
      <c r="P123" t="n">
        <v>352</v>
      </c>
      <c r="Q123" t="n">
        <v>864</v>
      </c>
      <c r="R123" t="n">
        <v>4.915933302454841</v>
      </c>
      <c r="S123" t="n">
        <v>10</v>
      </c>
      <c r="T123" t="n">
        <v>3</v>
      </c>
      <c r="U123" t="n">
        <v>32</v>
      </c>
      <c r="V123" t="n">
        <v>250</v>
      </c>
      <c r="W123" t="n">
        <v>4023</v>
      </c>
    </row>
    <row r="124">
      <c r="A124" t="inlineStr">
        <is>
          <t>Zwitsal Kids Shampo Clean &amp; Fresh 180 Ml - Shampoo Anak, Sampo Anak, Kids Shampoo</t>
        </is>
      </c>
      <c r="B124" t="inlineStr"/>
      <c r="C124" t="inlineStr">
        <is>
          <t>18%</t>
        </is>
      </c>
      <c r="D124" t="n">
        <v>15400</v>
      </c>
      <c r="E124" t="n">
        <v>18700</v>
      </c>
      <c r="F124" t="n">
        <v>15400</v>
      </c>
      <c r="G124" t="n">
        <v>18700</v>
      </c>
      <c r="H124" t="n">
        <v>15400</v>
      </c>
      <c r="I124" t="n">
        <v>18700</v>
      </c>
      <c r="J124" t="b">
        <v>0</v>
      </c>
      <c r="K124" t="inlineStr">
        <is>
          <t>Unilever Indonesia Official Shop</t>
        </is>
      </c>
      <c r="L124" t="inlineStr">
        <is>
          <t>KOTA BEKASI</t>
        </is>
      </c>
      <c r="M124" t="n">
        <v>13923533184</v>
      </c>
      <c r="N124" t="n">
        <v>14318452</v>
      </c>
      <c r="O124">
        <f>HYPERLINK("https://shopee.co.id/api/v4/item/get?itemid=13923533184&amp;shopid=14318452", "Zwitsal Kids Shampo Clean &amp; Fresh 180 Ml - Shampoo Anak, Sampo Anak, Kids Shampoo")</f>
        <v/>
      </c>
      <c r="P124" t="n">
        <v>552</v>
      </c>
      <c r="Q124" t="n">
        <v>1139</v>
      </c>
      <c r="R124" t="n">
        <v>4.939880390305319</v>
      </c>
      <c r="S124" t="n">
        <v>3</v>
      </c>
      <c r="T124" t="n">
        <v>3</v>
      </c>
      <c r="U124" t="n">
        <v>13</v>
      </c>
      <c r="V124" t="n">
        <v>148</v>
      </c>
      <c r="W124" t="n">
        <v>3011</v>
      </c>
    </row>
    <row r="125">
      <c r="A125" t="inlineStr">
        <is>
          <t>Sunlight Lime Sabun Cuci Piring Jeruk Nipis 1500 Ml -Sabun Pencuci Piring,Sabun Jeruk Nipis</t>
        </is>
      </c>
      <c r="B125" t="inlineStr">
        <is>
          <t>Sunlight</t>
        </is>
      </c>
      <c r="C125" t="inlineStr">
        <is>
          <t>36%</t>
        </is>
      </c>
      <c r="D125" t="n">
        <v>32400</v>
      </c>
      <c r="E125" t="n">
        <v>50700</v>
      </c>
      <c r="F125" t="n">
        <v>32400</v>
      </c>
      <c r="G125" t="n">
        <v>50700</v>
      </c>
      <c r="H125" t="n">
        <v>32400</v>
      </c>
      <c r="I125" t="n">
        <v>50700</v>
      </c>
      <c r="J125" t="b">
        <v>1</v>
      </c>
      <c r="K125" t="inlineStr">
        <is>
          <t>Unilever Indonesia Official Shop</t>
        </is>
      </c>
      <c r="L125" t="inlineStr">
        <is>
          <t>KOTA BEKASI</t>
        </is>
      </c>
      <c r="M125" t="n">
        <v>1568726812</v>
      </c>
      <c r="N125" t="n">
        <v>14318452</v>
      </c>
      <c r="O125">
        <f>HYPERLINK("https://shopee.co.id/api/v4/item/get?itemid=1568726812&amp;shopid=14318452", "Sunlight Lime Sabun Cuci Piring Jeruk Nipis 1500 Ml -Sabun Pencuci Piring,Sabun Jeruk Nipis")</f>
        <v/>
      </c>
      <c r="P125" t="n">
        <v>2963</v>
      </c>
      <c r="Q125" t="n">
        <v>6973</v>
      </c>
      <c r="R125" t="n">
        <v>4.943715931296925</v>
      </c>
      <c r="S125" t="n">
        <v>208</v>
      </c>
      <c r="T125" t="n">
        <v>89</v>
      </c>
      <c r="U125" t="n">
        <v>370</v>
      </c>
      <c r="V125" t="n">
        <v>2629</v>
      </c>
      <c r="W125" t="n">
        <v>74536</v>
      </c>
    </row>
    <row r="126">
      <c r="A126" t="inlineStr">
        <is>
          <t>Lifebuoy Body Wash Refill Lemon Fresh Antibakteri 400ml</t>
        </is>
      </c>
      <c r="B126" t="inlineStr">
        <is>
          <t>0</t>
        </is>
      </c>
      <c r="C126" t="inlineStr">
        <is>
          <t>27%</t>
        </is>
      </c>
      <c r="D126" t="n">
        <v>22500</v>
      </c>
      <c r="E126" t="n">
        <v>30900</v>
      </c>
      <c r="F126" t="n">
        <v>22500</v>
      </c>
      <c r="G126" t="n">
        <v>30900</v>
      </c>
      <c r="H126" t="n">
        <v>22500</v>
      </c>
      <c r="I126" t="n">
        <v>30900</v>
      </c>
      <c r="J126" t="b">
        <v>1</v>
      </c>
      <c r="K126" t="inlineStr">
        <is>
          <t>Unilever Indonesia Official Shop</t>
        </is>
      </c>
      <c r="L126" t="inlineStr">
        <is>
          <t>KOTA BEKASI</t>
        </is>
      </c>
      <c r="M126" t="n">
        <v>1097958086</v>
      </c>
      <c r="N126" t="n">
        <v>14318452</v>
      </c>
      <c r="O126">
        <f>HYPERLINK("https://shopee.co.id/api/v4/item/get?itemid=1097958086&amp;shopid=14318452", "Lifebuoy Body Wash Refill Lemon Fresh Antibakteri 400ml")</f>
        <v/>
      </c>
      <c r="P126" t="n">
        <v>433</v>
      </c>
      <c r="Q126" t="n">
        <v>11</v>
      </c>
      <c r="R126" t="n">
        <v>4.930454140694568</v>
      </c>
      <c r="S126" t="n">
        <v>13</v>
      </c>
      <c r="T126" t="n">
        <v>19</v>
      </c>
      <c r="U126" t="n">
        <v>70</v>
      </c>
      <c r="V126" t="n">
        <v>546</v>
      </c>
      <c r="W126" t="n">
        <v>10586</v>
      </c>
    </row>
    <row r="127">
      <c r="A127" t="inlineStr">
        <is>
          <t>Vaseline Lotion Intensive Care Aloe Soothe 400ml</t>
        </is>
      </c>
      <c r="B127" t="inlineStr">
        <is>
          <t>Vaseline</t>
        </is>
      </c>
      <c r="C127" t="inlineStr">
        <is>
          <t>14%</t>
        </is>
      </c>
      <c r="D127" t="n">
        <v>56100</v>
      </c>
      <c r="E127" t="n">
        <v>65000</v>
      </c>
      <c r="F127" t="n">
        <v>56100</v>
      </c>
      <c r="G127" t="n">
        <v>65000</v>
      </c>
      <c r="H127" t="n">
        <v>56100</v>
      </c>
      <c r="I127" t="n">
        <v>65000</v>
      </c>
      <c r="J127" t="b">
        <v>1</v>
      </c>
      <c r="K127" t="inlineStr">
        <is>
          <t>Unilever Indonesia Official Shop</t>
        </is>
      </c>
      <c r="L127" t="inlineStr">
        <is>
          <t>KOTA BEKASI</t>
        </is>
      </c>
      <c r="M127" t="n">
        <v>127357990</v>
      </c>
      <c r="N127" t="n">
        <v>14318452</v>
      </c>
      <c r="O127">
        <f>HYPERLINK("https://shopee.co.id/api/v4/item/get?itemid=127357990&amp;shopid=14318452", "Vaseline Lotion Intensive Care Aloe Soothe 400ml")</f>
        <v/>
      </c>
      <c r="P127" t="n">
        <v>865</v>
      </c>
      <c r="Q127" t="n">
        <v>2085</v>
      </c>
      <c r="R127" t="n">
        <v>4.923540404691326</v>
      </c>
      <c r="S127" t="n">
        <v>70</v>
      </c>
      <c r="T127" t="n">
        <v>48</v>
      </c>
      <c r="U127" t="n">
        <v>215</v>
      </c>
      <c r="V127" t="n">
        <v>1557</v>
      </c>
      <c r="W127" t="n">
        <v>29157</v>
      </c>
    </row>
    <row r="128">
      <c r="A128" t="inlineStr">
        <is>
          <t>Ponds Men Bright Boost Sabun Cuci Muka Brightening Facial Wash 100G with Niacinamide</t>
        </is>
      </c>
      <c r="B128" t="inlineStr">
        <is>
          <t>Pond's</t>
        </is>
      </c>
      <c r="C128" t="inlineStr">
        <is>
          <t>12%</t>
        </is>
      </c>
      <c r="D128" t="n">
        <v>35500</v>
      </c>
      <c r="E128" t="n">
        <v>40300</v>
      </c>
      <c r="F128" t="n">
        <v>35500</v>
      </c>
      <c r="G128" t="n">
        <v>40300</v>
      </c>
      <c r="H128" t="n">
        <v>35500</v>
      </c>
      <c r="I128" t="n">
        <v>40300</v>
      </c>
      <c r="J128" t="b">
        <v>1</v>
      </c>
      <c r="K128" t="inlineStr">
        <is>
          <t>Unilever Indonesia Official Shop</t>
        </is>
      </c>
      <c r="L128" t="inlineStr">
        <is>
          <t>KOTA BEKASI</t>
        </is>
      </c>
      <c r="M128" t="n">
        <v>127358162</v>
      </c>
      <c r="N128" t="n">
        <v>14318452</v>
      </c>
      <c r="O128">
        <f>HYPERLINK("https://shopee.co.id/api/v4/item/get?itemid=127358162&amp;shopid=14318452", "Ponds Men Bright Boost Sabun Cuci Muka Brightening Facial Wash 100G with Niacinamide")</f>
        <v/>
      </c>
      <c r="P128" t="n">
        <v>2317</v>
      </c>
      <c r="Q128" t="n">
        <v>2617</v>
      </c>
      <c r="R128" t="n">
        <v>4.900753224233228</v>
      </c>
      <c r="S128" t="n">
        <v>118</v>
      </c>
      <c r="T128" t="n">
        <v>62</v>
      </c>
      <c r="U128" t="n">
        <v>357</v>
      </c>
      <c r="V128" t="n">
        <v>2321</v>
      </c>
      <c r="W128" t="n">
        <v>34071</v>
      </c>
    </row>
    <row r="129">
      <c r="A129" t="inlineStr">
        <is>
          <t>Vaseline Lotion Healthy Bright Perfect 10 400ml</t>
        </is>
      </c>
      <c r="B129" t="inlineStr">
        <is>
          <t>Vaseline</t>
        </is>
      </c>
      <c r="C129" t="inlineStr">
        <is>
          <t>12%</t>
        </is>
      </c>
      <c r="D129" t="n">
        <v>70500</v>
      </c>
      <c r="E129" t="n">
        <v>80100</v>
      </c>
      <c r="F129" t="n">
        <v>70500</v>
      </c>
      <c r="G129" t="n">
        <v>80100</v>
      </c>
      <c r="H129" t="n">
        <v>70500</v>
      </c>
      <c r="I129" t="n">
        <v>80100</v>
      </c>
      <c r="J129" t="b">
        <v>1</v>
      </c>
      <c r="K129" t="inlineStr">
        <is>
          <t>Unilever Indonesia Official Shop</t>
        </is>
      </c>
      <c r="L129" t="inlineStr">
        <is>
          <t>KOTA BEKASI</t>
        </is>
      </c>
      <c r="M129" t="n">
        <v>6460812798</v>
      </c>
      <c r="N129" t="n">
        <v>14318452</v>
      </c>
      <c r="O129">
        <f>HYPERLINK("https://shopee.co.id/api/v4/item/get?itemid=6460812798&amp;shopid=14318452", "Vaseline Lotion Healthy Bright Perfect 10 400ml")</f>
        <v/>
      </c>
      <c r="P129" t="n">
        <v>1123</v>
      </c>
      <c r="Q129" t="n">
        <v>3173</v>
      </c>
      <c r="R129" t="n">
        <v>4.861540418495198</v>
      </c>
      <c r="S129" t="n">
        <v>104</v>
      </c>
      <c r="T129" t="n">
        <v>77</v>
      </c>
      <c r="U129" t="n">
        <v>244</v>
      </c>
      <c r="V129" t="n">
        <v>1070</v>
      </c>
      <c r="W129" t="n">
        <v>14236</v>
      </c>
    </row>
    <row r="130">
      <c r="A130" t="inlineStr">
        <is>
          <t>Pond's Instabright Tone Up Cream 20 gr</t>
        </is>
      </c>
      <c r="B130" t="inlineStr">
        <is>
          <t>Pond's</t>
        </is>
      </c>
      <c r="C130" t="inlineStr">
        <is>
          <t>11%</t>
        </is>
      </c>
      <c r="D130" t="n">
        <v>27400</v>
      </c>
      <c r="E130" t="n">
        <v>30700</v>
      </c>
      <c r="F130" t="n">
        <v>27400</v>
      </c>
      <c r="G130" t="n">
        <v>30700</v>
      </c>
      <c r="H130" t="n">
        <v>27400</v>
      </c>
      <c r="I130" t="n">
        <v>30700</v>
      </c>
      <c r="J130" t="b">
        <v>1</v>
      </c>
      <c r="K130" t="inlineStr">
        <is>
          <t>Unilever Indonesia Official Shop</t>
        </is>
      </c>
      <c r="L130" t="inlineStr">
        <is>
          <t>KOTA BEKASI</t>
        </is>
      </c>
      <c r="M130" t="n">
        <v>5352497064</v>
      </c>
      <c r="N130" t="n">
        <v>14318452</v>
      </c>
      <c r="O130">
        <f>HYPERLINK("https://shopee.co.id/api/v4/item/get?itemid=5352497064&amp;shopid=14318452", "Pond's Instabright Tone Up Cream 20 gr")</f>
        <v/>
      </c>
      <c r="P130" t="n">
        <v>791</v>
      </c>
      <c r="Q130" t="n">
        <v>1066</v>
      </c>
      <c r="R130" t="n">
        <v>4.909137908750162</v>
      </c>
      <c r="S130" t="n">
        <v>11</v>
      </c>
      <c r="T130" t="n">
        <v>11</v>
      </c>
      <c r="U130" t="n">
        <v>63</v>
      </c>
      <c r="V130" t="n">
        <v>504</v>
      </c>
      <c r="W130" t="n">
        <v>7149</v>
      </c>
    </row>
    <row r="131">
      <c r="A131" t="inlineStr">
        <is>
          <t>Zwitsal Baby Bath Milk Natural Rich Honey Refill 450 ml</t>
        </is>
      </c>
      <c r="B131" t="inlineStr">
        <is>
          <t>Zwitsal</t>
        </is>
      </c>
      <c r="C131" t="inlineStr">
        <is>
          <t>21%</t>
        </is>
      </c>
      <c r="D131" t="n">
        <v>31800</v>
      </c>
      <c r="E131" t="n">
        <v>40000</v>
      </c>
      <c r="F131" t="n">
        <v>31800</v>
      </c>
      <c r="G131" t="n">
        <v>40000</v>
      </c>
      <c r="H131" t="n">
        <v>31800</v>
      </c>
      <c r="I131" t="n">
        <v>40000</v>
      </c>
      <c r="J131" t="b">
        <v>1</v>
      </c>
      <c r="K131" t="inlineStr">
        <is>
          <t>Unilever Indonesia Official Shop</t>
        </is>
      </c>
      <c r="L131" t="inlineStr">
        <is>
          <t>KOTA BEKASI</t>
        </is>
      </c>
      <c r="M131" t="n">
        <v>7560899182</v>
      </c>
      <c r="N131" t="n">
        <v>14318452</v>
      </c>
      <c r="O131">
        <f>HYPERLINK("https://shopee.co.id/api/v4/item/get?itemid=7560899182&amp;shopid=14318452", "Zwitsal Baby Bath Milk Natural Rich Honey Refill 450 ml")</f>
        <v/>
      </c>
      <c r="P131" t="n">
        <v>1639</v>
      </c>
      <c r="Q131" t="n">
        <v>939</v>
      </c>
      <c r="R131" t="n">
        <v>4.948988566402814</v>
      </c>
      <c r="S131" t="n">
        <v>14</v>
      </c>
      <c r="T131" t="n">
        <v>11</v>
      </c>
      <c r="U131" t="n">
        <v>22</v>
      </c>
      <c r="V131" t="n">
        <v>286</v>
      </c>
      <c r="W131" t="n">
        <v>7630</v>
      </c>
    </row>
    <row r="132">
      <c r="A132" t="inlineStr">
        <is>
          <t>Tresemme Keratin Smooth Shampoo 170Ml</t>
        </is>
      </c>
      <c r="B132" t="inlineStr">
        <is>
          <t>0</t>
        </is>
      </c>
      <c r="C132" t="inlineStr">
        <is>
          <t>11%</t>
        </is>
      </c>
      <c r="D132" t="n">
        <v>33700</v>
      </c>
      <c r="E132" t="n">
        <v>37800</v>
      </c>
      <c r="F132" t="n">
        <v>33700</v>
      </c>
      <c r="G132" t="n">
        <v>37800</v>
      </c>
      <c r="H132" t="n">
        <v>33700</v>
      </c>
      <c r="I132" t="n">
        <v>37800</v>
      </c>
      <c r="J132" t="b">
        <v>1</v>
      </c>
      <c r="K132" t="inlineStr">
        <is>
          <t>Unilever Indonesia Official Shop</t>
        </is>
      </c>
      <c r="L132" t="inlineStr">
        <is>
          <t>KOTA BEKASI</t>
        </is>
      </c>
      <c r="M132" t="n">
        <v>4460804456</v>
      </c>
      <c r="N132" t="n">
        <v>14318452</v>
      </c>
      <c r="O132">
        <f>HYPERLINK("https://shopee.co.id/api/v4/item/get?itemid=4460804456&amp;shopid=14318452", "Tresemme Keratin Smooth Shampoo 170Ml")</f>
        <v/>
      </c>
      <c r="P132" t="n">
        <v>353</v>
      </c>
      <c r="Q132" t="n">
        <v>1966</v>
      </c>
      <c r="R132" t="n">
        <v>4.851827242524917</v>
      </c>
      <c r="S132" t="n">
        <v>34</v>
      </c>
      <c r="T132" t="n">
        <v>49</v>
      </c>
      <c r="U132" t="n">
        <v>152</v>
      </c>
      <c r="V132" t="n">
        <v>541</v>
      </c>
      <c r="W132" t="n">
        <v>6753</v>
      </c>
    </row>
    <row r="133">
      <c r="A133" t="inlineStr">
        <is>
          <t>Zwitsal Kids Bubble Bath Blue Clean &amp; Fresh 280 ml</t>
        </is>
      </c>
      <c r="B133" t="inlineStr">
        <is>
          <t>0</t>
        </is>
      </c>
      <c r="C133" t="inlineStr">
        <is>
          <t>22%</t>
        </is>
      </c>
      <c r="D133" t="n">
        <v>21500</v>
      </c>
      <c r="E133" t="n">
        <v>27400</v>
      </c>
      <c r="F133" t="n">
        <v>21500</v>
      </c>
      <c r="G133" t="n">
        <v>27400</v>
      </c>
      <c r="H133" t="n">
        <v>21500</v>
      </c>
      <c r="I133" t="n">
        <v>27400</v>
      </c>
      <c r="J133" t="b">
        <v>1</v>
      </c>
      <c r="K133" t="inlineStr">
        <is>
          <t>Unilever Indonesia Official Shop</t>
        </is>
      </c>
      <c r="L133" t="inlineStr">
        <is>
          <t>KOTA BEKASI</t>
        </is>
      </c>
      <c r="M133" t="n">
        <v>2889007328</v>
      </c>
      <c r="N133" t="n">
        <v>14318452</v>
      </c>
      <c r="O133">
        <f>HYPERLINK("https://shopee.co.id/api/v4/item/get?itemid=2889007328&amp;shopid=14318452", "Zwitsal Kids Bubble Bath Blue Clean &amp; Fresh 280 ml")</f>
        <v/>
      </c>
      <c r="P133" t="n">
        <v>432</v>
      </c>
      <c r="Q133" t="n">
        <v>308</v>
      </c>
      <c r="R133" t="n">
        <v>4.918822691668645</v>
      </c>
      <c r="S133" t="n">
        <v>21</v>
      </c>
      <c r="T133" t="n">
        <v>19</v>
      </c>
      <c r="U133" t="n">
        <v>67</v>
      </c>
      <c r="V133" t="n">
        <v>419</v>
      </c>
      <c r="W133" t="n">
        <v>7903</v>
      </c>
    </row>
    <row r="134">
      <c r="A134" t="inlineStr">
        <is>
          <t>Pepsodent Nanosoft Sensitive Sikat Gigi Isi 3</t>
        </is>
      </c>
      <c r="B134" t="inlineStr">
        <is>
          <t>Pepsodent</t>
        </is>
      </c>
      <c r="C134" t="inlineStr">
        <is>
          <t>22%</t>
        </is>
      </c>
      <c r="D134" t="n">
        <v>24200</v>
      </c>
      <c r="E134" t="n">
        <v>30900</v>
      </c>
      <c r="F134" t="n">
        <v>24200</v>
      </c>
      <c r="G134" t="n">
        <v>30900</v>
      </c>
      <c r="H134" t="n">
        <v>24200</v>
      </c>
      <c r="I134" t="n">
        <v>30900</v>
      </c>
      <c r="J134" t="b">
        <v>1</v>
      </c>
      <c r="K134" t="inlineStr">
        <is>
          <t>Unilever Indonesia Official Shop</t>
        </is>
      </c>
      <c r="L134" t="inlineStr">
        <is>
          <t>KOTA BEKASI</t>
        </is>
      </c>
      <c r="M134" t="n">
        <v>127345895</v>
      </c>
      <c r="N134" t="n">
        <v>14318452</v>
      </c>
      <c r="O134">
        <f>HYPERLINK("https://shopee.co.id/api/v4/item/get?itemid=127345895&amp;shopid=14318452", "Pepsodent Nanosoft Sensitive Sikat Gigi Isi 3")</f>
        <v/>
      </c>
      <c r="P134" t="n">
        <v>3173</v>
      </c>
      <c r="Q134" t="n">
        <v>467</v>
      </c>
      <c r="R134" t="n">
        <v>4.927126032923417</v>
      </c>
      <c r="S134" t="n">
        <v>146</v>
      </c>
      <c r="T134" t="n">
        <v>83</v>
      </c>
      <c r="U134" t="n">
        <v>393</v>
      </c>
      <c r="V134" t="n">
        <v>2906</v>
      </c>
      <c r="W134" t="n">
        <v>57960</v>
      </c>
    </row>
    <row r="135">
      <c r="A135" t="inlineStr">
        <is>
          <t>Ponds Age Miracle Facial Wash Anti Aging+Glowing with Retinol &amp; Niacinamide 100G</t>
        </is>
      </c>
      <c r="B135" t="inlineStr">
        <is>
          <t>Pond's</t>
        </is>
      </c>
      <c r="C135" t="inlineStr">
        <is>
          <t>16%</t>
        </is>
      </c>
      <c r="D135" t="n">
        <v>54500</v>
      </c>
      <c r="E135" t="n">
        <v>64500</v>
      </c>
      <c r="F135" t="n">
        <v>54500</v>
      </c>
      <c r="G135" t="n">
        <v>64500</v>
      </c>
      <c r="H135" t="n">
        <v>54500</v>
      </c>
      <c r="I135" t="n">
        <v>64500</v>
      </c>
      <c r="J135" t="b">
        <v>1</v>
      </c>
      <c r="K135" t="inlineStr">
        <is>
          <t>Unilever Indonesia Official Shop</t>
        </is>
      </c>
      <c r="L135" t="inlineStr">
        <is>
          <t>KOTA BEKASI</t>
        </is>
      </c>
      <c r="M135" t="n">
        <v>7061175334</v>
      </c>
      <c r="N135" t="n">
        <v>14318452</v>
      </c>
      <c r="O135">
        <f>HYPERLINK("https://shopee.co.id/api/v4/item/get?itemid=7061175334&amp;shopid=14318452", "Ponds Age Miracle Facial Wash Anti Aging+Glowing with Retinol &amp; Niacinamide 100G")</f>
        <v/>
      </c>
      <c r="P135" t="n">
        <v>2529</v>
      </c>
      <c r="Q135" t="n">
        <v>4091</v>
      </c>
      <c r="R135" t="n">
        <v>4.91835809048645</v>
      </c>
      <c r="S135" t="n">
        <v>41</v>
      </c>
      <c r="T135" t="n">
        <v>17</v>
      </c>
      <c r="U135" t="n">
        <v>118</v>
      </c>
      <c r="V135" t="n">
        <v>1006</v>
      </c>
      <c r="W135" t="n">
        <v>16461</v>
      </c>
    </row>
    <row r="136">
      <c r="A136" t="inlineStr">
        <is>
          <t>Close Up Pasta Gigi Green Menthol Fresh 160 G - Tooth Paste, Penyegar Mulut, Menthol</t>
        </is>
      </c>
      <c r="B136" t="inlineStr">
        <is>
          <t>Close Up</t>
        </is>
      </c>
      <c r="C136" t="inlineStr">
        <is>
          <t>20%</t>
        </is>
      </c>
      <c r="D136" t="n">
        <v>17200</v>
      </c>
      <c r="E136" t="n">
        <v>21400</v>
      </c>
      <c r="F136" t="n">
        <v>17200</v>
      </c>
      <c r="G136" t="n">
        <v>21400</v>
      </c>
      <c r="H136" t="n">
        <v>17200</v>
      </c>
      <c r="I136" t="n">
        <v>21400</v>
      </c>
      <c r="J136" t="b">
        <v>1</v>
      </c>
      <c r="K136" t="inlineStr">
        <is>
          <t>Unilever Indonesia Official Shop</t>
        </is>
      </c>
      <c r="L136" t="inlineStr">
        <is>
          <t>KOTA BEKASI</t>
        </is>
      </c>
      <c r="M136" t="n">
        <v>127037297</v>
      </c>
      <c r="N136" t="n">
        <v>14318452</v>
      </c>
      <c r="O136">
        <f>HYPERLINK("https://shopee.co.id/api/v4/item/get?itemid=127037297&amp;shopid=14318452", "Close Up Pasta Gigi Green Menthol Fresh 160 G - Tooth Paste, Penyegar Mulut, Menthol")</f>
        <v/>
      </c>
      <c r="P136" t="n">
        <v>2609</v>
      </c>
      <c r="Q136" t="n">
        <v>5099</v>
      </c>
      <c r="R136" t="n">
        <v>4.934558089533901</v>
      </c>
      <c r="S136" t="n">
        <v>94</v>
      </c>
      <c r="T136" t="n">
        <v>59</v>
      </c>
      <c r="U136" t="n">
        <v>254</v>
      </c>
      <c r="V136" t="n">
        <v>2372</v>
      </c>
      <c r="W136" t="n">
        <v>49324</v>
      </c>
    </row>
    <row r="137">
      <c r="A137" t="inlineStr">
        <is>
          <t>Vaseline Lotion Healthy Bright UV Extra Brightening 100ml Twin Pack</t>
        </is>
      </c>
      <c r="B137" t="inlineStr"/>
      <c r="C137" t="inlineStr">
        <is>
          <t>6%</t>
        </is>
      </c>
      <c r="D137" t="n">
        <v>32900</v>
      </c>
      <c r="E137" t="n">
        <v>35100</v>
      </c>
      <c r="F137" t="n">
        <v>32900</v>
      </c>
      <c r="G137" t="n">
        <v>35100</v>
      </c>
      <c r="H137" t="n">
        <v>32900</v>
      </c>
      <c r="I137" t="n">
        <v>35100</v>
      </c>
      <c r="J137" t="b">
        <v>1</v>
      </c>
      <c r="K137" t="inlineStr">
        <is>
          <t>Unilever Indonesia Official Shop</t>
        </is>
      </c>
      <c r="L137" t="inlineStr">
        <is>
          <t>KOTA BEKASI</t>
        </is>
      </c>
      <c r="M137" t="n">
        <v>4532139587</v>
      </c>
      <c r="N137" t="n">
        <v>14318452</v>
      </c>
      <c r="O137">
        <f>HYPERLINK("https://shopee.co.id/api/v4/item/get?itemid=4532139587&amp;shopid=14318452", "Vaseline Lotion Healthy Bright UV Extra Brightening 100ml Twin Pack")</f>
        <v/>
      </c>
      <c r="P137" t="n">
        <v>189</v>
      </c>
      <c r="Q137" t="n">
        <v>1464</v>
      </c>
      <c r="R137" t="n">
        <v>4.890487087283426</v>
      </c>
      <c r="S137" t="n">
        <v>15</v>
      </c>
      <c r="T137" t="n">
        <v>6</v>
      </c>
      <c r="U137" t="n">
        <v>34</v>
      </c>
      <c r="V137" t="n">
        <v>189</v>
      </c>
      <c r="W137" t="n">
        <v>2815</v>
      </c>
    </row>
    <row r="138">
      <c r="A138" t="inlineStr">
        <is>
          <t>Vaseline Healthy Bright UV Brightening Lotion 400ml Multi Pack</t>
        </is>
      </c>
      <c r="B138" t="inlineStr">
        <is>
          <t>Vaseline</t>
        </is>
      </c>
      <c r="C138" t="inlineStr">
        <is>
          <t>16%</t>
        </is>
      </c>
      <c r="D138" t="n">
        <v>147400</v>
      </c>
      <c r="E138" t="n">
        <v>175100</v>
      </c>
      <c r="F138" t="n">
        <v>147400</v>
      </c>
      <c r="G138" t="n">
        <v>175100</v>
      </c>
      <c r="H138" t="n">
        <v>147400</v>
      </c>
      <c r="I138" t="n">
        <v>175100</v>
      </c>
      <c r="J138" t="b">
        <v>1</v>
      </c>
      <c r="K138" t="inlineStr">
        <is>
          <t>Unilever Indonesia Official Shop</t>
        </is>
      </c>
      <c r="L138" t="inlineStr">
        <is>
          <t>KOTA BEKASI</t>
        </is>
      </c>
      <c r="M138" t="n">
        <v>6331756847</v>
      </c>
      <c r="N138" t="n">
        <v>14318452</v>
      </c>
      <c r="O138">
        <f>HYPERLINK("https://shopee.co.id/api/v4/item/get?itemid=6331756847&amp;shopid=14318452", "Vaseline Healthy Bright UV Brightening Lotion 400ml Multi Pack")</f>
        <v/>
      </c>
      <c r="P138" t="n">
        <v>575</v>
      </c>
      <c r="Q138" t="n">
        <v>3706</v>
      </c>
      <c r="R138" t="n">
        <v>4.881308196344407</v>
      </c>
      <c r="S138" t="n">
        <v>85</v>
      </c>
      <c r="T138" t="n">
        <v>66</v>
      </c>
      <c r="U138" t="n">
        <v>259</v>
      </c>
      <c r="V138" t="n">
        <v>1054</v>
      </c>
      <c r="W138" t="n">
        <v>15993</v>
      </c>
    </row>
    <row r="139">
      <c r="A139" t="inlineStr">
        <is>
          <t>Citra Fresh Glow Multifunction Gel Aloe Bright UV 180 ml Twin Pack</t>
        </is>
      </c>
      <c r="B139" t="inlineStr">
        <is>
          <t>0</t>
        </is>
      </c>
      <c r="C139" t="inlineStr">
        <is>
          <t>1%</t>
        </is>
      </c>
      <c r="D139" t="n">
        <v>51800</v>
      </c>
      <c r="E139" t="n">
        <v>52300</v>
      </c>
      <c r="F139" t="n">
        <v>51800</v>
      </c>
      <c r="G139" t="n">
        <v>52300</v>
      </c>
      <c r="H139" t="n">
        <v>51800</v>
      </c>
      <c r="I139" t="n">
        <v>52300</v>
      </c>
      <c r="J139" t="b">
        <v>1</v>
      </c>
      <c r="K139" t="inlineStr">
        <is>
          <t>Unilever Indonesia Official Shop</t>
        </is>
      </c>
      <c r="L139" t="inlineStr">
        <is>
          <t>KOTA BEKASI</t>
        </is>
      </c>
      <c r="M139" t="n">
        <v>4931022324</v>
      </c>
      <c r="N139" t="n">
        <v>14318452</v>
      </c>
      <c r="O139">
        <f>HYPERLINK("https://shopee.co.id/api/v4/item/get?itemid=4931022324&amp;shopid=14318452", "Citra Fresh Glow Multifunction Gel Aloe Bright UV 180 ml Twin Pack")</f>
        <v/>
      </c>
      <c r="P139" t="n">
        <v>353</v>
      </c>
      <c r="Q139" t="n">
        <v>2980</v>
      </c>
      <c r="R139" t="n">
        <v>4.929789765965887</v>
      </c>
      <c r="S139" t="n">
        <v>16</v>
      </c>
      <c r="T139" t="n">
        <v>11</v>
      </c>
      <c r="U139" t="n">
        <v>56</v>
      </c>
      <c r="V139" t="n">
        <v>516</v>
      </c>
      <c r="W139" t="n">
        <v>9504</v>
      </c>
    </row>
    <row r="140">
      <c r="A140" t="inlineStr">
        <is>
          <t>Sariwangi Teh Mawar Celup Isi 25</t>
        </is>
      </c>
      <c r="B140" t="inlineStr">
        <is>
          <t>Sari Wangi</t>
        </is>
      </c>
      <c r="C140" t="inlineStr">
        <is>
          <t>22%</t>
        </is>
      </c>
      <c r="D140" t="n">
        <v>4900</v>
      </c>
      <c r="E140" t="n">
        <v>6300</v>
      </c>
      <c r="F140" t="n">
        <v>4900</v>
      </c>
      <c r="G140" t="n">
        <v>6300</v>
      </c>
      <c r="H140" t="n">
        <v>4900</v>
      </c>
      <c r="I140" t="n">
        <v>6300</v>
      </c>
      <c r="J140" t="b">
        <v>1</v>
      </c>
      <c r="K140" t="inlineStr">
        <is>
          <t>Unilever Indonesia Official Shop</t>
        </is>
      </c>
      <c r="L140" t="inlineStr">
        <is>
          <t>KOTA BEKASI</t>
        </is>
      </c>
      <c r="M140" t="n">
        <v>3643390333</v>
      </c>
      <c r="N140" t="n">
        <v>14318452</v>
      </c>
      <c r="O140">
        <f>HYPERLINK("https://shopee.co.id/api/v4/item/get?itemid=3643390333&amp;shopid=14318452", "Sariwangi Teh Mawar Celup Isi 25")</f>
        <v/>
      </c>
      <c r="P140" t="n">
        <v>537</v>
      </c>
      <c r="Q140" t="n">
        <v>923</v>
      </c>
      <c r="R140" t="n">
        <v>4.923306031273269</v>
      </c>
      <c r="S140" t="n">
        <v>22</v>
      </c>
      <c r="T140" t="n">
        <v>13</v>
      </c>
      <c r="U140" t="n">
        <v>63</v>
      </c>
      <c r="V140" t="n">
        <v>471</v>
      </c>
      <c r="W140" t="n">
        <v>8833</v>
      </c>
    </row>
    <row r="141">
      <c r="A141" t="inlineStr">
        <is>
          <t>Closeup Pasta Gigi Everfresh Icy White 160 gr Close Up Toothpaste</t>
        </is>
      </c>
      <c r="B141" t="inlineStr">
        <is>
          <t>0</t>
        </is>
      </c>
      <c r="C141" t="inlineStr">
        <is>
          <t>19%</t>
        </is>
      </c>
      <c r="D141" t="n">
        <v>21400</v>
      </c>
      <c r="E141" t="n">
        <v>26500</v>
      </c>
      <c r="F141" t="n">
        <v>21400</v>
      </c>
      <c r="G141" t="n">
        <v>26500</v>
      </c>
      <c r="H141" t="n">
        <v>21400</v>
      </c>
      <c r="I141" t="n">
        <v>26500</v>
      </c>
      <c r="J141" t="b">
        <v>1</v>
      </c>
      <c r="K141" t="inlineStr">
        <is>
          <t>Unilever Indonesia Official Shop</t>
        </is>
      </c>
      <c r="L141" t="inlineStr">
        <is>
          <t>KOTA BEKASI</t>
        </is>
      </c>
      <c r="M141" t="n">
        <v>127037302</v>
      </c>
      <c r="N141" t="n">
        <v>14318452</v>
      </c>
      <c r="O141">
        <f>HYPERLINK("https://shopee.co.id/api/v4/item/get?itemid=127037302&amp;shopid=14318452", "Closeup Pasta Gigi Everfresh Icy White 160 gr Close Up Toothpaste")</f>
        <v/>
      </c>
      <c r="P141" t="n">
        <v>396</v>
      </c>
      <c r="Q141" t="n">
        <v>1041</v>
      </c>
      <c r="R141" t="n">
        <v>4.932972555083108</v>
      </c>
      <c r="S141" t="n">
        <v>17</v>
      </c>
      <c r="T141" t="n">
        <v>17</v>
      </c>
      <c r="U141" t="n">
        <v>84</v>
      </c>
      <c r="V141" t="n">
        <v>583</v>
      </c>
      <c r="W141" t="n">
        <v>12235</v>
      </c>
    </row>
    <row r="142">
      <c r="A142" t="inlineStr">
        <is>
          <t>Lifebuoy Sabun Cair Sabun Mandi Antiseptik Total 10 Dengan Activ Silver+ Formula 500Ml</t>
        </is>
      </c>
      <c r="B142" t="inlineStr">
        <is>
          <t>Lifebuoy</t>
        </is>
      </c>
      <c r="C142" t="inlineStr">
        <is>
          <t>20%</t>
        </is>
      </c>
      <c r="D142" t="n">
        <v>54700</v>
      </c>
      <c r="E142" t="n">
        <v>68400</v>
      </c>
      <c r="F142" t="n">
        <v>54700</v>
      </c>
      <c r="G142" t="n">
        <v>68400</v>
      </c>
      <c r="H142" t="n">
        <v>54700</v>
      </c>
      <c r="I142" t="n">
        <v>68400</v>
      </c>
      <c r="J142" t="b">
        <v>1</v>
      </c>
      <c r="K142" t="inlineStr">
        <is>
          <t>Unilever Indonesia Official Shop</t>
        </is>
      </c>
      <c r="L142" t="inlineStr">
        <is>
          <t>KOTA BEKASI</t>
        </is>
      </c>
      <c r="M142" t="n">
        <v>150405539</v>
      </c>
      <c r="N142" t="n">
        <v>14318452</v>
      </c>
      <c r="O142">
        <f>HYPERLINK("https://shopee.co.id/api/v4/item/get?itemid=150405539&amp;shopid=14318452", "Lifebuoy Sabun Cair Sabun Mandi Antiseptik Total 10 Dengan Activ Silver+ Formula 500Ml")</f>
        <v/>
      </c>
      <c r="P142" t="n">
        <v>275</v>
      </c>
      <c r="Q142" t="n">
        <v>252</v>
      </c>
      <c r="R142" t="n">
        <v>4.895451698763113</v>
      </c>
      <c r="S142" t="n">
        <v>108</v>
      </c>
      <c r="T142" t="n">
        <v>94</v>
      </c>
      <c r="U142" t="n">
        <v>305</v>
      </c>
      <c r="V142" t="n">
        <v>1382</v>
      </c>
      <c r="W142" t="n">
        <v>23676</v>
      </c>
    </row>
    <row r="143">
      <c r="A143" t="inlineStr">
        <is>
          <t>Citra Multifunction Gel Fresh Tomato Bright Uv 180Ml</t>
        </is>
      </c>
      <c r="B143" t="inlineStr">
        <is>
          <t>Citra</t>
        </is>
      </c>
      <c r="C143" t="inlineStr">
        <is>
          <t>1%</t>
        </is>
      </c>
      <c r="D143" t="n">
        <v>29700</v>
      </c>
      <c r="E143" t="n">
        <v>29900</v>
      </c>
      <c r="F143" t="n">
        <v>29700</v>
      </c>
      <c r="G143" t="n">
        <v>29900</v>
      </c>
      <c r="H143" t="n">
        <v>29700</v>
      </c>
      <c r="I143" t="n">
        <v>29900</v>
      </c>
      <c r="J143" t="b">
        <v>1</v>
      </c>
      <c r="K143" t="inlineStr">
        <is>
          <t>Unilever Indonesia Official Shop</t>
        </is>
      </c>
      <c r="L143" t="inlineStr">
        <is>
          <t>KOTA BEKASI</t>
        </is>
      </c>
      <c r="M143" t="n">
        <v>4760779496</v>
      </c>
      <c r="N143" t="n">
        <v>14318452</v>
      </c>
      <c r="O143">
        <f>HYPERLINK("https://shopee.co.id/api/v4/item/get?itemid=4760779496&amp;shopid=14318452", "Citra Multifunction Gel Fresh Tomato Bright Uv 180Ml")</f>
        <v/>
      </c>
      <c r="P143" t="n">
        <v>792</v>
      </c>
      <c r="Q143" t="n">
        <v>2055</v>
      </c>
      <c r="R143" t="n">
        <v>4.902442613301942</v>
      </c>
      <c r="S143" t="n">
        <v>22</v>
      </c>
      <c r="T143" t="n">
        <v>20</v>
      </c>
      <c r="U143" t="n">
        <v>137</v>
      </c>
      <c r="V143" t="n">
        <v>910</v>
      </c>
      <c r="W143" t="n">
        <v>12505</v>
      </c>
    </row>
    <row r="144">
      <c r="A144" t="inlineStr">
        <is>
          <t>BANGO KECAP MANIS 735ML</t>
        </is>
      </c>
      <c r="B144" t="inlineStr"/>
      <c r="C144" t="inlineStr">
        <is>
          <t>16%</t>
        </is>
      </c>
      <c r="D144" t="n">
        <v>26500</v>
      </c>
      <c r="E144" t="n">
        <v>31600</v>
      </c>
      <c r="F144" t="n">
        <v>26500</v>
      </c>
      <c r="G144" t="n">
        <v>31600</v>
      </c>
      <c r="H144" t="n">
        <v>26500</v>
      </c>
      <c r="I144" t="n">
        <v>31600</v>
      </c>
      <c r="J144" t="b">
        <v>1</v>
      </c>
      <c r="K144" t="inlineStr">
        <is>
          <t>Unilever Indonesia Official Shop</t>
        </is>
      </c>
      <c r="L144" t="inlineStr">
        <is>
          <t>KOTA BEKASI</t>
        </is>
      </c>
      <c r="M144" t="n">
        <v>11624035073</v>
      </c>
      <c r="N144" t="n">
        <v>14318452</v>
      </c>
      <c r="O144">
        <f>HYPERLINK("https://shopee.co.id/api/v4/item/get?itemid=11624035073&amp;shopid=14318452", "BANGO KECAP MANIS 735ML")</f>
        <v/>
      </c>
      <c r="P144" t="n">
        <v>8325</v>
      </c>
      <c r="Q144" t="n">
        <v>21078</v>
      </c>
      <c r="R144" t="n">
        <v>4.925667151868026</v>
      </c>
      <c r="S144" t="n">
        <v>50</v>
      </c>
      <c r="T144" t="n">
        <v>15</v>
      </c>
      <c r="U144" t="n">
        <v>53</v>
      </c>
      <c r="V144" t="n">
        <v>424</v>
      </c>
      <c r="W144" t="n">
        <v>9778</v>
      </c>
    </row>
    <row r="145">
      <c r="A145" t="inlineStr">
        <is>
          <t>Vaseline Lotion Intensive Care Cocoa Radiant 200ml</t>
        </is>
      </c>
      <c r="B145" t="inlineStr">
        <is>
          <t>Vaseline</t>
        </is>
      </c>
      <c r="C145" t="inlineStr">
        <is>
          <t>10%</t>
        </is>
      </c>
      <c r="D145" t="n">
        <v>43800</v>
      </c>
      <c r="E145" t="n">
        <v>48800</v>
      </c>
      <c r="F145" t="n">
        <v>43800</v>
      </c>
      <c r="G145" t="n">
        <v>48800</v>
      </c>
      <c r="H145" t="n">
        <v>43800</v>
      </c>
      <c r="I145" t="n">
        <v>48800</v>
      </c>
      <c r="J145" t="b">
        <v>1</v>
      </c>
      <c r="K145" t="inlineStr">
        <is>
          <t>Unilever Indonesia Official Shop</t>
        </is>
      </c>
      <c r="L145" t="inlineStr">
        <is>
          <t>KOTA BEKASI</t>
        </is>
      </c>
      <c r="M145" t="n">
        <v>7937194825</v>
      </c>
      <c r="N145" t="n">
        <v>14318452</v>
      </c>
      <c r="O145">
        <f>HYPERLINK("https://shopee.co.id/api/v4/item/get?itemid=7937194825&amp;shopid=14318452", "Vaseline Lotion Intensive Care Cocoa Radiant 200ml")</f>
        <v/>
      </c>
      <c r="P145" t="n">
        <v>275</v>
      </c>
      <c r="Q145" t="n">
        <v>270</v>
      </c>
      <c r="R145" t="n">
        <v>4.929286977018267</v>
      </c>
      <c r="S145" t="n">
        <v>5</v>
      </c>
      <c r="T145" t="n">
        <v>2</v>
      </c>
      <c r="U145" t="n">
        <v>23</v>
      </c>
      <c r="V145" t="n">
        <v>168</v>
      </c>
      <c r="W145" t="n">
        <v>3196</v>
      </c>
    </row>
    <row r="146">
      <c r="A146" t="inlineStr">
        <is>
          <t>Zwitsal Baby Wipes Tissue Basah Rich Mositure 2 X 40 Sheets (Baby Shark Edition)</t>
        </is>
      </c>
      <c r="B146" t="inlineStr"/>
      <c r="C146" t="inlineStr">
        <is>
          <t>17%</t>
        </is>
      </c>
      <c r="D146" t="n">
        <v>16700</v>
      </c>
      <c r="E146" t="n">
        <v>20000</v>
      </c>
      <c r="F146" t="n">
        <v>16700</v>
      </c>
      <c r="G146" t="n">
        <v>20000</v>
      </c>
      <c r="H146" t="n">
        <v>16700</v>
      </c>
      <c r="I146" t="n">
        <v>20000</v>
      </c>
      <c r="J146" t="b">
        <v>1</v>
      </c>
      <c r="K146" t="inlineStr">
        <is>
          <t>Unilever Indonesia Official Shop</t>
        </is>
      </c>
      <c r="L146" t="inlineStr">
        <is>
          <t>KOTA BEKASI</t>
        </is>
      </c>
      <c r="M146" t="n">
        <v>9535272544</v>
      </c>
      <c r="N146" t="n">
        <v>14318452</v>
      </c>
      <c r="O146">
        <f>HYPERLINK("https://shopee.co.id/api/v4/item/get?itemid=9535272544&amp;shopid=14318452", "Zwitsal Baby Wipes Tissue Basah Rich Mositure 2 X 40 Sheets (Baby Shark Edition)")</f>
        <v/>
      </c>
      <c r="P146" t="n">
        <v>1768</v>
      </c>
      <c r="Q146" t="n">
        <v>3491</v>
      </c>
      <c r="R146" t="n">
        <v>4.925909173149991</v>
      </c>
      <c r="S146" t="n">
        <v>28</v>
      </c>
      <c r="T146" t="n">
        <v>14</v>
      </c>
      <c r="U146" t="n">
        <v>69</v>
      </c>
      <c r="V146" t="n">
        <v>531</v>
      </c>
      <c r="W146" t="n">
        <v>10413</v>
      </c>
    </row>
    <row r="147">
      <c r="A147" t="inlineStr">
        <is>
          <t>Vaseline Superfood Skin Serum Cranberry 200 ml</t>
        </is>
      </c>
      <c r="B147" t="inlineStr">
        <is>
          <t>0</t>
        </is>
      </c>
      <c r="C147" t="inlineStr">
        <is>
          <t>11%</t>
        </is>
      </c>
      <c r="D147" t="n">
        <v>32800</v>
      </c>
      <c r="E147" t="n">
        <v>37000</v>
      </c>
      <c r="F147" t="n">
        <v>32800</v>
      </c>
      <c r="G147" t="n">
        <v>37000</v>
      </c>
      <c r="H147" t="n">
        <v>32800</v>
      </c>
      <c r="I147" t="n">
        <v>37000</v>
      </c>
      <c r="J147" t="b">
        <v>1</v>
      </c>
      <c r="K147" t="inlineStr">
        <is>
          <t>Unilever Indonesia Official Shop</t>
        </is>
      </c>
      <c r="L147" t="inlineStr">
        <is>
          <t>KOTA BEKASI</t>
        </is>
      </c>
      <c r="M147" t="n">
        <v>4960793142</v>
      </c>
      <c r="N147" t="n">
        <v>14318452</v>
      </c>
      <c r="O147">
        <f>HYPERLINK("https://shopee.co.id/api/v4/item/get?itemid=4960793142&amp;shopid=14318452", "Vaseline Superfood Skin Serum Cranberry 200 ml")</f>
        <v/>
      </c>
      <c r="P147" t="n">
        <v>465</v>
      </c>
      <c r="Q147" t="n">
        <v>1190</v>
      </c>
      <c r="R147" t="n">
        <v>4.933291692692068</v>
      </c>
      <c r="S147" t="n">
        <v>13</v>
      </c>
      <c r="T147" t="n">
        <v>11</v>
      </c>
      <c r="U147" t="n">
        <v>29</v>
      </c>
      <c r="V147" t="n">
        <v>395</v>
      </c>
      <c r="W147" t="n">
        <v>7558</v>
      </c>
    </row>
    <row r="148">
      <c r="A148" t="inlineStr">
        <is>
          <t>Zwitsal Baby Skin Protector Lotion Citronella &amp; Chamomile Tube 100 ml</t>
        </is>
      </c>
      <c r="B148" t="inlineStr">
        <is>
          <t>0</t>
        </is>
      </c>
      <c r="C148" t="inlineStr">
        <is>
          <t>19%</t>
        </is>
      </c>
      <c r="D148" t="n">
        <v>24500</v>
      </c>
      <c r="E148" t="n">
        <v>30100</v>
      </c>
      <c r="F148" t="n">
        <v>24500</v>
      </c>
      <c r="G148" t="n">
        <v>30100</v>
      </c>
      <c r="H148" t="n">
        <v>24500</v>
      </c>
      <c r="I148" t="n">
        <v>30100</v>
      </c>
      <c r="J148" t="b">
        <v>1</v>
      </c>
      <c r="K148" t="inlineStr">
        <is>
          <t>Unilever Indonesia Official Shop</t>
        </is>
      </c>
      <c r="L148" t="inlineStr">
        <is>
          <t>KOTA SEMARANG</t>
        </is>
      </c>
      <c r="M148" t="n">
        <v>976680660</v>
      </c>
      <c r="N148" t="n">
        <v>14318452</v>
      </c>
      <c r="O148">
        <f>HYPERLINK("https://shopee.co.id/api/v4/item/get?itemid=976680660&amp;shopid=14318452", "Zwitsal Baby Skin Protector Lotion Citronella &amp; Chamomile Tube 100 ml")</f>
        <v/>
      </c>
      <c r="P148" t="n">
        <v>1799</v>
      </c>
      <c r="Q148" t="n">
        <v>437</v>
      </c>
      <c r="R148" t="n">
        <v>4.919087607807535</v>
      </c>
      <c r="S148" t="n">
        <v>40</v>
      </c>
      <c r="T148" t="n">
        <v>28</v>
      </c>
      <c r="U148" t="n">
        <v>121</v>
      </c>
      <c r="V148" t="n">
        <v>944</v>
      </c>
      <c r="W148" t="n">
        <v>16492</v>
      </c>
    </row>
    <row r="149">
      <c r="A149" t="inlineStr">
        <is>
          <t>Zwitsal Baby Gift Natural Basic Pack Baby Gift Set Box Hampers Bayi 1Pc</t>
        </is>
      </c>
      <c r="B149" t="inlineStr">
        <is>
          <t>0</t>
        </is>
      </c>
      <c r="C149" t="inlineStr">
        <is>
          <t>1%</t>
        </is>
      </c>
      <c r="D149" t="n">
        <v>47400</v>
      </c>
      <c r="E149" t="n">
        <v>47800</v>
      </c>
      <c r="F149" t="n">
        <v>47400</v>
      </c>
      <c r="G149" t="n">
        <v>47800</v>
      </c>
      <c r="H149" t="n">
        <v>47400</v>
      </c>
      <c r="I149" t="n">
        <v>47800</v>
      </c>
      <c r="J149" t="b">
        <v>1</v>
      </c>
      <c r="K149" t="inlineStr">
        <is>
          <t>Unilever Indonesia Official Shop</t>
        </is>
      </c>
      <c r="L149" t="inlineStr">
        <is>
          <t>KOTA BEKASI</t>
        </is>
      </c>
      <c r="M149" t="n">
        <v>2198001629</v>
      </c>
      <c r="N149" t="n">
        <v>14318452</v>
      </c>
      <c r="O149">
        <f>HYPERLINK("https://shopee.co.id/api/v4/item/get?itemid=2198001629&amp;shopid=14318452", "Zwitsal Baby Gift Natural Basic Pack Baby Gift Set Box Hampers Bayi 1Pc")</f>
        <v/>
      </c>
      <c r="P149" t="n">
        <v>504</v>
      </c>
      <c r="Q149" t="n">
        <v>680</v>
      </c>
      <c r="R149" t="n">
        <v>4.896918663829</v>
      </c>
      <c r="S149" t="n">
        <v>86</v>
      </c>
      <c r="T149" t="n">
        <v>81</v>
      </c>
      <c r="U149" t="n">
        <v>484</v>
      </c>
      <c r="V149" t="n">
        <v>2938</v>
      </c>
      <c r="W149" t="n">
        <v>39673</v>
      </c>
    </row>
    <row r="150">
      <c r="A150" t="inlineStr">
        <is>
          <t>Vaseline Lotion Intensive Care Cocoa Radiant 400ml</t>
        </is>
      </c>
      <c r="B150" t="inlineStr">
        <is>
          <t>0</t>
        </is>
      </c>
      <c r="C150" t="inlineStr">
        <is>
          <t>13%</t>
        </is>
      </c>
      <c r="D150" t="n">
        <v>72800</v>
      </c>
      <c r="E150" t="n">
        <v>83700</v>
      </c>
      <c r="F150" t="n">
        <v>72800</v>
      </c>
      <c r="G150" t="n">
        <v>83700</v>
      </c>
      <c r="H150" t="n">
        <v>72800</v>
      </c>
      <c r="I150" t="n">
        <v>83700</v>
      </c>
      <c r="J150" t="b">
        <v>1</v>
      </c>
      <c r="K150" t="inlineStr">
        <is>
          <t>Unilever Indonesia Official Shop</t>
        </is>
      </c>
      <c r="L150" t="inlineStr">
        <is>
          <t>KOTA BEKASI</t>
        </is>
      </c>
      <c r="M150" t="n">
        <v>1008956421</v>
      </c>
      <c r="N150" t="n">
        <v>14318452</v>
      </c>
      <c r="O150">
        <f>HYPERLINK("https://shopee.co.id/api/v4/item/get?itemid=1008956421&amp;shopid=14318452", "Vaseline Lotion Intensive Care Cocoa Radiant 400ml")</f>
        <v/>
      </c>
      <c r="P150" t="n">
        <v>1158</v>
      </c>
      <c r="Q150" t="n">
        <v>1028</v>
      </c>
      <c r="R150" t="n">
        <v>4.894830659536542</v>
      </c>
      <c r="S150" t="n">
        <v>73</v>
      </c>
      <c r="T150" t="n">
        <v>60</v>
      </c>
      <c r="U150" t="n">
        <v>182</v>
      </c>
      <c r="V150" t="n">
        <v>1012</v>
      </c>
      <c r="W150" t="n">
        <v>16071</v>
      </c>
    </row>
    <row r="151">
      <c r="A151" t="inlineStr">
        <is>
          <t>Glow &amp; Lovely Bright C Glow Facial Foam 50g</t>
        </is>
      </c>
      <c r="B151" t="inlineStr"/>
      <c r="C151" t="inlineStr">
        <is>
          <t>14%</t>
        </is>
      </c>
      <c r="D151" t="n">
        <v>16200</v>
      </c>
      <c r="E151" t="n">
        <v>18800</v>
      </c>
      <c r="F151" t="n">
        <v>16200</v>
      </c>
      <c r="G151" t="n">
        <v>18800</v>
      </c>
      <c r="H151" t="n">
        <v>16200</v>
      </c>
      <c r="I151" t="n">
        <v>18800</v>
      </c>
      <c r="J151" t="b">
        <v>1</v>
      </c>
      <c r="K151" t="inlineStr">
        <is>
          <t>Unilever Indonesia Official Shop</t>
        </is>
      </c>
      <c r="L151" t="inlineStr">
        <is>
          <t>KOTA BEKASI</t>
        </is>
      </c>
      <c r="M151" t="n">
        <v>3176209732</v>
      </c>
      <c r="N151" t="n">
        <v>14318452</v>
      </c>
      <c r="O151">
        <f>HYPERLINK("https://shopee.co.id/api/v4/item/get?itemid=3176209732&amp;shopid=14318452", "Glow &amp; Lovely Bright C Glow Facial Foam 50g")</f>
        <v/>
      </c>
      <c r="P151" t="n">
        <v>452</v>
      </c>
      <c r="Q151" t="n">
        <v>631</v>
      </c>
      <c r="R151" t="n">
        <v>4.886142519063897</v>
      </c>
      <c r="S151" t="n">
        <v>9</v>
      </c>
      <c r="T151" t="n">
        <v>12</v>
      </c>
      <c r="U151" t="n">
        <v>39</v>
      </c>
      <c r="V151" t="n">
        <v>287</v>
      </c>
      <c r="W151" t="n">
        <v>3457</v>
      </c>
    </row>
    <row r="152">
      <c r="A152" t="inlineStr">
        <is>
          <t>Vaseline Lotion Healthy Bright Fresh &amp; Bright Cooling 200ml</t>
        </is>
      </c>
      <c r="B152" t="inlineStr">
        <is>
          <t>0</t>
        </is>
      </c>
      <c r="C152" t="inlineStr">
        <is>
          <t>12%</t>
        </is>
      </c>
      <c r="D152" t="n">
        <v>29800</v>
      </c>
      <c r="E152" t="n">
        <v>33900</v>
      </c>
      <c r="F152" t="n">
        <v>29800</v>
      </c>
      <c r="G152" t="n">
        <v>33900</v>
      </c>
      <c r="H152" t="n">
        <v>29800</v>
      </c>
      <c r="I152" t="n">
        <v>33900</v>
      </c>
      <c r="J152" t="b">
        <v>1</v>
      </c>
      <c r="K152" t="inlineStr">
        <is>
          <t>Unilever Indonesia Official Shop</t>
        </is>
      </c>
      <c r="L152" t="inlineStr">
        <is>
          <t>KOTA BEKASI</t>
        </is>
      </c>
      <c r="M152" t="n">
        <v>1883050643</v>
      </c>
      <c r="N152" t="n">
        <v>14318452</v>
      </c>
      <c r="O152">
        <f>HYPERLINK("https://shopee.co.id/api/v4/item/get?itemid=1883050643&amp;shopid=14318452", "Vaseline Lotion Healthy Bright Fresh &amp; Bright Cooling 200ml")</f>
        <v/>
      </c>
      <c r="P152" t="n">
        <v>353</v>
      </c>
      <c r="Q152" t="n">
        <v>933</v>
      </c>
      <c r="R152" t="n">
        <v>4.918221362977284</v>
      </c>
      <c r="S152" t="n">
        <v>22</v>
      </c>
      <c r="T152" t="n">
        <v>13</v>
      </c>
      <c r="U152" t="n">
        <v>89</v>
      </c>
      <c r="V152" t="n">
        <v>548</v>
      </c>
      <c r="W152" t="n">
        <v>9675</v>
      </c>
    </row>
    <row r="153">
      <c r="A153" t="inlineStr">
        <is>
          <t>Glow &amp; Lovely Powder Cream 20g</t>
        </is>
      </c>
      <c r="B153" t="inlineStr">
        <is>
          <t>Fair &amp; Lovely</t>
        </is>
      </c>
      <c r="C153" t="inlineStr">
        <is>
          <t>14%</t>
        </is>
      </c>
      <c r="D153" t="n">
        <v>24400</v>
      </c>
      <c r="E153" t="n">
        <v>28400</v>
      </c>
      <c r="F153" t="n">
        <v>24400</v>
      </c>
      <c r="G153" t="n">
        <v>28400</v>
      </c>
      <c r="H153" t="n">
        <v>24400</v>
      </c>
      <c r="I153" t="n">
        <v>28400</v>
      </c>
      <c r="J153" t="b">
        <v>1</v>
      </c>
      <c r="K153" t="inlineStr">
        <is>
          <t>Unilever Indonesia Official Shop</t>
        </is>
      </c>
      <c r="L153" t="inlineStr">
        <is>
          <t>KOTA BEKASI</t>
        </is>
      </c>
      <c r="M153" t="n">
        <v>2497133926</v>
      </c>
      <c r="N153" t="n">
        <v>14318452</v>
      </c>
      <c r="O153">
        <f>HYPERLINK("https://shopee.co.id/api/v4/item/get?itemid=2497133926&amp;shopid=14318452", "Glow &amp; Lovely Powder Cream 20g")</f>
        <v/>
      </c>
      <c r="P153" t="n">
        <v>533</v>
      </c>
      <c r="Q153" t="n">
        <v>509</v>
      </c>
      <c r="R153" t="n">
        <v>4.88423058599333</v>
      </c>
      <c r="S153" t="n">
        <v>30</v>
      </c>
      <c r="T153" t="n">
        <v>12</v>
      </c>
      <c r="U153" t="n">
        <v>109</v>
      </c>
      <c r="V153" t="n">
        <v>598</v>
      </c>
      <c r="W153" t="n">
        <v>7647</v>
      </c>
    </row>
    <row r="154">
      <c r="A154" t="inlineStr">
        <is>
          <t>Pepsodent Complete 8+ Whitening Pasta Gigi Antibakteri Gigi Putih Dalam 2 Minggu 190Gx2</t>
        </is>
      </c>
      <c r="B154" t="inlineStr">
        <is>
          <t>Pepsodent</t>
        </is>
      </c>
      <c r="C154" t="inlineStr">
        <is>
          <t>21%</t>
        </is>
      </c>
      <c r="D154" t="n">
        <v>35900</v>
      </c>
      <c r="E154" t="n">
        <v>45700</v>
      </c>
      <c r="F154" t="n">
        <v>35900</v>
      </c>
      <c r="G154" t="n">
        <v>45700</v>
      </c>
      <c r="H154" t="n">
        <v>35900</v>
      </c>
      <c r="I154" t="n">
        <v>45700</v>
      </c>
      <c r="J154" t="b">
        <v>1</v>
      </c>
      <c r="K154" t="inlineStr">
        <is>
          <t>Unilever Indonesia Official Shop</t>
        </is>
      </c>
      <c r="L154" t="inlineStr">
        <is>
          <t>KOTA BEKASI</t>
        </is>
      </c>
      <c r="M154" t="n">
        <v>3147040925</v>
      </c>
      <c r="N154" t="n">
        <v>14318452</v>
      </c>
      <c r="O154">
        <f>HYPERLINK("https://shopee.co.id/api/v4/item/get?itemid=3147040925&amp;shopid=14318452", "Pepsodent Complete 8+ Whitening Pasta Gigi Antibakteri Gigi Putih Dalam 2 Minggu 190Gx2")</f>
        <v/>
      </c>
      <c r="P154" t="n">
        <v>1473</v>
      </c>
      <c r="Q154" t="n">
        <v>3121</v>
      </c>
      <c r="R154" t="n">
        <v>4.914220729990253</v>
      </c>
      <c r="S154" t="n">
        <v>77</v>
      </c>
      <c r="T154" t="n">
        <v>44</v>
      </c>
      <c r="U154" t="n">
        <v>167</v>
      </c>
      <c r="V154" t="n">
        <v>827</v>
      </c>
      <c r="W154" t="n">
        <v>17356</v>
      </c>
    </row>
    <row r="155">
      <c r="A155" t="inlineStr">
        <is>
          <t>Lifebuoy Body Wash Refill Lemon Fresh Antibakteri 825ml Multi Pack</t>
        </is>
      </c>
      <c r="B155" t="inlineStr">
        <is>
          <t>Lifebuoy</t>
        </is>
      </c>
      <c r="C155" t="inlineStr">
        <is>
          <t>31%</t>
        </is>
      </c>
      <c r="D155" t="n">
        <v>115700</v>
      </c>
      <c r="E155" t="n">
        <v>168300</v>
      </c>
      <c r="F155" t="n">
        <v>115700</v>
      </c>
      <c r="G155" t="n">
        <v>168300</v>
      </c>
      <c r="H155" t="n">
        <v>115700</v>
      </c>
      <c r="I155" t="n">
        <v>168300</v>
      </c>
      <c r="J155" t="b">
        <v>1</v>
      </c>
      <c r="K155" t="inlineStr">
        <is>
          <t>Unilever Indonesia Official Shop</t>
        </is>
      </c>
      <c r="L155" t="inlineStr">
        <is>
          <t>KOTA BEKASI</t>
        </is>
      </c>
      <c r="M155" t="n">
        <v>3531428220</v>
      </c>
      <c r="N155" t="n">
        <v>14318452</v>
      </c>
      <c r="O155">
        <f>HYPERLINK("https://shopee.co.id/api/v4/item/get?itemid=3531428220&amp;shopid=14318452", "Lifebuoy Body Wash Refill Lemon Fresh Antibakteri 825ml Multi Pack")</f>
        <v/>
      </c>
      <c r="P155" t="n">
        <v>1608</v>
      </c>
      <c r="Q155" t="n">
        <v>2012</v>
      </c>
      <c r="R155" t="n">
        <v>4.937542837559972</v>
      </c>
      <c r="S155" t="n">
        <v>43</v>
      </c>
      <c r="T155" t="n">
        <v>13</v>
      </c>
      <c r="U155" t="n">
        <v>72</v>
      </c>
      <c r="V155" t="n">
        <v>397</v>
      </c>
      <c r="W155" t="n">
        <v>11155</v>
      </c>
    </row>
    <row r="156">
      <c r="A156" t="inlineStr">
        <is>
          <t>Pepsodent Pasta Gigi Center Fresh 160 gr Twin Pack</t>
        </is>
      </c>
      <c r="B156" t="inlineStr">
        <is>
          <t>0</t>
        </is>
      </c>
      <c r="C156" t="inlineStr">
        <is>
          <t>21%</t>
        </is>
      </c>
      <c r="D156" t="n">
        <v>36000</v>
      </c>
      <c r="E156" t="n">
        <v>45700</v>
      </c>
      <c r="F156" t="n">
        <v>36000</v>
      </c>
      <c r="G156" t="n">
        <v>45700</v>
      </c>
      <c r="H156" t="n">
        <v>36000</v>
      </c>
      <c r="I156" t="n">
        <v>45700</v>
      </c>
      <c r="J156" t="b">
        <v>1</v>
      </c>
      <c r="K156" t="inlineStr">
        <is>
          <t>Unilever Indonesia Official Shop</t>
        </is>
      </c>
      <c r="L156" t="inlineStr">
        <is>
          <t>KOTA BEKASI</t>
        </is>
      </c>
      <c r="M156" t="n">
        <v>3331469243</v>
      </c>
      <c r="N156" t="n">
        <v>14318452</v>
      </c>
      <c r="O156">
        <f>HYPERLINK("https://shopee.co.id/api/v4/item/get?itemid=3331469243&amp;shopid=14318452", "Pepsodent Pasta Gigi Center Fresh 160 gr Twin Pack")</f>
        <v/>
      </c>
      <c r="P156" t="n">
        <v>1266</v>
      </c>
      <c r="Q156" t="n">
        <v>861</v>
      </c>
      <c r="R156" t="n">
        <v>4.932463622679378</v>
      </c>
      <c r="S156" t="n">
        <v>26</v>
      </c>
      <c r="T156" t="n">
        <v>20</v>
      </c>
      <c r="U156" t="n">
        <v>71</v>
      </c>
      <c r="V156" t="n">
        <v>370</v>
      </c>
      <c r="W156" t="n">
        <v>9479</v>
      </c>
    </row>
    <row r="157">
      <c r="A157" t="inlineStr">
        <is>
          <t>Pond's Bright Beauty Serum Pencerah untuk Semua Jenis Kulit 20gr</t>
        </is>
      </c>
      <c r="B157" t="inlineStr">
        <is>
          <t>0</t>
        </is>
      </c>
      <c r="C157" t="inlineStr">
        <is>
          <t>12%</t>
        </is>
      </c>
      <c r="D157" t="n">
        <v>32700</v>
      </c>
      <c r="E157" t="n">
        <v>37300</v>
      </c>
      <c r="F157" t="n">
        <v>32700</v>
      </c>
      <c r="G157" t="n">
        <v>37300</v>
      </c>
      <c r="H157" t="n">
        <v>32700</v>
      </c>
      <c r="I157" t="n">
        <v>37300</v>
      </c>
      <c r="J157" t="b">
        <v>1</v>
      </c>
      <c r="K157" t="inlineStr">
        <is>
          <t>Unilever Indonesia Official Shop</t>
        </is>
      </c>
      <c r="L157" t="inlineStr">
        <is>
          <t>KOTA BEKASI</t>
        </is>
      </c>
      <c r="M157" t="n">
        <v>7261177623</v>
      </c>
      <c r="N157" t="n">
        <v>14318452</v>
      </c>
      <c r="O157">
        <f>HYPERLINK("https://shopee.co.id/api/v4/item/get?itemid=7261177623&amp;shopid=14318452", "Pond's Bright Beauty Serum Pencerah untuk Semua Jenis Kulit 20gr")</f>
        <v/>
      </c>
      <c r="P157" t="n">
        <v>263</v>
      </c>
      <c r="Q157" t="n">
        <v>846</v>
      </c>
      <c r="R157" t="n">
        <v>4.916099507157944</v>
      </c>
      <c r="S157" t="n">
        <v>19</v>
      </c>
      <c r="T157" t="n">
        <v>9</v>
      </c>
      <c r="U157" t="n">
        <v>48</v>
      </c>
      <c r="V157" t="n">
        <v>528</v>
      </c>
      <c r="W157" t="n">
        <v>7922</v>
      </c>
    </row>
    <row r="158">
      <c r="A158" t="inlineStr">
        <is>
          <t>Axe Men Deodorant Body Spray Pria Dark Temptation Parfum Pria 135Ml</t>
        </is>
      </c>
      <c r="B158" t="inlineStr"/>
      <c r="C158" t="inlineStr">
        <is>
          <t>27%</t>
        </is>
      </c>
      <c r="D158" t="n">
        <v>28000</v>
      </c>
      <c r="E158" t="n">
        <v>38500</v>
      </c>
      <c r="F158" t="n">
        <v>28000</v>
      </c>
      <c r="G158" t="n">
        <v>38500</v>
      </c>
      <c r="H158" t="n">
        <v>28000</v>
      </c>
      <c r="I158" t="n">
        <v>38500</v>
      </c>
      <c r="J158" t="b">
        <v>0</v>
      </c>
      <c r="K158" t="inlineStr">
        <is>
          <t>Unilever Indonesia Official Shop</t>
        </is>
      </c>
      <c r="L158" t="inlineStr">
        <is>
          <t>KOTA BEKASI</t>
        </is>
      </c>
      <c r="M158" t="n">
        <v>10052157992</v>
      </c>
      <c r="N158" t="n">
        <v>14318452</v>
      </c>
      <c r="O158">
        <f>HYPERLINK("https://shopee.co.id/api/v4/item/get?itemid=10052157992&amp;shopid=14318452", "Axe Men Deodorant Body Spray Pria Dark Temptation Parfum Pria 135Ml")</f>
        <v/>
      </c>
      <c r="P158" t="n">
        <v>2593</v>
      </c>
      <c r="Q158" t="n">
        <v>2209</v>
      </c>
      <c r="R158" t="n">
        <v>4.900657354149548</v>
      </c>
      <c r="S158" t="n">
        <v>42</v>
      </c>
      <c r="T158" t="n">
        <v>19</v>
      </c>
      <c r="U158" t="n">
        <v>110</v>
      </c>
      <c r="V158" t="n">
        <v>774</v>
      </c>
      <c r="W158" t="n">
        <v>11229</v>
      </c>
    </row>
    <row r="159">
      <c r="A159" t="inlineStr">
        <is>
          <t>Ponds Micellar Water DToxx Charcoal 100ml 99% Makeup Remover dgn Niacinamide &amp; Vitamin C</t>
        </is>
      </c>
      <c r="B159" t="inlineStr">
        <is>
          <t>0</t>
        </is>
      </c>
      <c r="C159" t="inlineStr">
        <is>
          <t>20%</t>
        </is>
      </c>
      <c r="D159" t="n">
        <v>22900</v>
      </c>
      <c r="E159" t="n">
        <v>28500</v>
      </c>
      <c r="F159" t="n">
        <v>22900</v>
      </c>
      <c r="G159" t="n">
        <v>28500</v>
      </c>
      <c r="H159" t="n">
        <v>22900</v>
      </c>
      <c r="I159" t="n">
        <v>28500</v>
      </c>
      <c r="J159" t="b">
        <v>1</v>
      </c>
      <c r="K159" t="inlineStr">
        <is>
          <t>Unilever Indonesia Official Shop</t>
        </is>
      </c>
      <c r="L159" t="inlineStr">
        <is>
          <t>KOTA BEKASI</t>
        </is>
      </c>
      <c r="M159" t="n">
        <v>2662431049</v>
      </c>
      <c r="N159" t="n">
        <v>14318452</v>
      </c>
      <c r="O159">
        <f>HYPERLINK("https://shopee.co.id/api/v4/item/get?itemid=2662431049&amp;shopid=14318452", "Ponds Micellar Water DToxx Charcoal 100ml 99% Makeup Remover dgn Niacinamide &amp; Vitamin C")</f>
        <v/>
      </c>
      <c r="P159" t="n">
        <v>339</v>
      </c>
      <c r="Q159" t="n">
        <v>717</v>
      </c>
      <c r="R159" t="n">
        <v>4.910353246356909</v>
      </c>
      <c r="S159" t="n">
        <v>25</v>
      </c>
      <c r="T159" t="n">
        <v>21</v>
      </c>
      <c r="U159" t="n">
        <v>119</v>
      </c>
      <c r="V159" t="n">
        <v>780</v>
      </c>
      <c r="W159" t="n">
        <v>12164</v>
      </c>
    </row>
    <row r="160">
      <c r="A160" t="inlineStr">
        <is>
          <t>Dove Deodorant Roll On Invisible Dry 40ml Anti Bakteri</t>
        </is>
      </c>
      <c r="B160" t="inlineStr">
        <is>
          <t>0</t>
        </is>
      </c>
      <c r="C160" t="inlineStr">
        <is>
          <t>22%</t>
        </is>
      </c>
      <c r="D160" t="n">
        <v>17300</v>
      </c>
      <c r="E160" t="n">
        <v>22100</v>
      </c>
      <c r="F160" t="n">
        <v>17300</v>
      </c>
      <c r="G160" t="n">
        <v>22100</v>
      </c>
      <c r="H160" t="n">
        <v>17300</v>
      </c>
      <c r="I160" t="n">
        <v>22100</v>
      </c>
      <c r="J160" t="b">
        <v>1</v>
      </c>
      <c r="K160" t="inlineStr">
        <is>
          <t>Unilever Indonesia Official Shop</t>
        </is>
      </c>
      <c r="L160" t="inlineStr">
        <is>
          <t>KOTA BEKASI</t>
        </is>
      </c>
      <c r="M160" t="n">
        <v>2523769537</v>
      </c>
      <c r="N160" t="n">
        <v>14318452</v>
      </c>
      <c r="O160">
        <f>HYPERLINK("https://shopee.co.id/api/v4/item/get?itemid=2523769537&amp;shopid=14318452", "Dove Deodorant Roll On Invisible Dry 40ml Anti Bakteri")</f>
        <v/>
      </c>
      <c r="P160" t="n">
        <v>980</v>
      </c>
      <c r="Q160" t="n">
        <v>197</v>
      </c>
      <c r="R160" t="n">
        <v>4.919878296146044</v>
      </c>
      <c r="S160" t="n">
        <v>16</v>
      </c>
      <c r="T160" t="n">
        <v>6</v>
      </c>
      <c r="U160" t="n">
        <v>55</v>
      </c>
      <c r="V160" t="n">
        <v>440</v>
      </c>
      <c r="W160" t="n">
        <v>7371</v>
      </c>
    </row>
    <row r="161">
      <c r="A161" t="inlineStr">
        <is>
          <t>Ponds Magic Face Powder Bedak Tabur Wajah Bb Talcum 50 gr</t>
        </is>
      </c>
      <c r="B161" t="inlineStr">
        <is>
          <t>Pond's</t>
        </is>
      </c>
      <c r="C161" t="inlineStr">
        <is>
          <t>12%</t>
        </is>
      </c>
      <c r="D161" t="n">
        <v>27500</v>
      </c>
      <c r="E161" t="n">
        <v>31200</v>
      </c>
      <c r="F161" t="n">
        <v>27500</v>
      </c>
      <c r="G161" t="n">
        <v>31200</v>
      </c>
      <c r="H161" t="n">
        <v>27500</v>
      </c>
      <c r="I161" t="n">
        <v>31200</v>
      </c>
      <c r="J161" t="b">
        <v>1</v>
      </c>
      <c r="K161" t="inlineStr">
        <is>
          <t>Unilever Indonesia Official Shop</t>
        </is>
      </c>
      <c r="L161" t="inlineStr">
        <is>
          <t>KOTA BEKASI</t>
        </is>
      </c>
      <c r="M161" t="n">
        <v>3169683874</v>
      </c>
      <c r="N161" t="n">
        <v>14318452</v>
      </c>
      <c r="O161">
        <f>HYPERLINK("https://shopee.co.id/api/v4/item/get?itemid=3169683874&amp;shopid=14318452", "Ponds Magic Face Powder Bedak Tabur Wajah Bb Talcum 50 gr")</f>
        <v/>
      </c>
      <c r="P161" t="n">
        <v>1823</v>
      </c>
      <c r="Q161" t="n">
        <v>1253</v>
      </c>
      <c r="R161" t="n">
        <v>4.914781937475878</v>
      </c>
      <c r="S161" t="n">
        <v>22</v>
      </c>
      <c r="T161" t="n">
        <v>15</v>
      </c>
      <c r="U161" t="n">
        <v>72</v>
      </c>
      <c r="V161" t="n">
        <v>830</v>
      </c>
      <c r="W161" t="n">
        <v>12017</v>
      </c>
    </row>
    <row r="162">
      <c r="A162" t="inlineStr">
        <is>
          <t>Citra Sakura Glow UV Facial Moisturizer 40 G</t>
        </is>
      </c>
      <c r="B162" t="inlineStr">
        <is>
          <t>Citra</t>
        </is>
      </c>
      <c r="C162" t="inlineStr">
        <is>
          <t>2%</t>
        </is>
      </c>
      <c r="D162" t="n">
        <v>47400</v>
      </c>
      <c r="E162" t="n">
        <v>48400</v>
      </c>
      <c r="F162" t="n">
        <v>47400</v>
      </c>
      <c r="G162" t="n">
        <v>48400</v>
      </c>
      <c r="H162" t="n">
        <v>47400</v>
      </c>
      <c r="I162" t="n">
        <v>48400</v>
      </c>
      <c r="J162" t="b">
        <v>1</v>
      </c>
      <c r="K162" t="inlineStr">
        <is>
          <t>Unilever Indonesia Official Shop</t>
        </is>
      </c>
      <c r="L162" t="inlineStr">
        <is>
          <t>KOTA BEKASI</t>
        </is>
      </c>
      <c r="M162" t="n">
        <v>1025950282</v>
      </c>
      <c r="N162" t="n">
        <v>14318452</v>
      </c>
      <c r="O162">
        <f>HYPERLINK("https://shopee.co.id/api/v4/item/get?itemid=1025950282&amp;shopid=14318452", "Citra Sakura Glow UV Facial Moisturizer 40 G")</f>
        <v/>
      </c>
      <c r="P162" t="n">
        <v>1145</v>
      </c>
      <c r="Q162" t="n">
        <v>1568</v>
      </c>
      <c r="R162" t="n">
        <v>4.880834526488035</v>
      </c>
      <c r="S162" t="n">
        <v>71</v>
      </c>
      <c r="T162" t="n">
        <v>59</v>
      </c>
      <c r="U162" t="n">
        <v>326</v>
      </c>
      <c r="V162" t="n">
        <v>1817</v>
      </c>
      <c r="W162" t="n">
        <v>22179</v>
      </c>
    </row>
    <row r="163">
      <c r="A163" t="inlineStr">
        <is>
          <t>Lifebuoy Body Wash Refill Lemon Fresh Antibakteri 825ml</t>
        </is>
      </c>
      <c r="B163" t="inlineStr">
        <is>
          <t>Lifebuoy</t>
        </is>
      </c>
      <c r="C163" t="inlineStr">
        <is>
          <t>13%</t>
        </is>
      </c>
      <c r="D163" t="n">
        <v>42900</v>
      </c>
      <c r="E163" t="n">
        <v>49500</v>
      </c>
      <c r="F163" t="n">
        <v>42900</v>
      </c>
      <c r="G163" t="n">
        <v>49500</v>
      </c>
      <c r="H163" t="n">
        <v>42900</v>
      </c>
      <c r="I163" t="n">
        <v>49500</v>
      </c>
      <c r="J163" t="b">
        <v>1</v>
      </c>
      <c r="K163" t="inlineStr">
        <is>
          <t>Unilever Indonesia Official Shop</t>
        </is>
      </c>
      <c r="L163" t="inlineStr">
        <is>
          <t>KOTA BEKASI</t>
        </is>
      </c>
      <c r="M163" t="n">
        <v>986465088</v>
      </c>
      <c r="N163" t="n">
        <v>14318452</v>
      </c>
      <c r="O163">
        <f>HYPERLINK("https://shopee.co.id/api/v4/item/get?itemid=986465088&amp;shopid=14318452", "Lifebuoy Body Wash Refill Lemon Fresh Antibakteri 825ml")</f>
        <v/>
      </c>
      <c r="P163" t="n">
        <v>1474</v>
      </c>
      <c r="Q163" t="n">
        <v>6043</v>
      </c>
      <c r="R163" t="n">
        <v>4.943561092502614</v>
      </c>
      <c r="S163" t="n">
        <v>110</v>
      </c>
      <c r="T163" t="n">
        <v>78</v>
      </c>
      <c r="U163" t="n">
        <v>328</v>
      </c>
      <c r="V163" t="n">
        <v>2990</v>
      </c>
      <c r="W163" t="n">
        <v>72051</v>
      </c>
    </row>
    <row r="164">
      <c r="A164" t="inlineStr">
        <is>
          <t>Vaseline Lotion Healthy Bright SPF24 PA++ 200ml</t>
        </is>
      </c>
      <c r="B164" t="inlineStr">
        <is>
          <t>Vaseline</t>
        </is>
      </c>
      <c r="C164" t="inlineStr">
        <is>
          <t>9%</t>
        </is>
      </c>
      <c r="D164" t="n">
        <v>44300</v>
      </c>
      <c r="E164" t="n">
        <v>48800</v>
      </c>
      <c r="F164" t="n">
        <v>44300</v>
      </c>
      <c r="G164" t="n">
        <v>48800</v>
      </c>
      <c r="H164" t="n">
        <v>44300</v>
      </c>
      <c r="I164" t="n">
        <v>48800</v>
      </c>
      <c r="J164" t="b">
        <v>1</v>
      </c>
      <c r="K164" t="inlineStr">
        <is>
          <t>Unilever Indonesia Official Shop</t>
        </is>
      </c>
      <c r="L164" t="inlineStr">
        <is>
          <t>KOTA SEMARANG</t>
        </is>
      </c>
      <c r="M164" t="n">
        <v>127345868</v>
      </c>
      <c r="N164" t="n">
        <v>14318452</v>
      </c>
      <c r="O164">
        <f>HYPERLINK("https://shopee.co.id/api/v4/item/get?itemid=127345868&amp;shopid=14318452", "Vaseline Lotion Healthy Bright SPF24 PA++ 200ml")</f>
        <v/>
      </c>
      <c r="P164" t="n">
        <v>407</v>
      </c>
      <c r="Q164" t="n">
        <v>222</v>
      </c>
      <c r="R164" t="n">
        <v>4.916059723233794</v>
      </c>
      <c r="S164" t="n">
        <v>33</v>
      </c>
      <c r="T164" t="n">
        <v>15</v>
      </c>
      <c r="U164" t="n">
        <v>75</v>
      </c>
      <c r="V164" t="n">
        <v>608</v>
      </c>
      <c r="W164" t="n">
        <v>10257</v>
      </c>
    </row>
    <row r="165">
      <c r="A165" t="inlineStr">
        <is>
          <t>1 Rexona Dry Serum Fresh Sakura Free Vaseline Lotion Healthy Bright</t>
        </is>
      </c>
      <c r="B165" t="inlineStr"/>
      <c r="C165" t="inlineStr">
        <is>
          <t>12%</t>
        </is>
      </c>
      <c r="D165" t="n">
        <v>32300</v>
      </c>
      <c r="E165" t="n">
        <v>36700</v>
      </c>
      <c r="F165" t="n">
        <v>32300</v>
      </c>
      <c r="G165" t="n">
        <v>36700</v>
      </c>
      <c r="H165" t="n">
        <v>32300</v>
      </c>
      <c r="I165" t="n">
        <v>36700</v>
      </c>
      <c r="J165" t="b">
        <v>0</v>
      </c>
      <c r="K165" t="inlineStr">
        <is>
          <t>Unilever Indonesia Official Shop</t>
        </is>
      </c>
      <c r="L165" t="inlineStr">
        <is>
          <t>KOTA BEKASI</t>
        </is>
      </c>
      <c r="M165" t="n">
        <v>10265455445</v>
      </c>
      <c r="N165" t="n">
        <v>14318452</v>
      </c>
      <c r="O165">
        <f>HYPERLINK("https://shopee.co.id/api/v4/item/get?itemid=10265455445&amp;shopid=14318452", "1 Rexona Dry Serum Fresh Sakura Free Vaseline Lotion Healthy Bright")</f>
        <v/>
      </c>
      <c r="P165" t="n">
        <v>145</v>
      </c>
      <c r="Q165" t="n">
        <v>2858</v>
      </c>
      <c r="R165" t="n">
        <v>4.906633906633907</v>
      </c>
      <c r="S165" t="n">
        <v>15</v>
      </c>
      <c r="T165" t="n">
        <v>12</v>
      </c>
      <c r="U165" t="n">
        <v>90</v>
      </c>
      <c r="V165" t="n">
        <v>639</v>
      </c>
      <c r="W165" t="n">
        <v>9025</v>
      </c>
    </row>
    <row r="166">
      <c r="A166" t="inlineStr">
        <is>
          <t>Zwitsal Baby Bath Natural Rich Honey 300 ml</t>
        </is>
      </c>
      <c r="B166" t="inlineStr">
        <is>
          <t>Zwitsal</t>
        </is>
      </c>
      <c r="C166" t="inlineStr">
        <is>
          <t>18%</t>
        </is>
      </c>
      <c r="D166" t="n">
        <v>30000</v>
      </c>
      <c r="E166" t="n">
        <v>36500</v>
      </c>
      <c r="F166" t="n">
        <v>30000</v>
      </c>
      <c r="G166" t="n">
        <v>36500</v>
      </c>
      <c r="H166" t="n">
        <v>30000</v>
      </c>
      <c r="I166" t="n">
        <v>36500</v>
      </c>
      <c r="J166" t="b">
        <v>1</v>
      </c>
      <c r="K166" t="inlineStr">
        <is>
          <t>Unilever Indonesia Official Shop</t>
        </is>
      </c>
      <c r="L166" t="inlineStr">
        <is>
          <t>KOTA BEKASI</t>
        </is>
      </c>
      <c r="M166" t="n">
        <v>976680609</v>
      </c>
      <c r="N166" t="n">
        <v>14318452</v>
      </c>
      <c r="O166">
        <f>HYPERLINK("https://shopee.co.id/api/v4/item/get?itemid=976680609&amp;shopid=14318452", "Zwitsal Baby Bath Natural Rich Honey 300 ml")</f>
        <v/>
      </c>
      <c r="P166" t="n">
        <v>1088</v>
      </c>
      <c r="Q166" t="n">
        <v>503</v>
      </c>
      <c r="R166" t="n">
        <v>4.917331959824877</v>
      </c>
      <c r="S166" t="n">
        <v>50</v>
      </c>
      <c r="T166" t="n">
        <v>37</v>
      </c>
      <c r="U166" t="n">
        <v>156</v>
      </c>
      <c r="V166" t="n">
        <v>993</v>
      </c>
      <c r="W166" t="n">
        <v>18182</v>
      </c>
    </row>
    <row r="167">
      <c r="A167" t="inlineStr">
        <is>
          <t>Pond'S Age Miracle Day Cream 20 gr</t>
        </is>
      </c>
      <c r="B167" t="inlineStr">
        <is>
          <t>Pond's</t>
        </is>
      </c>
      <c r="C167" t="inlineStr">
        <is>
          <t>16%</t>
        </is>
      </c>
      <c r="D167" t="n">
        <v>59300</v>
      </c>
      <c r="E167" t="n">
        <v>70600</v>
      </c>
      <c r="F167" t="n">
        <v>59300</v>
      </c>
      <c r="G167" t="n">
        <v>70600</v>
      </c>
      <c r="H167" t="n">
        <v>59300</v>
      </c>
      <c r="I167" t="n">
        <v>70600</v>
      </c>
      <c r="J167" t="b">
        <v>1</v>
      </c>
      <c r="K167" t="inlineStr">
        <is>
          <t>Unilever Indonesia Official Shop</t>
        </is>
      </c>
      <c r="L167" t="inlineStr">
        <is>
          <t>KOTA BEKASI</t>
        </is>
      </c>
      <c r="M167" t="n">
        <v>3261060241</v>
      </c>
      <c r="N167" t="n">
        <v>14318452</v>
      </c>
      <c r="O167">
        <f>HYPERLINK("https://shopee.co.id/api/v4/item/get?itemid=3261060241&amp;shopid=14318452", "Pond'S Age Miracle Day Cream 20 gr")</f>
        <v/>
      </c>
      <c r="P167" t="n">
        <v>399</v>
      </c>
      <c r="Q167" t="n">
        <v>825</v>
      </c>
      <c r="R167" t="n">
        <v>4.920547945205479</v>
      </c>
      <c r="S167" t="n">
        <v>17</v>
      </c>
      <c r="T167" t="n">
        <v>6</v>
      </c>
      <c r="U167" t="n">
        <v>61</v>
      </c>
      <c r="V167" t="n">
        <v>521</v>
      </c>
      <c r="W167" t="n">
        <v>8521</v>
      </c>
    </row>
    <row r="168">
      <c r="A168" t="inlineStr">
        <is>
          <t>Zwitsal Kids 2 In 1 Hair &amp; Body Wash Natural And Nourishing Care 250 ml</t>
        </is>
      </c>
      <c r="B168" t="inlineStr"/>
      <c r="C168" t="inlineStr">
        <is>
          <t>20%</t>
        </is>
      </c>
      <c r="D168" t="n">
        <v>17600</v>
      </c>
      <c r="E168" t="n">
        <v>22100</v>
      </c>
      <c r="F168" t="n">
        <v>17600</v>
      </c>
      <c r="G168" t="n">
        <v>22100</v>
      </c>
      <c r="H168" t="n">
        <v>17600</v>
      </c>
      <c r="I168" t="n">
        <v>22100</v>
      </c>
      <c r="J168" t="b">
        <v>1</v>
      </c>
      <c r="K168" t="inlineStr">
        <is>
          <t>Unilever Indonesia Official Shop</t>
        </is>
      </c>
      <c r="L168" t="inlineStr">
        <is>
          <t>KOTA BEKASI</t>
        </is>
      </c>
      <c r="M168" t="n">
        <v>4918311155</v>
      </c>
      <c r="N168" t="n">
        <v>14318452</v>
      </c>
      <c r="O168">
        <f>HYPERLINK("https://shopee.co.id/api/v4/item/get?itemid=4918311155&amp;shopid=14318452", "Zwitsal Kids 2 In 1 Hair &amp; Body Wash Natural And Nourishing Care 250 ml")</f>
        <v/>
      </c>
      <c r="P168" t="n">
        <v>1054</v>
      </c>
      <c r="Q168" t="n">
        <v>1071</v>
      </c>
      <c r="R168" t="n">
        <v>4.942017226313818</v>
      </c>
      <c r="S168" t="n">
        <v>18</v>
      </c>
      <c r="T168" t="n">
        <v>13</v>
      </c>
      <c r="U168" t="n">
        <v>62</v>
      </c>
      <c r="V168" t="n">
        <v>694</v>
      </c>
      <c r="W168" t="n">
        <v>15235</v>
      </c>
    </row>
    <row r="169">
      <c r="A169" t="inlineStr">
        <is>
          <t>Zwitsal Baby Fabric Detergent 750 ml x 2 Pcs</t>
        </is>
      </c>
      <c r="B169" t="inlineStr">
        <is>
          <t>Zwitsal</t>
        </is>
      </c>
      <c r="C169" t="inlineStr">
        <is>
          <t>13%</t>
        </is>
      </c>
      <c r="D169" t="n">
        <v>48400</v>
      </c>
      <c r="E169" t="n">
        <v>55500</v>
      </c>
      <c r="F169" t="n">
        <v>48400</v>
      </c>
      <c r="G169" t="n">
        <v>55500</v>
      </c>
      <c r="H169" t="n">
        <v>48400</v>
      </c>
      <c r="I169" t="n">
        <v>55500</v>
      </c>
      <c r="J169" t="b">
        <v>1</v>
      </c>
      <c r="K169" t="inlineStr">
        <is>
          <t>Unilever Indonesia Official Shop</t>
        </is>
      </c>
      <c r="L169" t="inlineStr">
        <is>
          <t>KAB. DELI SERDANG</t>
        </is>
      </c>
      <c r="M169" t="n">
        <v>4941018295</v>
      </c>
      <c r="N169" t="n">
        <v>14318452</v>
      </c>
      <c r="O169">
        <f>HYPERLINK("https://shopee.co.id/api/v4/item/get?itemid=4941018295&amp;shopid=14318452", "Zwitsal Baby Fabric Detergent 750 ml x 2 Pcs")</f>
        <v/>
      </c>
      <c r="P169" t="n">
        <v>616</v>
      </c>
      <c r="Q169" t="n">
        <v>271</v>
      </c>
      <c r="R169" t="n">
        <v>4.939648997134671</v>
      </c>
      <c r="S169" t="n">
        <v>35</v>
      </c>
      <c r="T169" t="n">
        <v>25</v>
      </c>
      <c r="U169" t="n">
        <v>76</v>
      </c>
      <c r="V169" t="n">
        <v>674</v>
      </c>
      <c r="W169" t="n">
        <v>15950</v>
      </c>
    </row>
    <row r="170">
      <c r="A170" t="inlineStr">
        <is>
          <t>Dove 3 In 1 Super Shampoo Hair Serum 125Ml - Anti Lepek Anti Ketombe Anti Hair Fall</t>
        </is>
      </c>
      <c r="B170" t="inlineStr">
        <is>
          <t>Dove</t>
        </is>
      </c>
      <c r="C170" t="inlineStr">
        <is>
          <t>14%</t>
        </is>
      </c>
      <c r="D170" t="n">
        <v>19800</v>
      </c>
      <c r="E170" t="n">
        <v>22900</v>
      </c>
      <c r="F170" t="n">
        <v>19800</v>
      </c>
      <c r="G170" t="n">
        <v>22900</v>
      </c>
      <c r="H170" t="n">
        <v>19800</v>
      </c>
      <c r="I170" t="n">
        <v>22900</v>
      </c>
      <c r="J170" t="b">
        <v>1</v>
      </c>
      <c r="K170" t="inlineStr">
        <is>
          <t>Unilever Indonesia Official Shop</t>
        </is>
      </c>
      <c r="L170" t="inlineStr">
        <is>
          <t>KOTA BEKASI</t>
        </is>
      </c>
      <c r="M170" t="n">
        <v>6042975073</v>
      </c>
      <c r="N170" t="n">
        <v>14318452</v>
      </c>
      <c r="O170">
        <f>HYPERLINK("https://shopee.co.id/api/v4/item/get?itemid=6042975073&amp;shopid=14318452", "Dove 3 In 1 Super Shampoo Hair Serum 125Ml - Anti Lepek Anti Ketombe Anti Hair Fall")</f>
        <v/>
      </c>
      <c r="P170" t="n">
        <v>2878</v>
      </c>
      <c r="Q170" t="n">
        <v>8270</v>
      </c>
      <c r="R170" t="n">
        <v>4.898197570975477</v>
      </c>
      <c r="S170" t="n">
        <v>130</v>
      </c>
      <c r="T170" t="n">
        <v>76</v>
      </c>
      <c r="U170" t="n">
        <v>412</v>
      </c>
      <c r="V170" t="n">
        <v>2410</v>
      </c>
      <c r="W170" t="n">
        <v>35793</v>
      </c>
    </row>
    <row r="171">
      <c r="A171" t="inlineStr">
        <is>
          <t>Tresemme Shampoo Keratin Smooth Rambut Lembut 48 Jam* With Hydrolyzed Keratin 170Ml</t>
        </is>
      </c>
      <c r="B171" t="inlineStr">
        <is>
          <t>0</t>
        </is>
      </c>
      <c r="C171" t="inlineStr">
        <is>
          <t>9%</t>
        </is>
      </c>
      <c r="D171" t="n">
        <v>34400</v>
      </c>
      <c r="E171" t="n">
        <v>37800</v>
      </c>
      <c r="F171" t="n">
        <v>34400</v>
      </c>
      <c r="G171" t="n">
        <v>37800</v>
      </c>
      <c r="H171" t="n">
        <v>34400</v>
      </c>
      <c r="I171" t="n">
        <v>37800</v>
      </c>
      <c r="J171" t="b">
        <v>1</v>
      </c>
      <c r="K171" t="inlineStr">
        <is>
          <t>Unilever Indonesia Official Shop</t>
        </is>
      </c>
      <c r="L171" t="inlineStr">
        <is>
          <t>KOTA BEKASI</t>
        </is>
      </c>
      <c r="M171" t="n">
        <v>1515340708</v>
      </c>
      <c r="N171" t="n">
        <v>14318452</v>
      </c>
      <c r="O171">
        <f>HYPERLINK("https://shopee.co.id/api/v4/item/get?itemid=1515340708&amp;shopid=14318452", "Tresemme Shampoo Keratin Smooth Rambut Lembut 48 Jam* With Hydrolyzed Keratin 170Ml")</f>
        <v/>
      </c>
      <c r="P171" t="n">
        <v>1979</v>
      </c>
      <c r="Q171" t="n">
        <v>1966</v>
      </c>
      <c r="R171" t="n">
        <v>4.864859173466701</v>
      </c>
      <c r="S171" t="n">
        <v>191</v>
      </c>
      <c r="T171" t="n">
        <v>168</v>
      </c>
      <c r="U171" t="n">
        <v>620</v>
      </c>
      <c r="V171" t="n">
        <v>2693</v>
      </c>
      <c r="W171" t="n">
        <v>34338</v>
      </c>
    </row>
    <row r="172">
      <c r="A172" t="inlineStr">
        <is>
          <t>Sarimurni Teh Kantong Bundar Isi 20 36G</t>
        </is>
      </c>
      <c r="B172" t="inlineStr">
        <is>
          <t>Sarimurni</t>
        </is>
      </c>
      <c r="C172" t="inlineStr">
        <is>
          <t>19%</t>
        </is>
      </c>
      <c r="D172" t="n">
        <v>4200</v>
      </c>
      <c r="E172" t="n">
        <v>5200</v>
      </c>
      <c r="F172" t="n">
        <v>4200</v>
      </c>
      <c r="G172" t="n">
        <v>5200</v>
      </c>
      <c r="H172" t="n">
        <v>4200</v>
      </c>
      <c r="I172" t="n">
        <v>5200</v>
      </c>
      <c r="J172" t="b">
        <v>1</v>
      </c>
      <c r="K172" t="inlineStr">
        <is>
          <t>Unilever Indonesia Official Shop</t>
        </is>
      </c>
      <c r="L172" t="inlineStr">
        <is>
          <t>KOTA BEKASI</t>
        </is>
      </c>
      <c r="M172" t="n">
        <v>3828309651</v>
      </c>
      <c r="N172" t="n">
        <v>14318452</v>
      </c>
      <c r="O172">
        <f>HYPERLINK("https://shopee.co.id/api/v4/item/get?itemid=3828309651&amp;shopid=14318452", "Sarimurni Teh Kantong Bundar Isi 20 36G")</f>
        <v/>
      </c>
      <c r="P172" t="n">
        <v>1387</v>
      </c>
      <c r="Q172" t="n">
        <v>1137</v>
      </c>
      <c r="R172" t="n">
        <v>4.935049418920387</v>
      </c>
      <c r="S172" t="n">
        <v>16</v>
      </c>
      <c r="T172" t="n">
        <v>6</v>
      </c>
      <c r="U172" t="n">
        <v>47</v>
      </c>
      <c r="V172" t="n">
        <v>430</v>
      </c>
      <c r="W172" t="n">
        <v>8710</v>
      </c>
    </row>
    <row r="173">
      <c r="A173" t="inlineStr">
        <is>
          <t>Citra Natural Glow UV Hand &amp; Body Lotion 120 ml</t>
        </is>
      </c>
      <c r="B173" t="inlineStr">
        <is>
          <t>0</t>
        </is>
      </c>
      <c r="C173" t="inlineStr">
        <is>
          <t>1%</t>
        </is>
      </c>
      <c r="D173" t="n">
        <v>14300</v>
      </c>
      <c r="E173" t="n">
        <v>14400</v>
      </c>
      <c r="F173" t="n">
        <v>14300</v>
      </c>
      <c r="G173" t="n">
        <v>14400</v>
      </c>
      <c r="H173" t="n">
        <v>14300</v>
      </c>
      <c r="I173" t="n">
        <v>14400</v>
      </c>
      <c r="J173" t="b">
        <v>1</v>
      </c>
      <c r="K173" t="inlineStr">
        <is>
          <t>Unilever Indonesia Official Shop</t>
        </is>
      </c>
      <c r="L173" t="inlineStr">
        <is>
          <t>KOTA BEKASI</t>
        </is>
      </c>
      <c r="M173" t="n">
        <v>6560809791</v>
      </c>
      <c r="N173" t="n">
        <v>14318452</v>
      </c>
      <c r="O173">
        <f>HYPERLINK("https://shopee.co.id/api/v4/item/get?itemid=6560809791&amp;shopid=14318452", "Citra Natural Glow UV Hand &amp; Body Lotion 120 ml")</f>
        <v/>
      </c>
      <c r="P173" t="n">
        <v>384</v>
      </c>
      <c r="Q173" t="n">
        <v>2698</v>
      </c>
      <c r="R173" t="n">
        <v>4.899719646323054</v>
      </c>
      <c r="S173" t="n">
        <v>7</v>
      </c>
      <c r="T173" t="n">
        <v>12</v>
      </c>
      <c r="U173" t="n">
        <v>51</v>
      </c>
      <c r="V173" t="n">
        <v>299</v>
      </c>
      <c r="W173" t="n">
        <v>4268</v>
      </c>
    </row>
    <row r="174">
      <c r="A174" t="inlineStr">
        <is>
          <t>Ponds Bright Beauty Serum Facial Foam Sabun Muka With Hyaluronic Acid &amp;Niacinamide 100Gx2</t>
        </is>
      </c>
      <c r="B174" t="inlineStr">
        <is>
          <t>Pond's</t>
        </is>
      </c>
      <c r="C174" t="inlineStr">
        <is>
          <t>17%</t>
        </is>
      </c>
      <c r="D174" t="n">
        <v>56100</v>
      </c>
      <c r="E174" t="n">
        <v>67500</v>
      </c>
      <c r="F174" t="n">
        <v>56100</v>
      </c>
      <c r="G174" t="n">
        <v>67500</v>
      </c>
      <c r="H174" t="n">
        <v>56100</v>
      </c>
      <c r="I174" t="n">
        <v>67500</v>
      </c>
      <c r="J174" t="b">
        <v>1</v>
      </c>
      <c r="K174" t="inlineStr">
        <is>
          <t>Unilever Indonesia Official Shop</t>
        </is>
      </c>
      <c r="L174" t="inlineStr">
        <is>
          <t>KOTA BEKASI</t>
        </is>
      </c>
      <c r="M174" t="n">
        <v>5531377479</v>
      </c>
      <c r="N174" t="n">
        <v>14318452</v>
      </c>
      <c r="O174">
        <f>HYPERLINK("https://shopee.co.id/api/v4/item/get?itemid=5531377479&amp;shopid=14318452", "Ponds Bright Beauty Serum Facial Foam Sabun Muka With Hyaluronic Acid &amp;Niacinamide 100Gx2")</f>
        <v/>
      </c>
      <c r="P174" t="n">
        <v>1185</v>
      </c>
      <c r="Q174" t="n">
        <v>2626</v>
      </c>
      <c r="R174" t="n">
        <v>4.932954979857088</v>
      </c>
      <c r="S174" t="n">
        <v>84</v>
      </c>
      <c r="T174" t="n">
        <v>35</v>
      </c>
      <c r="U174" t="n">
        <v>178</v>
      </c>
      <c r="V174" t="n">
        <v>1532</v>
      </c>
      <c r="W174" t="n">
        <v>32197</v>
      </c>
    </row>
    <row r="175">
      <c r="A175" t="inlineStr">
        <is>
          <t>Pepsodent Mouthwash Obat Kumur CPC Active Defense 150ml</t>
        </is>
      </c>
      <c r="B175" t="inlineStr">
        <is>
          <t>Pepsodent</t>
        </is>
      </c>
      <c r="C175" t="inlineStr">
        <is>
          <t>18%</t>
        </is>
      </c>
      <c r="D175" t="n">
        <v>13400</v>
      </c>
      <c r="E175" t="n">
        <v>16300</v>
      </c>
      <c r="F175" t="n">
        <v>13400</v>
      </c>
      <c r="G175" t="n">
        <v>16300</v>
      </c>
      <c r="H175" t="n">
        <v>13400</v>
      </c>
      <c r="I175" t="n">
        <v>16300</v>
      </c>
      <c r="J175" t="b">
        <v>1</v>
      </c>
      <c r="K175" t="inlineStr">
        <is>
          <t>Unilever Indonesia Official Shop</t>
        </is>
      </c>
      <c r="L175" t="inlineStr">
        <is>
          <t>KOTA BEKASI</t>
        </is>
      </c>
      <c r="M175" t="n">
        <v>4167601623</v>
      </c>
      <c r="N175" t="n">
        <v>14318452</v>
      </c>
      <c r="O175">
        <f>HYPERLINK("https://shopee.co.id/api/v4/item/get?itemid=4167601623&amp;shopid=14318452", "Pepsodent Mouthwash Obat Kumur CPC Active Defense 150ml")</f>
        <v/>
      </c>
      <c r="P175" t="n">
        <v>431</v>
      </c>
      <c r="Q175" t="n">
        <v>137</v>
      </c>
      <c r="R175" t="n">
        <v>4.911570247933884</v>
      </c>
      <c r="S175" t="n">
        <v>2</v>
      </c>
      <c r="T175" t="n">
        <v>3</v>
      </c>
      <c r="U175" t="n">
        <v>9</v>
      </c>
      <c r="V175" t="n">
        <v>72</v>
      </c>
      <c r="W175" t="n">
        <v>1124</v>
      </c>
    </row>
    <row r="176">
      <c r="A176" t="inlineStr">
        <is>
          <t>Zwitsal Baby Fabric Detergent 750 ml</t>
        </is>
      </c>
      <c r="B176" t="inlineStr">
        <is>
          <t>Zwitsal</t>
        </is>
      </c>
      <c r="C176" t="inlineStr">
        <is>
          <t>13%</t>
        </is>
      </c>
      <c r="D176" t="n">
        <v>24300</v>
      </c>
      <c r="E176" t="n">
        <v>27800</v>
      </c>
      <c r="F176" t="n">
        <v>24300</v>
      </c>
      <c r="G176" t="n">
        <v>27800</v>
      </c>
      <c r="H176" t="n">
        <v>24300</v>
      </c>
      <c r="I176" t="n">
        <v>27800</v>
      </c>
      <c r="J176" t="b">
        <v>1</v>
      </c>
      <c r="K176" t="inlineStr">
        <is>
          <t>Unilever Indonesia Official Shop</t>
        </is>
      </c>
      <c r="L176" t="inlineStr">
        <is>
          <t>KAB. DELI SERDANG</t>
        </is>
      </c>
      <c r="M176" t="n">
        <v>3557987447</v>
      </c>
      <c r="N176" t="n">
        <v>14318452</v>
      </c>
      <c r="O176">
        <f>HYPERLINK("https://shopee.co.id/api/v4/item/get?itemid=3557987447&amp;shopid=14318452", "Zwitsal Baby Fabric Detergent 750 ml")</f>
        <v/>
      </c>
      <c r="P176" t="n">
        <v>107</v>
      </c>
      <c r="Q176" t="n">
        <v>545</v>
      </c>
      <c r="R176" t="n">
        <v>4.924915950691072</v>
      </c>
      <c r="S176" t="n">
        <v>4</v>
      </c>
      <c r="T176" t="n">
        <v>2</v>
      </c>
      <c r="U176" t="n">
        <v>27</v>
      </c>
      <c r="V176" t="n">
        <v>125</v>
      </c>
      <c r="W176" t="n">
        <v>2519</v>
      </c>
    </row>
    <row r="177">
      <c r="A177" t="inlineStr">
        <is>
          <t>Vaseline Lotion Healthy Bright Perfect 10 200ml</t>
        </is>
      </c>
      <c r="B177" t="inlineStr">
        <is>
          <t>0</t>
        </is>
      </c>
      <c r="C177" t="inlineStr">
        <is>
          <t>10%</t>
        </is>
      </c>
      <c r="D177" t="n">
        <v>43800</v>
      </c>
      <c r="E177" t="n">
        <v>48800</v>
      </c>
      <c r="F177" t="n">
        <v>43800</v>
      </c>
      <c r="G177" t="n">
        <v>48800</v>
      </c>
      <c r="H177" t="n">
        <v>43800</v>
      </c>
      <c r="I177" t="n">
        <v>48800</v>
      </c>
      <c r="J177" t="b">
        <v>1</v>
      </c>
      <c r="K177" t="inlineStr">
        <is>
          <t>Unilever Indonesia Official Shop</t>
        </is>
      </c>
      <c r="L177" t="inlineStr">
        <is>
          <t>KOTA SEMARANG</t>
        </is>
      </c>
      <c r="M177" t="n">
        <v>150405461</v>
      </c>
      <c r="N177" t="n">
        <v>14318452</v>
      </c>
      <c r="O177">
        <f>HYPERLINK("https://shopee.co.id/api/v4/item/get?itemid=150405461&amp;shopid=14318452", "Vaseline Lotion Healthy Bright Perfect 10 200ml")</f>
        <v/>
      </c>
      <c r="P177" t="n">
        <v>180</v>
      </c>
      <c r="Q177" t="n">
        <v>144</v>
      </c>
      <c r="R177" t="n">
        <v>4.915618829886729</v>
      </c>
      <c r="S177" t="n">
        <v>25</v>
      </c>
      <c r="T177" t="n">
        <v>18</v>
      </c>
      <c r="U177" t="n">
        <v>68</v>
      </c>
      <c r="V177" t="n">
        <v>522</v>
      </c>
      <c r="W177" t="n">
        <v>8990</v>
      </c>
    </row>
    <row r="178">
      <c r="A178" t="inlineStr">
        <is>
          <t>Rexona Roll On (Deodorant Wanita Remaja) Dreamy Bright 40Ml</t>
        </is>
      </c>
      <c r="B178" t="inlineStr">
        <is>
          <t>Rexona</t>
        </is>
      </c>
      <c r="C178" t="inlineStr">
        <is>
          <t>1%</t>
        </is>
      </c>
      <c r="D178" t="n">
        <v>16500</v>
      </c>
      <c r="E178" t="n">
        <v>16600</v>
      </c>
      <c r="F178" t="n">
        <v>16500</v>
      </c>
      <c r="G178" t="n">
        <v>16600</v>
      </c>
      <c r="H178" t="n">
        <v>16500</v>
      </c>
      <c r="I178" t="n">
        <v>16600</v>
      </c>
      <c r="J178" t="b">
        <v>1</v>
      </c>
      <c r="K178" t="inlineStr">
        <is>
          <t>Unilever Indonesia Official Shop</t>
        </is>
      </c>
      <c r="L178" t="inlineStr">
        <is>
          <t>KOTA BEKASI</t>
        </is>
      </c>
      <c r="M178" t="n">
        <v>1597356661</v>
      </c>
      <c r="N178" t="n">
        <v>14318452</v>
      </c>
      <c r="O178">
        <f>HYPERLINK("https://shopee.co.id/api/v4/item/get?itemid=1597356661&amp;shopid=14318452", "Rexona Roll On (Deodorant Wanita Remaja) Dreamy Bright 40Ml")</f>
        <v/>
      </c>
      <c r="P178" t="n">
        <v>1922</v>
      </c>
      <c r="Q178" t="n">
        <v>6751</v>
      </c>
      <c r="R178" t="n">
        <v>4.92122262486214</v>
      </c>
      <c r="S178" t="n">
        <v>124</v>
      </c>
      <c r="T178" t="n">
        <v>78</v>
      </c>
      <c r="U178" t="n">
        <v>351</v>
      </c>
      <c r="V178" t="n">
        <v>3084</v>
      </c>
      <c r="W178" t="n">
        <v>53492</v>
      </c>
    </row>
    <row r="179">
      <c r="A179" t="inlineStr">
        <is>
          <t>Pepsodent Pasta Gigi White 225 G - Multipack</t>
        </is>
      </c>
      <c r="B179" t="inlineStr">
        <is>
          <t>Pepsodent</t>
        </is>
      </c>
      <c r="C179" t="inlineStr">
        <is>
          <t>28%</t>
        </is>
      </c>
      <c r="D179" t="n">
        <v>34700</v>
      </c>
      <c r="E179" t="n">
        <v>48200</v>
      </c>
      <c r="F179" t="n">
        <v>34700</v>
      </c>
      <c r="G179" t="n">
        <v>48200</v>
      </c>
      <c r="H179" t="n">
        <v>34700</v>
      </c>
      <c r="I179" t="n">
        <v>48200</v>
      </c>
      <c r="J179" t="b">
        <v>1</v>
      </c>
      <c r="K179" t="inlineStr">
        <is>
          <t>Unilever Indonesia Official Shop</t>
        </is>
      </c>
      <c r="L179" t="inlineStr">
        <is>
          <t>KOTA BEKASI</t>
        </is>
      </c>
      <c r="M179" t="n">
        <v>9117201426</v>
      </c>
      <c r="N179" t="n">
        <v>14318452</v>
      </c>
      <c r="O179">
        <f>HYPERLINK("https://shopee.co.id/api/v4/item/get?itemid=9117201426&amp;shopid=14318452", "Pepsodent Pasta Gigi White 225 G - Multipack")</f>
        <v/>
      </c>
      <c r="P179" t="n">
        <v>4307</v>
      </c>
      <c r="Q179" t="n">
        <v>8810</v>
      </c>
      <c r="R179" t="n">
        <v>4.910584224391756</v>
      </c>
      <c r="S179" t="n">
        <v>66</v>
      </c>
      <c r="T179" t="n">
        <v>38</v>
      </c>
      <c r="U179" t="n">
        <v>125</v>
      </c>
      <c r="V179" t="n">
        <v>555</v>
      </c>
      <c r="W179" t="n">
        <v>12148</v>
      </c>
    </row>
    <row r="180">
      <c r="A180" t="inlineStr">
        <is>
          <t>Citra Hand Body Lotion Pearly Glow UV 380ml</t>
        </is>
      </c>
      <c r="B180" t="inlineStr">
        <is>
          <t>Citra</t>
        </is>
      </c>
      <c r="C180" t="inlineStr">
        <is>
          <t>1%</t>
        </is>
      </c>
      <c r="D180" t="n">
        <v>39800</v>
      </c>
      <c r="E180" t="n">
        <v>40200</v>
      </c>
      <c r="F180" t="n">
        <v>39800</v>
      </c>
      <c r="G180" t="n">
        <v>40200</v>
      </c>
      <c r="H180" t="n">
        <v>39800</v>
      </c>
      <c r="I180" t="n">
        <v>40200</v>
      </c>
      <c r="J180" t="b">
        <v>1</v>
      </c>
      <c r="K180" t="inlineStr">
        <is>
          <t>Unilever Indonesia Official Shop</t>
        </is>
      </c>
      <c r="L180" t="inlineStr">
        <is>
          <t>KOTA BEKASI</t>
        </is>
      </c>
      <c r="M180" t="n">
        <v>7760773658</v>
      </c>
      <c r="N180" t="n">
        <v>14318452</v>
      </c>
      <c r="O180">
        <f>HYPERLINK("https://shopee.co.id/api/v4/item/get?itemid=7760773658&amp;shopid=14318452", "Citra Hand Body Lotion Pearly Glow UV 380ml")</f>
        <v/>
      </c>
      <c r="P180" t="n">
        <v>827</v>
      </c>
      <c r="Q180" t="n">
        <v>2175</v>
      </c>
      <c r="R180" t="n">
        <v>4.88955710955711</v>
      </c>
      <c r="S180" t="n">
        <v>79</v>
      </c>
      <c r="T180" t="n">
        <v>60</v>
      </c>
      <c r="U180" t="n">
        <v>243</v>
      </c>
      <c r="V180" t="n">
        <v>1404</v>
      </c>
      <c r="W180" t="n">
        <v>19670</v>
      </c>
    </row>
    <row r="181">
      <c r="A181" t="inlineStr">
        <is>
          <t>Lifebuoy Sabun Cair Lemon Fresh Refill 825ml (Paket Isi 4)</t>
        </is>
      </c>
      <c r="B181" t="inlineStr">
        <is>
          <t>Lifebuoy</t>
        </is>
      </c>
      <c r="C181" t="inlineStr">
        <is>
          <t>39%</t>
        </is>
      </c>
      <c r="D181" t="n">
        <v>135900</v>
      </c>
      <c r="E181" t="n">
        <v>224400</v>
      </c>
      <c r="F181" t="n">
        <v>135900</v>
      </c>
      <c r="G181" t="n">
        <v>224400</v>
      </c>
      <c r="H181" t="n">
        <v>135900</v>
      </c>
      <c r="I181" t="n">
        <v>224400</v>
      </c>
      <c r="J181" t="b">
        <v>1</v>
      </c>
      <c r="K181" t="inlineStr">
        <is>
          <t>Unilever Indonesia Official Shop</t>
        </is>
      </c>
      <c r="L181" t="inlineStr">
        <is>
          <t>KOTA BEKASI</t>
        </is>
      </c>
      <c r="M181" t="n">
        <v>7031331971</v>
      </c>
      <c r="N181" t="n">
        <v>14318452</v>
      </c>
      <c r="O181">
        <f>HYPERLINK("https://shopee.co.id/api/v4/item/get?itemid=7031331971&amp;shopid=14318452", "Lifebuoy Sabun Cair Lemon Fresh Refill 825ml (Paket Isi 4)")</f>
        <v/>
      </c>
      <c r="P181" t="n">
        <v>1485</v>
      </c>
      <c r="Q181" t="n">
        <v>1508</v>
      </c>
      <c r="R181" t="n">
        <v>4.929085173501577</v>
      </c>
      <c r="S181" t="n">
        <v>35</v>
      </c>
      <c r="T181" t="n">
        <v>20</v>
      </c>
      <c r="U181" t="n">
        <v>57</v>
      </c>
      <c r="V181" t="n">
        <v>268</v>
      </c>
      <c r="W181" t="n">
        <v>7553</v>
      </c>
    </row>
    <row r="182">
      <c r="A182" t="inlineStr">
        <is>
          <t>Zwitsal Kids Shampoo Pink Soft &amp; Moisturizing 180 ml</t>
        </is>
      </c>
      <c r="B182" t="inlineStr">
        <is>
          <t>0</t>
        </is>
      </c>
      <c r="C182" t="inlineStr">
        <is>
          <t>18%</t>
        </is>
      </c>
      <c r="D182" t="n">
        <v>15500</v>
      </c>
      <c r="E182" t="n">
        <v>18800</v>
      </c>
      <c r="F182" t="n">
        <v>15500</v>
      </c>
      <c r="G182" t="n">
        <v>18800</v>
      </c>
      <c r="H182" t="n">
        <v>15500</v>
      </c>
      <c r="I182" t="n">
        <v>18800</v>
      </c>
      <c r="J182" t="b">
        <v>1</v>
      </c>
      <c r="K182" t="inlineStr">
        <is>
          <t>Unilever Indonesia Official Shop</t>
        </is>
      </c>
      <c r="L182" t="inlineStr">
        <is>
          <t>KOTA BEKASI</t>
        </is>
      </c>
      <c r="M182" t="n">
        <v>2889007314</v>
      </c>
      <c r="N182" t="n">
        <v>14318452</v>
      </c>
      <c r="O182">
        <f>HYPERLINK("https://shopee.co.id/api/v4/item/get?itemid=2889007314&amp;shopid=14318452", "Zwitsal Kids Shampoo Pink Soft &amp; Moisturizing 180 ml")</f>
        <v/>
      </c>
      <c r="P182" t="n">
        <v>625</v>
      </c>
      <c r="Q182" t="n">
        <v>805</v>
      </c>
      <c r="R182" t="n">
        <v>4.941240776168352</v>
      </c>
      <c r="S182" t="n">
        <v>40</v>
      </c>
      <c r="T182" t="n">
        <v>15</v>
      </c>
      <c r="U182" t="n">
        <v>85</v>
      </c>
      <c r="V182" t="n">
        <v>930</v>
      </c>
      <c r="W182" t="n">
        <v>20888</v>
      </c>
    </row>
    <row r="183">
      <c r="A183" t="inlineStr">
        <is>
          <t>Dove Deodorant Roll On Ultimate Repair - Anti Bakteri 40 ml</t>
        </is>
      </c>
      <c r="B183" t="inlineStr">
        <is>
          <t>Dove</t>
        </is>
      </c>
      <c r="C183" t="inlineStr">
        <is>
          <t>23%</t>
        </is>
      </c>
      <c r="D183" t="n">
        <v>18300</v>
      </c>
      <c r="E183" t="n">
        <v>23700</v>
      </c>
      <c r="F183" t="n">
        <v>18300</v>
      </c>
      <c r="G183" t="n">
        <v>23700</v>
      </c>
      <c r="H183" t="n">
        <v>18300</v>
      </c>
      <c r="I183" t="n">
        <v>23700</v>
      </c>
      <c r="J183" t="b">
        <v>1</v>
      </c>
      <c r="K183" t="inlineStr">
        <is>
          <t>Unilever Indonesia Official Shop</t>
        </is>
      </c>
      <c r="L183" t="inlineStr">
        <is>
          <t>KOTA BEKASI</t>
        </is>
      </c>
      <c r="M183" t="n">
        <v>126957884</v>
      </c>
      <c r="N183" t="n">
        <v>14318452</v>
      </c>
      <c r="O183">
        <f>HYPERLINK("https://shopee.co.id/api/v4/item/get?itemid=126957884&amp;shopid=14318452", "Dove Deodorant Roll On Ultimate Repair - Anti Bakteri 40 ml")</f>
        <v/>
      </c>
      <c r="P183" t="n">
        <v>2026</v>
      </c>
      <c r="Q183" t="n">
        <v>777</v>
      </c>
      <c r="R183" t="n">
        <v>4.911700368137438</v>
      </c>
      <c r="S183" t="n">
        <v>46</v>
      </c>
      <c r="T183" t="n">
        <v>36</v>
      </c>
      <c r="U183" t="n">
        <v>154</v>
      </c>
      <c r="V183" t="n">
        <v>1058</v>
      </c>
      <c r="W183" t="n">
        <v>17450</v>
      </c>
    </row>
    <row r="184">
      <c r="A184" t="inlineStr">
        <is>
          <t>Pond's Instabright Tone Up Facial Foam 100 gr</t>
        </is>
      </c>
      <c r="B184" t="inlineStr">
        <is>
          <t>0</t>
        </is>
      </c>
      <c r="C184" t="inlineStr">
        <is>
          <t>12%</t>
        </is>
      </c>
      <c r="D184" t="n">
        <v>32800</v>
      </c>
      <c r="E184" t="n">
        <v>37100</v>
      </c>
      <c r="F184" t="n">
        <v>32800</v>
      </c>
      <c r="G184" t="n">
        <v>37100</v>
      </c>
      <c r="H184" t="n">
        <v>32800</v>
      </c>
      <c r="I184" t="n">
        <v>37100</v>
      </c>
      <c r="J184" t="b">
        <v>1</v>
      </c>
      <c r="K184" t="inlineStr">
        <is>
          <t>Unilever Indonesia Official Shop</t>
        </is>
      </c>
      <c r="L184" t="inlineStr">
        <is>
          <t>KOTA BEKASI</t>
        </is>
      </c>
      <c r="M184" t="n">
        <v>1542429326</v>
      </c>
      <c r="N184" t="n">
        <v>14318452</v>
      </c>
      <c r="O184">
        <f>HYPERLINK("https://shopee.co.id/api/v4/item/get?itemid=1542429326&amp;shopid=14318452", "Pond's Instabright Tone Up Facial Foam 100 gr")</f>
        <v/>
      </c>
      <c r="P184" t="n">
        <v>393</v>
      </c>
      <c r="Q184" t="n">
        <v>297</v>
      </c>
      <c r="R184" t="n">
        <v>4.928316247281765</v>
      </c>
      <c r="S184" t="n">
        <v>28</v>
      </c>
      <c r="T184" t="n">
        <v>17</v>
      </c>
      <c r="U184" t="n">
        <v>73</v>
      </c>
      <c r="V184" t="n">
        <v>614</v>
      </c>
      <c r="W184" t="n">
        <v>12144</v>
      </c>
    </row>
    <row r="185">
      <c r="A185" t="inlineStr">
        <is>
          <t>Vaseline Lotion Intensive Care Aloe Soothe 100Ml</t>
        </is>
      </c>
      <c r="B185" t="inlineStr">
        <is>
          <t>0</t>
        </is>
      </c>
      <c r="C185" t="inlineStr">
        <is>
          <t>10%</t>
        </is>
      </c>
      <c r="D185" t="n">
        <v>16500</v>
      </c>
      <c r="E185" t="n">
        <v>18400</v>
      </c>
      <c r="F185" t="n">
        <v>16500</v>
      </c>
      <c r="G185" t="n">
        <v>18400</v>
      </c>
      <c r="H185" t="n">
        <v>16500</v>
      </c>
      <c r="I185" t="n">
        <v>18400</v>
      </c>
      <c r="J185" t="b">
        <v>1</v>
      </c>
      <c r="K185" t="inlineStr">
        <is>
          <t>Unilever Indonesia Official Shop</t>
        </is>
      </c>
      <c r="L185" t="inlineStr">
        <is>
          <t>KOTA BEKASI</t>
        </is>
      </c>
      <c r="M185" t="n">
        <v>1019542241</v>
      </c>
      <c r="N185" t="n">
        <v>14318452</v>
      </c>
      <c r="O185">
        <f>HYPERLINK("https://shopee.co.id/api/v4/item/get?itemid=1019542241&amp;shopid=14318452", "Vaseline Lotion Intensive Care Aloe Soothe 100Ml")</f>
        <v/>
      </c>
      <c r="P185" t="n">
        <v>626</v>
      </c>
      <c r="Q185" t="n">
        <v>520</v>
      </c>
      <c r="R185" t="n">
        <v>4.928601427971441</v>
      </c>
      <c r="S185" t="n">
        <v>21</v>
      </c>
      <c r="T185" t="n">
        <v>20</v>
      </c>
      <c r="U185" t="n">
        <v>109</v>
      </c>
      <c r="V185" t="n">
        <v>831</v>
      </c>
      <c r="W185" t="n">
        <v>15687</v>
      </c>
    </row>
    <row r="186">
      <c r="A186" t="inlineStr">
        <is>
          <t>Vaseline Lotion Healthy Bright Night Repair 200ml</t>
        </is>
      </c>
      <c r="B186" t="inlineStr">
        <is>
          <t>0</t>
        </is>
      </c>
      <c r="C186" t="inlineStr">
        <is>
          <t>10%</t>
        </is>
      </c>
      <c r="D186" t="n">
        <v>43000</v>
      </c>
      <c r="E186" t="n">
        <v>47800</v>
      </c>
      <c r="F186" t="n">
        <v>43000</v>
      </c>
      <c r="G186" t="n">
        <v>47800</v>
      </c>
      <c r="H186" t="n">
        <v>43000</v>
      </c>
      <c r="I186" t="n">
        <v>47800</v>
      </c>
      <c r="J186" t="b">
        <v>1</v>
      </c>
      <c r="K186" t="inlineStr">
        <is>
          <t>Unilever Indonesia Official Shop</t>
        </is>
      </c>
      <c r="L186" t="inlineStr">
        <is>
          <t>KOTA BEKASI</t>
        </is>
      </c>
      <c r="M186" t="n">
        <v>4760942480</v>
      </c>
      <c r="N186" t="n">
        <v>14318452</v>
      </c>
      <c r="O186">
        <f>HYPERLINK("https://shopee.co.id/api/v4/item/get?itemid=4760942480&amp;shopid=14318452", "Vaseline Lotion Healthy Bright Night Repair 200ml")</f>
        <v/>
      </c>
      <c r="P186" t="n">
        <v>673</v>
      </c>
      <c r="Q186" t="n">
        <v>1268</v>
      </c>
      <c r="R186" t="n">
        <v>4.884733140256516</v>
      </c>
      <c r="S186" t="n">
        <v>59</v>
      </c>
      <c r="T186" t="n">
        <v>30</v>
      </c>
      <c r="U186" t="n">
        <v>180</v>
      </c>
      <c r="V186" t="n">
        <v>722</v>
      </c>
      <c r="W186" t="n">
        <v>11098</v>
      </c>
    </row>
    <row r="187">
      <c r="A187" t="inlineStr">
        <is>
          <t>Zwitsal Kids 2 In 1 Hair &amp; Body Wash Natural And Nourish 280 ml</t>
        </is>
      </c>
      <c r="B187" t="inlineStr"/>
      <c r="C187" t="inlineStr">
        <is>
          <t>7%</t>
        </is>
      </c>
      <c r="D187" t="n">
        <v>26800</v>
      </c>
      <c r="E187" t="n">
        <v>28900</v>
      </c>
      <c r="F187" t="n">
        <v>26800</v>
      </c>
      <c r="G187" t="n">
        <v>28900</v>
      </c>
      <c r="H187" t="n">
        <v>26800</v>
      </c>
      <c r="I187" t="n">
        <v>28900</v>
      </c>
      <c r="J187" t="b">
        <v>1</v>
      </c>
      <c r="K187" t="inlineStr">
        <is>
          <t>Unilever Indonesia Official Shop</t>
        </is>
      </c>
      <c r="L187" t="inlineStr">
        <is>
          <t>KOTA BEKASI</t>
        </is>
      </c>
      <c r="M187" t="n">
        <v>7418530568</v>
      </c>
      <c r="N187" t="n">
        <v>14318452</v>
      </c>
      <c r="O187">
        <f>HYPERLINK("https://shopee.co.id/api/v4/item/get?itemid=7418530568&amp;shopid=14318452", "Zwitsal Kids 2 In 1 Hair &amp; Body Wash Natural And Nourish 280 ml")</f>
        <v/>
      </c>
      <c r="P187" t="n">
        <v>398</v>
      </c>
      <c r="Q187" t="n">
        <v>183</v>
      </c>
      <c r="R187" t="n">
        <v>4.910375843238034</v>
      </c>
      <c r="S187" t="n">
        <v>46</v>
      </c>
      <c r="T187" t="n">
        <v>22</v>
      </c>
      <c r="U187" t="n">
        <v>106</v>
      </c>
      <c r="V187" t="n">
        <v>670</v>
      </c>
      <c r="W187" t="n">
        <v>11613</v>
      </c>
    </row>
    <row r="188">
      <c r="A188" t="inlineStr">
        <is>
          <t>Citra Aloe Vera Fresh Glow Hand and Body Gel 120ml</t>
        </is>
      </c>
      <c r="B188" t="inlineStr">
        <is>
          <t>0</t>
        </is>
      </c>
      <c r="C188" t="inlineStr">
        <is>
          <t>1%</t>
        </is>
      </c>
      <c r="D188" t="n">
        <v>18900</v>
      </c>
      <c r="E188" t="n">
        <v>19000</v>
      </c>
      <c r="F188" t="n">
        <v>18900</v>
      </c>
      <c r="G188" t="n">
        <v>19000</v>
      </c>
      <c r="H188" t="n">
        <v>18900</v>
      </c>
      <c r="I188" t="n">
        <v>19000</v>
      </c>
      <c r="J188" t="b">
        <v>1</v>
      </c>
      <c r="K188" t="inlineStr">
        <is>
          <t>Unilever Indonesia Official Shop</t>
        </is>
      </c>
      <c r="L188" t="inlineStr">
        <is>
          <t>KOTA BEKASI</t>
        </is>
      </c>
      <c r="M188" t="n">
        <v>1025958616</v>
      </c>
      <c r="N188" t="n">
        <v>14318452</v>
      </c>
      <c r="O188">
        <f>HYPERLINK("https://shopee.co.id/api/v4/item/get?itemid=1025958616&amp;shopid=14318452", "Citra Aloe Vera Fresh Glow Hand and Body Gel 120ml")</f>
        <v/>
      </c>
      <c r="P188" t="n">
        <v>157</v>
      </c>
      <c r="Q188" t="n">
        <v>348</v>
      </c>
      <c r="R188" t="n">
        <v>4.908150470219436</v>
      </c>
      <c r="S188" t="n">
        <v>9</v>
      </c>
      <c r="T188" t="n">
        <v>4</v>
      </c>
      <c r="U188" t="n">
        <v>22</v>
      </c>
      <c r="V188" t="n">
        <v>201</v>
      </c>
      <c r="W188" t="n">
        <v>2954</v>
      </c>
    </row>
    <row r="189">
      <c r="A189" t="inlineStr">
        <is>
          <t>ZWITSAL KIDS BUBBLE BATH BLUE CLEAN &amp; FRESH 250ml TWINPACK</t>
        </is>
      </c>
      <c r="B189" t="inlineStr">
        <is>
          <t>Zwitsal</t>
        </is>
      </c>
      <c r="C189" t="inlineStr">
        <is>
          <t>19%</t>
        </is>
      </c>
      <c r="D189" t="n">
        <v>32400</v>
      </c>
      <c r="E189" t="n">
        <v>40200</v>
      </c>
      <c r="F189" t="n">
        <v>32400</v>
      </c>
      <c r="G189" t="n">
        <v>40200</v>
      </c>
      <c r="H189" t="n">
        <v>32400</v>
      </c>
      <c r="I189" t="n">
        <v>40200</v>
      </c>
      <c r="J189" t="b">
        <v>1</v>
      </c>
      <c r="K189" t="inlineStr">
        <is>
          <t>Unilever Indonesia Official Shop</t>
        </is>
      </c>
      <c r="L189" t="inlineStr">
        <is>
          <t>KOTA BEKASI</t>
        </is>
      </c>
      <c r="M189" t="n">
        <v>7231334140</v>
      </c>
      <c r="N189" t="n">
        <v>14318452</v>
      </c>
      <c r="O189">
        <f>HYPERLINK("https://shopee.co.id/api/v4/item/get?itemid=7231334140&amp;shopid=14318452", "ZWITSAL KIDS BUBBLE BATH BLUE CLEAN &amp; FRESH 250ml TWINPACK")</f>
        <v/>
      </c>
      <c r="P189" t="n">
        <v>1197</v>
      </c>
      <c r="Q189" t="n">
        <v>687</v>
      </c>
      <c r="R189" t="n">
        <v>4.954283750107416</v>
      </c>
      <c r="S189" t="n">
        <v>13</v>
      </c>
      <c r="T189" t="n">
        <v>3</v>
      </c>
      <c r="U189" t="n">
        <v>30</v>
      </c>
      <c r="V189" t="n">
        <v>415</v>
      </c>
      <c r="W189" t="n">
        <v>11179</v>
      </c>
    </row>
    <row r="190">
      <c r="A190" t="inlineStr">
        <is>
          <t>Lux Camellia White Sabun Cair Refill 400Ml</t>
        </is>
      </c>
      <c r="B190" t="inlineStr">
        <is>
          <t>0</t>
        </is>
      </c>
      <c r="C190" t="inlineStr">
        <is>
          <t>24%</t>
        </is>
      </c>
      <c r="D190" t="n">
        <v>22500</v>
      </c>
      <c r="E190" t="n">
        <v>29500</v>
      </c>
      <c r="F190" t="n">
        <v>22500</v>
      </c>
      <c r="G190" t="n">
        <v>29500</v>
      </c>
      <c r="H190" t="n">
        <v>22500</v>
      </c>
      <c r="I190" t="n">
        <v>29500</v>
      </c>
      <c r="J190" t="b">
        <v>1</v>
      </c>
      <c r="K190" t="inlineStr">
        <is>
          <t>Unilever Indonesia Official Shop</t>
        </is>
      </c>
      <c r="L190" t="inlineStr">
        <is>
          <t>KOTA DENPASAR</t>
        </is>
      </c>
      <c r="M190" t="n">
        <v>224778757</v>
      </c>
      <c r="N190" t="n">
        <v>14318452</v>
      </c>
      <c r="O190">
        <f>HYPERLINK("https://shopee.co.id/api/v4/item/get?itemid=224778757&amp;shopid=14318452", "Lux Camellia White Sabun Cair Refill 400Ml")</f>
        <v/>
      </c>
      <c r="P190" t="n">
        <v>454</v>
      </c>
      <c r="Q190" t="n">
        <v>14</v>
      </c>
      <c r="R190" t="n">
        <v>4.917584905660378</v>
      </c>
      <c r="S190" t="n">
        <v>19</v>
      </c>
      <c r="T190" t="n">
        <v>15</v>
      </c>
      <c r="U190" t="n">
        <v>45</v>
      </c>
      <c r="V190" t="n">
        <v>349</v>
      </c>
      <c r="W190" t="n">
        <v>6201</v>
      </c>
    </row>
    <row r="191">
      <c r="A191" t="inlineStr">
        <is>
          <t>Closeup White Attraction Toothpaste Pasta Gigi Acai Berry 2.5X Gigi Lebih Putih 100 Gr</t>
        </is>
      </c>
      <c r="B191" t="inlineStr"/>
      <c r="C191" t="inlineStr">
        <is>
          <t>19%</t>
        </is>
      </c>
      <c r="D191" t="n">
        <v>15300</v>
      </c>
      <c r="E191" t="n">
        <v>19000</v>
      </c>
      <c r="F191" t="n">
        <v>15300</v>
      </c>
      <c r="G191" t="n">
        <v>19000</v>
      </c>
      <c r="H191" t="n">
        <v>15300</v>
      </c>
      <c r="I191" t="n">
        <v>19000</v>
      </c>
      <c r="J191" t="b">
        <v>1</v>
      </c>
      <c r="K191" t="inlineStr">
        <is>
          <t>Unilever Indonesia Official Shop</t>
        </is>
      </c>
      <c r="L191" t="inlineStr">
        <is>
          <t>KOTA BEKASI</t>
        </is>
      </c>
      <c r="M191" t="n">
        <v>8414329916</v>
      </c>
      <c r="N191" t="n">
        <v>14318452</v>
      </c>
      <c r="O191">
        <f>HYPERLINK("https://shopee.co.id/api/v4/item/get?itemid=8414329916&amp;shopid=14318452", "Closeup White Attraction Toothpaste Pasta Gigi Acai Berry 2.5X Gigi Lebih Putih 100 Gr")</f>
        <v/>
      </c>
      <c r="P191" t="n">
        <v>3682</v>
      </c>
      <c r="Q191" t="n">
        <v>6807</v>
      </c>
      <c r="R191" t="n">
        <v>4.924779236405045</v>
      </c>
      <c r="S191" t="n">
        <v>73</v>
      </c>
      <c r="T191" t="n">
        <v>38</v>
      </c>
      <c r="U191" t="n">
        <v>270</v>
      </c>
      <c r="V191" t="n">
        <v>2578</v>
      </c>
      <c r="W191" t="n">
        <v>43593</v>
      </c>
    </row>
    <row r="192">
      <c r="A192" t="inlineStr">
        <is>
          <t>Ponds 3In1 Essence + Toner Perfect Potion Bright Beauty Hyaluronic Acid&amp;Niacinamide 50Ml</t>
        </is>
      </c>
      <c r="B192" t="inlineStr"/>
      <c r="C192" t="inlineStr">
        <is>
          <t>10%</t>
        </is>
      </c>
      <c r="D192" t="n">
        <v>41600</v>
      </c>
      <c r="E192" t="n">
        <v>46400</v>
      </c>
      <c r="F192" t="n">
        <v>41600</v>
      </c>
      <c r="G192" t="n">
        <v>46400</v>
      </c>
      <c r="H192" t="n">
        <v>41600</v>
      </c>
      <c r="I192" t="n">
        <v>46400</v>
      </c>
      <c r="J192" t="b">
        <v>1</v>
      </c>
      <c r="K192" t="inlineStr">
        <is>
          <t>Unilever Indonesia Official Shop</t>
        </is>
      </c>
      <c r="L192" t="inlineStr">
        <is>
          <t>KOTA BEKASI</t>
        </is>
      </c>
      <c r="M192" t="n">
        <v>3517507234</v>
      </c>
      <c r="N192" t="n">
        <v>14318452</v>
      </c>
      <c r="O192">
        <f>HYPERLINK("https://shopee.co.id/api/v4/item/get?itemid=3517507234&amp;shopid=14318452", "Ponds 3In1 Essence + Toner Perfect Potion Bright Beauty Hyaluronic Acid&amp;Niacinamide 50Ml")</f>
        <v/>
      </c>
      <c r="P192" t="n">
        <v>576</v>
      </c>
      <c r="Q192" t="n">
        <v>37</v>
      </c>
      <c r="R192" t="n">
        <v>4.913908502500735</v>
      </c>
      <c r="S192" t="n">
        <v>34</v>
      </c>
      <c r="T192" t="n">
        <v>21</v>
      </c>
      <c r="U192" t="n">
        <v>195</v>
      </c>
      <c r="V192" t="n">
        <v>1752</v>
      </c>
      <c r="W192" t="n">
        <v>25190</v>
      </c>
    </row>
    <row r="193">
      <c r="A193" t="inlineStr">
        <is>
          <t>Zwitsal Eau De Toilette 100 Ml - Parfum Eau De Toilette, Parfum Pakaian Aroma Bayi</t>
        </is>
      </c>
      <c r="B193" t="inlineStr">
        <is>
          <t>Zwitsal</t>
        </is>
      </c>
      <c r="C193" t="inlineStr">
        <is>
          <t>7%</t>
        </is>
      </c>
      <c r="D193" t="n">
        <v>30300</v>
      </c>
      <c r="E193" t="n">
        <v>32700</v>
      </c>
      <c r="F193" t="n">
        <v>30300</v>
      </c>
      <c r="G193" t="n">
        <v>32700</v>
      </c>
      <c r="H193" t="n">
        <v>30300</v>
      </c>
      <c r="I193" t="n">
        <v>32700</v>
      </c>
      <c r="J193" t="b">
        <v>1</v>
      </c>
      <c r="K193" t="inlineStr">
        <is>
          <t>Unilever Indonesia Official Shop</t>
        </is>
      </c>
      <c r="L193" t="inlineStr">
        <is>
          <t>KOTA BEKASI</t>
        </is>
      </c>
      <c r="M193" t="n">
        <v>4132994147</v>
      </c>
      <c r="N193" t="n">
        <v>14318452</v>
      </c>
      <c r="O193">
        <f>HYPERLINK("https://shopee.co.id/api/v4/item/get?itemid=4132994147&amp;shopid=14318452", "Zwitsal Eau De Toilette 100 Ml - Parfum Eau De Toilette, Parfum Pakaian Aroma Bayi")</f>
        <v/>
      </c>
      <c r="P193" t="n">
        <v>415</v>
      </c>
      <c r="Q193" t="n">
        <v>2091</v>
      </c>
      <c r="R193" t="n">
        <v>4.894168466522678</v>
      </c>
      <c r="S193" t="n">
        <v>453</v>
      </c>
      <c r="T193" t="n">
        <v>323</v>
      </c>
      <c r="U193" t="n">
        <v>1752</v>
      </c>
      <c r="V193" t="n">
        <v>9172</v>
      </c>
      <c r="W193" t="n">
        <v>132842</v>
      </c>
    </row>
    <row r="194">
      <c r="A194" t="inlineStr">
        <is>
          <t>Pepsodent Triple Clean Sikat Gigi Medium Isi 3</t>
        </is>
      </c>
      <c r="B194" t="inlineStr">
        <is>
          <t>0</t>
        </is>
      </c>
      <c r="C194" t="inlineStr">
        <is>
          <t>20%</t>
        </is>
      </c>
      <c r="D194" t="n">
        <v>8800</v>
      </c>
      <c r="E194" t="n">
        <v>11000</v>
      </c>
      <c r="F194" t="n">
        <v>8800</v>
      </c>
      <c r="G194" t="n">
        <v>11000</v>
      </c>
      <c r="H194" t="n">
        <v>8800</v>
      </c>
      <c r="I194" t="n">
        <v>11000</v>
      </c>
      <c r="J194" t="b">
        <v>1</v>
      </c>
      <c r="K194" t="inlineStr">
        <is>
          <t>Unilever Indonesia Official Shop</t>
        </is>
      </c>
      <c r="L194" t="inlineStr">
        <is>
          <t>KOTA BEKASI</t>
        </is>
      </c>
      <c r="M194" t="n">
        <v>1040153473</v>
      </c>
      <c r="N194" t="n">
        <v>14318452</v>
      </c>
      <c r="O194">
        <f>HYPERLINK("https://shopee.co.id/api/v4/item/get?itemid=1040153473&amp;shopid=14318452", "Pepsodent Triple Clean Sikat Gigi Medium Isi 3")</f>
        <v/>
      </c>
      <c r="P194" t="n">
        <v>1670</v>
      </c>
      <c r="Q194" t="n">
        <v>1931</v>
      </c>
      <c r="R194" t="n">
        <v>4.917740808052566</v>
      </c>
      <c r="S194" t="n">
        <v>69</v>
      </c>
      <c r="T194" t="n">
        <v>42</v>
      </c>
      <c r="U194" t="n">
        <v>251</v>
      </c>
      <c r="V194" t="n">
        <v>2079</v>
      </c>
      <c r="W194" t="n">
        <v>33335</v>
      </c>
    </row>
    <row r="195">
      <c r="A195" t="inlineStr">
        <is>
          <t>Vaseline Lotion Intensive Care Aloe Soothe 200Ml</t>
        </is>
      </c>
      <c r="B195" t="inlineStr">
        <is>
          <t>0</t>
        </is>
      </c>
      <c r="C195" t="inlineStr">
        <is>
          <t>9%</t>
        </is>
      </c>
      <c r="D195" t="n">
        <v>30700</v>
      </c>
      <c r="E195" t="n">
        <v>33900</v>
      </c>
      <c r="F195" t="n">
        <v>30700</v>
      </c>
      <c r="G195" t="n">
        <v>33900</v>
      </c>
      <c r="H195" t="n">
        <v>30700</v>
      </c>
      <c r="I195" t="n">
        <v>33900</v>
      </c>
      <c r="J195" t="b">
        <v>1</v>
      </c>
      <c r="K195" t="inlineStr">
        <is>
          <t>Unilever Indonesia Official Shop</t>
        </is>
      </c>
      <c r="L195" t="inlineStr">
        <is>
          <t>KOTA BEKASI</t>
        </is>
      </c>
      <c r="M195" t="n">
        <v>127357996</v>
      </c>
      <c r="N195" t="n">
        <v>14318452</v>
      </c>
      <c r="O195">
        <f>HYPERLINK("https://shopee.co.id/api/v4/item/get?itemid=127357996&amp;shopid=14318452", "Vaseline Lotion Intensive Care Aloe Soothe 200Ml")</f>
        <v/>
      </c>
      <c r="P195" t="n">
        <v>356</v>
      </c>
      <c r="Q195" t="n">
        <v>257</v>
      </c>
      <c r="R195" t="n">
        <v>4.931635192504758</v>
      </c>
      <c r="S195" t="n">
        <v>9</v>
      </c>
      <c r="T195" t="n">
        <v>9</v>
      </c>
      <c r="U195" t="n">
        <v>33</v>
      </c>
      <c r="V195" t="n">
        <v>345</v>
      </c>
      <c r="W195" t="n">
        <v>6437</v>
      </c>
    </row>
    <row r="196">
      <c r="A196" t="inlineStr">
        <is>
          <t>Ponds Facial Foam Acne Solution 100gr Anti Bakteri with Niacinamide &amp; Salicylic Acid</t>
        </is>
      </c>
      <c r="B196" t="inlineStr">
        <is>
          <t>Pond's</t>
        </is>
      </c>
      <c r="C196" t="inlineStr">
        <is>
          <t>13%</t>
        </is>
      </c>
      <c r="D196" t="n">
        <v>35200</v>
      </c>
      <c r="E196" t="n">
        <v>40400</v>
      </c>
      <c r="F196" t="n">
        <v>35200</v>
      </c>
      <c r="G196" t="n">
        <v>40400</v>
      </c>
      <c r="H196" t="n">
        <v>35200</v>
      </c>
      <c r="I196" t="n">
        <v>40400</v>
      </c>
      <c r="J196" t="b">
        <v>1</v>
      </c>
      <c r="K196" t="inlineStr">
        <is>
          <t>Unilever Indonesia Official Shop</t>
        </is>
      </c>
      <c r="L196" t="inlineStr">
        <is>
          <t>KOTA BEKASI</t>
        </is>
      </c>
      <c r="M196" t="n">
        <v>1040523073</v>
      </c>
      <c r="N196" t="n">
        <v>14318452</v>
      </c>
      <c r="O196">
        <f>HYPERLINK("https://shopee.co.id/api/v4/item/get?itemid=1040523073&amp;shopid=14318452", "Ponds Facial Foam Acne Solution 100gr Anti Bakteri with Niacinamide &amp; Salicylic Acid")</f>
        <v/>
      </c>
      <c r="P196" t="n">
        <v>347</v>
      </c>
      <c r="Q196" t="n">
        <v>894</v>
      </c>
      <c r="R196" t="n">
        <v>4.921523901965542</v>
      </c>
      <c r="S196" t="n">
        <v>47</v>
      </c>
      <c r="T196" t="n">
        <v>30</v>
      </c>
      <c r="U196" t="n">
        <v>149</v>
      </c>
      <c r="V196" t="n">
        <v>1050</v>
      </c>
      <c r="W196" t="n">
        <v>19332</v>
      </c>
    </row>
    <row r="197">
      <c r="A197" t="inlineStr">
        <is>
          <t>Pond's Bright Beauty Whip Foam 100g Twin Pack</t>
        </is>
      </c>
      <c r="B197" t="inlineStr"/>
      <c r="C197" t="inlineStr">
        <is>
          <t>17%</t>
        </is>
      </c>
      <c r="D197" t="n">
        <v>52200</v>
      </c>
      <c r="E197" t="n">
        <v>63100</v>
      </c>
      <c r="F197" t="n">
        <v>52200</v>
      </c>
      <c r="G197" t="n">
        <v>63100</v>
      </c>
      <c r="H197" t="n">
        <v>52200</v>
      </c>
      <c r="I197" t="n">
        <v>63100</v>
      </c>
      <c r="J197" t="b">
        <v>1</v>
      </c>
      <c r="K197" t="inlineStr">
        <is>
          <t>Unilever Indonesia Official Shop</t>
        </is>
      </c>
      <c r="L197" t="inlineStr">
        <is>
          <t>KOTA BEKASI</t>
        </is>
      </c>
      <c r="M197" t="n">
        <v>3665089780</v>
      </c>
      <c r="N197" t="n">
        <v>14318452</v>
      </c>
      <c r="O197">
        <f>HYPERLINK("https://shopee.co.id/api/v4/item/get?itemid=3665089780&amp;shopid=14318452", "Pond's Bright Beauty Whip Foam 100g Twin Pack")</f>
        <v/>
      </c>
      <c r="P197" t="n">
        <v>193</v>
      </c>
      <c r="Q197" t="n">
        <v>693</v>
      </c>
      <c r="R197" t="n">
        <v>4.939820583104909</v>
      </c>
      <c r="S197" t="n">
        <v>16</v>
      </c>
      <c r="T197" t="n">
        <v>5</v>
      </c>
      <c r="U197" t="n">
        <v>31</v>
      </c>
      <c r="V197" t="n">
        <v>350</v>
      </c>
      <c r="W197" t="n">
        <v>7636</v>
      </c>
    </row>
    <row r="198">
      <c r="A198" t="inlineStr">
        <is>
          <t>Zwitsal Minyak Telon Bayi Natural Hangat Dan Nyaman 100Mlx2</t>
        </is>
      </c>
      <c r="B198" t="inlineStr">
        <is>
          <t>Zwitsal</t>
        </is>
      </c>
      <c r="C198" t="inlineStr">
        <is>
          <t>23%</t>
        </is>
      </c>
      <c r="D198" t="n">
        <v>54900</v>
      </c>
      <c r="E198" t="n">
        <v>71700</v>
      </c>
      <c r="F198" t="n">
        <v>54900</v>
      </c>
      <c r="G198" t="n">
        <v>71700</v>
      </c>
      <c r="H198" t="n">
        <v>54900</v>
      </c>
      <c r="I198" t="n">
        <v>71700</v>
      </c>
      <c r="J198" t="b">
        <v>1</v>
      </c>
      <c r="K198" t="inlineStr">
        <is>
          <t>Unilever Indonesia Official Shop</t>
        </is>
      </c>
      <c r="L198" t="inlineStr">
        <is>
          <t>KOTA BEKASI</t>
        </is>
      </c>
      <c r="M198" t="n">
        <v>7131178927</v>
      </c>
      <c r="N198" t="n">
        <v>14318452</v>
      </c>
      <c r="O198">
        <f>HYPERLINK("https://shopee.co.id/api/v4/item/get?itemid=7131178927&amp;shopid=14318452", "Zwitsal Minyak Telon Bayi Natural Hangat Dan Nyaman 100Mlx2")</f>
        <v/>
      </c>
      <c r="P198" t="n">
        <v>739</v>
      </c>
      <c r="Q198" t="n">
        <v>438</v>
      </c>
      <c r="R198" t="n">
        <v>4.935694822888284</v>
      </c>
      <c r="S198" t="n">
        <v>17</v>
      </c>
      <c r="T198" t="n">
        <v>10</v>
      </c>
      <c r="U198" t="n">
        <v>51</v>
      </c>
      <c r="V198" t="n">
        <v>286</v>
      </c>
      <c r="W198" t="n">
        <v>6980</v>
      </c>
    </row>
    <row r="199">
      <c r="A199" t="inlineStr">
        <is>
          <t>Zwitsal Baby Fabric Detergent 750 ml</t>
        </is>
      </c>
      <c r="B199" t="inlineStr"/>
      <c r="C199" t="inlineStr">
        <is>
          <t>6%</t>
        </is>
      </c>
      <c r="D199" t="n">
        <v>27300</v>
      </c>
      <c r="E199" t="n">
        <v>28900</v>
      </c>
      <c r="F199" t="n">
        <v>27300</v>
      </c>
      <c r="G199" t="n">
        <v>28900</v>
      </c>
      <c r="H199" t="n">
        <v>27300</v>
      </c>
      <c r="I199" t="n">
        <v>28900</v>
      </c>
      <c r="J199" t="b">
        <v>0</v>
      </c>
      <c r="K199" t="inlineStr">
        <is>
          <t>Unilever Indonesia Official Shop</t>
        </is>
      </c>
      <c r="L199" t="inlineStr">
        <is>
          <t>KOTA SURABAYA</t>
        </is>
      </c>
      <c r="M199" t="n">
        <v>5980267151</v>
      </c>
      <c r="N199" t="n">
        <v>14318452</v>
      </c>
      <c r="O199">
        <f>HYPERLINK("https://shopee.co.id/api/v4/item/get?itemid=5980267151&amp;shopid=14318452", "Zwitsal Baby Fabric Detergent 750 ml")</f>
        <v/>
      </c>
      <c r="P199" t="n">
        <v>17</v>
      </c>
      <c r="Q199" t="n">
        <v>69</v>
      </c>
      <c r="R199" t="n">
        <v>4.935422960725075</v>
      </c>
      <c r="S199" t="n">
        <v>8</v>
      </c>
      <c r="T199" t="n">
        <v>6</v>
      </c>
      <c r="U199" t="n">
        <v>6</v>
      </c>
      <c r="V199" t="n">
        <v>109</v>
      </c>
      <c r="W199" t="n">
        <v>2520</v>
      </c>
    </row>
    <row r="200">
      <c r="A200" t="inlineStr">
        <is>
          <t>Glow &amp; Lovely Multivitamin Cream 23gr</t>
        </is>
      </c>
      <c r="B200" t="inlineStr">
        <is>
          <t>Fair &amp; Lovely</t>
        </is>
      </c>
      <c r="C200" t="inlineStr">
        <is>
          <t>14%</t>
        </is>
      </c>
      <c r="D200" t="n">
        <v>19700</v>
      </c>
      <c r="E200" t="n">
        <v>22900</v>
      </c>
      <c r="F200" t="n">
        <v>19700</v>
      </c>
      <c r="G200" t="n">
        <v>22900</v>
      </c>
      <c r="H200" t="n">
        <v>19700</v>
      </c>
      <c r="I200" t="n">
        <v>22900</v>
      </c>
      <c r="J200" t="b">
        <v>1</v>
      </c>
      <c r="K200" t="inlineStr">
        <is>
          <t>Unilever Indonesia Official Shop</t>
        </is>
      </c>
      <c r="L200" t="inlineStr">
        <is>
          <t>KOTA BEKASI</t>
        </is>
      </c>
      <c r="M200" t="n">
        <v>2497133884</v>
      </c>
      <c r="N200" t="n">
        <v>14318452</v>
      </c>
      <c r="O200">
        <f>HYPERLINK("https://shopee.co.id/api/v4/item/get?itemid=2497133884&amp;shopid=14318452", "Glow &amp; Lovely Multivitamin Cream 23gr")</f>
        <v/>
      </c>
      <c r="P200" t="n">
        <v>598</v>
      </c>
      <c r="Q200" t="n">
        <v>542</v>
      </c>
      <c r="R200" t="n">
        <v>4.902669149596524</v>
      </c>
      <c r="S200" t="n">
        <v>45</v>
      </c>
      <c r="T200" t="n">
        <v>18</v>
      </c>
      <c r="U200" t="n">
        <v>143</v>
      </c>
      <c r="V200" t="n">
        <v>1051</v>
      </c>
      <c r="W200" t="n">
        <v>14854</v>
      </c>
    </row>
    <row r="201">
      <c r="A201" t="inlineStr">
        <is>
          <t>Lifebuoy Shampo Anti Ketombe Anti Dandruf 680ml Dengan Milknutristrong &amp; Active Zinc</t>
        </is>
      </c>
      <c r="B201" t="inlineStr">
        <is>
          <t>Lifebuoy</t>
        </is>
      </c>
      <c r="C201" t="inlineStr">
        <is>
          <t>1%</t>
        </is>
      </c>
      <c r="D201" t="n">
        <v>61200</v>
      </c>
      <c r="E201" t="n">
        <v>61800</v>
      </c>
      <c r="F201" t="n">
        <v>61200</v>
      </c>
      <c r="G201" t="n">
        <v>61800</v>
      </c>
      <c r="H201" t="n">
        <v>61200</v>
      </c>
      <c r="I201" t="n">
        <v>61800</v>
      </c>
      <c r="J201" t="b">
        <v>1</v>
      </c>
      <c r="K201" t="inlineStr">
        <is>
          <t>Unilever Indonesia Official Shop</t>
        </is>
      </c>
      <c r="L201" t="inlineStr">
        <is>
          <t>KOTA BEKASI</t>
        </is>
      </c>
      <c r="M201" t="n">
        <v>639913006</v>
      </c>
      <c r="N201" t="n">
        <v>14318452</v>
      </c>
      <c r="O201">
        <f>HYPERLINK("https://shopee.co.id/api/v4/item/get?itemid=639913006&amp;shopid=14318452", "Lifebuoy Shampo Anti Ketombe Anti Dandruf 680ml Dengan Milknutristrong &amp; Active Zinc")</f>
        <v/>
      </c>
      <c r="P201" t="n">
        <v>295</v>
      </c>
      <c r="Q201" t="n">
        <v>959</v>
      </c>
      <c r="R201" t="n">
        <v>4.941537010843941</v>
      </c>
      <c r="S201" t="n">
        <v>29</v>
      </c>
      <c r="T201" t="n">
        <v>27</v>
      </c>
      <c r="U201" t="n">
        <v>86</v>
      </c>
      <c r="V201" t="n">
        <v>626</v>
      </c>
      <c r="W201" t="n">
        <v>16201</v>
      </c>
    </row>
    <row r="202">
      <c r="A202" t="inlineStr">
        <is>
          <t>Lifebuoy Sabun Mandi Cair Antiseptik Cool Fresh 250Ml</t>
        </is>
      </c>
      <c r="B202" t="inlineStr">
        <is>
          <t>0</t>
        </is>
      </c>
      <c r="C202" t="inlineStr">
        <is>
          <t>9%</t>
        </is>
      </c>
      <c r="D202" t="n">
        <v>18100</v>
      </c>
      <c r="E202" t="n">
        <v>19900</v>
      </c>
      <c r="F202" t="n">
        <v>18100</v>
      </c>
      <c r="G202" t="n">
        <v>19900</v>
      </c>
      <c r="H202" t="n">
        <v>18100</v>
      </c>
      <c r="I202" t="n">
        <v>19900</v>
      </c>
      <c r="J202" t="b">
        <v>1</v>
      </c>
      <c r="K202" t="inlineStr">
        <is>
          <t>Unilever Indonesia Official Shop</t>
        </is>
      </c>
      <c r="L202" t="inlineStr">
        <is>
          <t>KOTA BEKASI</t>
        </is>
      </c>
      <c r="M202" t="n">
        <v>150405502</v>
      </c>
      <c r="N202" t="n">
        <v>14318452</v>
      </c>
      <c r="O202">
        <f>HYPERLINK("https://shopee.co.id/api/v4/item/get?itemid=150405502&amp;shopid=14318452", "Lifebuoy Sabun Mandi Cair Antiseptik Cool Fresh 250Ml")</f>
        <v/>
      </c>
      <c r="P202" t="n">
        <v>150</v>
      </c>
      <c r="Q202" t="n">
        <v>364</v>
      </c>
      <c r="R202" t="n">
        <v>4.90422861556285</v>
      </c>
      <c r="S202" t="n">
        <v>18</v>
      </c>
      <c r="T202" t="n">
        <v>10</v>
      </c>
      <c r="U202" t="n">
        <v>54</v>
      </c>
      <c r="V202" t="n">
        <v>286</v>
      </c>
      <c r="W202" t="n">
        <v>4811</v>
      </c>
    </row>
    <row r="203">
      <c r="A203" t="inlineStr">
        <is>
          <t>Citra Hand Body Lotion Pearly Glow 380 Ml - Hand Body Lotion Glowing, Lotion Glowing</t>
        </is>
      </c>
      <c r="B203" t="inlineStr">
        <is>
          <t>Citra</t>
        </is>
      </c>
      <c r="C203" t="inlineStr">
        <is>
          <t>1%</t>
        </is>
      </c>
      <c r="D203" t="n">
        <v>39800</v>
      </c>
      <c r="E203" t="n">
        <v>40200</v>
      </c>
      <c r="F203" t="n">
        <v>39800</v>
      </c>
      <c r="G203" t="n">
        <v>40200</v>
      </c>
      <c r="H203" t="n">
        <v>39800</v>
      </c>
      <c r="I203" t="n">
        <v>40200</v>
      </c>
      <c r="J203" t="b">
        <v>1</v>
      </c>
      <c r="K203" t="inlineStr">
        <is>
          <t>Unilever Indonesia Official Shop</t>
        </is>
      </c>
      <c r="L203" t="inlineStr">
        <is>
          <t>KOTA BEKASI</t>
        </is>
      </c>
      <c r="M203" t="n">
        <v>150405532</v>
      </c>
      <c r="N203" t="n">
        <v>14318452</v>
      </c>
      <c r="O203">
        <f>HYPERLINK("https://shopee.co.id/api/v4/item/get?itemid=150405532&amp;shopid=14318452", "Citra Hand Body Lotion Pearly Glow 380 Ml - Hand Body Lotion Glowing, Lotion Glowing")</f>
        <v/>
      </c>
      <c r="P203" t="n">
        <v>212</v>
      </c>
      <c r="Q203" t="n">
        <v>2175</v>
      </c>
      <c r="R203" t="n">
        <v>4.921375556655121</v>
      </c>
      <c r="S203" t="n">
        <v>40</v>
      </c>
      <c r="T203" t="n">
        <v>33</v>
      </c>
      <c r="U203" t="n">
        <v>137</v>
      </c>
      <c r="V203" t="n">
        <v>1073</v>
      </c>
      <c r="W203" t="n">
        <v>18932</v>
      </c>
    </row>
    <row r="204">
      <c r="A204" t="inlineStr">
        <is>
          <t>Sunlight Sabun Cuci Piring Jeruk Nipis Refill 210 ml Twinpack</t>
        </is>
      </c>
      <c r="B204" t="inlineStr">
        <is>
          <t>0</t>
        </is>
      </c>
      <c r="C204" t="inlineStr">
        <is>
          <t>19%</t>
        </is>
      </c>
      <c r="D204" t="n">
        <v>8100</v>
      </c>
      <c r="E204" t="n">
        <v>10000</v>
      </c>
      <c r="F204" t="n">
        <v>8100</v>
      </c>
      <c r="G204" t="n">
        <v>10000</v>
      </c>
      <c r="H204" t="n">
        <v>8100</v>
      </c>
      <c r="I204" t="n">
        <v>10000</v>
      </c>
      <c r="J204" t="b">
        <v>1</v>
      </c>
      <c r="K204" t="inlineStr">
        <is>
          <t>Unilever Indonesia Official Shop</t>
        </is>
      </c>
      <c r="L204" t="inlineStr">
        <is>
          <t>KOTA BEKASI</t>
        </is>
      </c>
      <c r="M204" t="n">
        <v>4658378850</v>
      </c>
      <c r="N204" t="n">
        <v>14318452</v>
      </c>
      <c r="O204">
        <f>HYPERLINK("https://shopee.co.id/api/v4/item/get?itemid=4658378850&amp;shopid=14318452", "Sunlight Sabun Cuci Piring Jeruk Nipis Refill 210 ml Twinpack")</f>
        <v/>
      </c>
      <c r="P204" t="n">
        <v>1913</v>
      </c>
      <c r="Q204" t="n">
        <v>14</v>
      </c>
      <c r="R204" t="n">
        <v>4.920197515132208</v>
      </c>
      <c r="S204" t="n">
        <v>48</v>
      </c>
      <c r="T204" t="n">
        <v>19</v>
      </c>
      <c r="U204" t="n">
        <v>95</v>
      </c>
      <c r="V204" t="n">
        <v>592</v>
      </c>
      <c r="W204" t="n">
        <v>11816</v>
      </c>
    </row>
    <row r="205">
      <c r="A205" t="inlineStr">
        <is>
          <t>Molto Pewangi Floral Bliss 280 mL</t>
        </is>
      </c>
      <c r="B205" t="inlineStr"/>
      <c r="C205" t="inlineStr">
        <is>
          <t>2%</t>
        </is>
      </c>
      <c r="D205" t="n">
        <v>5000</v>
      </c>
      <c r="E205" t="n">
        <v>5100</v>
      </c>
      <c r="F205" t="n">
        <v>5000</v>
      </c>
      <c r="G205" t="n">
        <v>5100</v>
      </c>
      <c r="H205" t="n">
        <v>5000</v>
      </c>
      <c r="I205" t="n">
        <v>5100</v>
      </c>
      <c r="J205" t="b">
        <v>1</v>
      </c>
      <c r="K205" t="inlineStr">
        <is>
          <t>Unilever Indonesia Official Shop</t>
        </is>
      </c>
      <c r="L205" t="inlineStr">
        <is>
          <t>KOTA BEKASI</t>
        </is>
      </c>
      <c r="M205" t="n">
        <v>6978334729</v>
      </c>
      <c r="N205" t="n">
        <v>14318452</v>
      </c>
      <c r="O205">
        <f>HYPERLINK("https://shopee.co.id/api/v4/item/get?itemid=6978334729&amp;shopid=14318452", "Molto Pewangi Floral Bliss 280 mL")</f>
        <v/>
      </c>
      <c r="P205" t="n">
        <v>1031</v>
      </c>
      <c r="Q205" t="n">
        <v>1278</v>
      </c>
      <c r="R205" t="n">
        <v>4.928549984989493</v>
      </c>
      <c r="S205" t="n">
        <v>13</v>
      </c>
      <c r="T205" t="n">
        <v>7</v>
      </c>
      <c r="U205" t="n">
        <v>54</v>
      </c>
      <c r="V205" t="n">
        <v>305</v>
      </c>
      <c r="W205" t="n">
        <v>6290</v>
      </c>
    </row>
    <row r="206">
      <c r="A206" t="inlineStr">
        <is>
          <t>Citra Hand Body Lotion Body Care Bengkoang &amp; Green Tea Natural Glow 10X Vitamin C 380Mlx2</t>
        </is>
      </c>
      <c r="B206" t="inlineStr">
        <is>
          <t>Citra</t>
        </is>
      </c>
      <c r="C206" t="inlineStr">
        <is>
          <t>1%</t>
        </is>
      </c>
      <c r="D206" t="n">
        <v>79600</v>
      </c>
      <c r="E206" t="n">
        <v>80400</v>
      </c>
      <c r="F206" t="n">
        <v>79600</v>
      </c>
      <c r="G206" t="n">
        <v>80400</v>
      </c>
      <c r="H206" t="n">
        <v>79600</v>
      </c>
      <c r="I206" t="n">
        <v>80400</v>
      </c>
      <c r="J206" t="b">
        <v>1</v>
      </c>
      <c r="K206" t="inlineStr">
        <is>
          <t>Unilever Indonesia Official Shop</t>
        </is>
      </c>
      <c r="L206" t="inlineStr">
        <is>
          <t>KOTA BEKASI</t>
        </is>
      </c>
      <c r="M206" t="n">
        <v>6730961593</v>
      </c>
      <c r="N206" t="n">
        <v>14318452</v>
      </c>
      <c r="O206">
        <f>HYPERLINK("https://shopee.co.id/api/v4/item/get?itemid=6730961593&amp;shopid=14318452", "Citra Hand Body Lotion Body Care Bengkoang &amp; Green Tea Natural Glow 10X Vitamin C 380Mlx2")</f>
        <v/>
      </c>
      <c r="P206" t="n">
        <v>140</v>
      </c>
      <c r="Q206" t="n">
        <v>1257</v>
      </c>
      <c r="R206" t="n">
        <v>4.925173703901657</v>
      </c>
      <c r="S206" t="n">
        <v>8</v>
      </c>
      <c r="T206" t="n">
        <v>6</v>
      </c>
      <c r="U206" t="n">
        <v>22</v>
      </c>
      <c r="V206" t="n">
        <v>190</v>
      </c>
      <c r="W206" t="n">
        <v>3517</v>
      </c>
    </row>
    <row r="207">
      <c r="A207" t="inlineStr">
        <is>
          <t>Pepsodent Pasta Gigi Complete 8 Charcoal Whitening 160G</t>
        </is>
      </c>
      <c r="B207" t="inlineStr">
        <is>
          <t>Pepsodent</t>
        </is>
      </c>
      <c r="C207" t="inlineStr">
        <is>
          <t>20%</t>
        </is>
      </c>
      <c r="D207" t="n">
        <v>18700</v>
      </c>
      <c r="E207" t="n">
        <v>23500</v>
      </c>
      <c r="F207" t="n">
        <v>18700</v>
      </c>
      <c r="G207" t="n">
        <v>23500</v>
      </c>
      <c r="H207" t="n">
        <v>18700</v>
      </c>
      <c r="I207" t="n">
        <v>23500</v>
      </c>
      <c r="J207" t="b">
        <v>1</v>
      </c>
      <c r="K207" t="inlineStr">
        <is>
          <t>Unilever Indonesia Official Shop</t>
        </is>
      </c>
      <c r="L207" t="inlineStr">
        <is>
          <t>KOTA BEKASI</t>
        </is>
      </c>
      <c r="M207" t="n">
        <v>1644008383</v>
      </c>
      <c r="N207" t="n">
        <v>14318452</v>
      </c>
      <c r="O207">
        <f>HYPERLINK("https://shopee.co.id/api/v4/item/get?itemid=1644008383&amp;shopid=14318452", "Pepsodent Pasta Gigi Complete 8 Charcoal Whitening 160G")</f>
        <v/>
      </c>
      <c r="P207" t="n">
        <v>1718</v>
      </c>
      <c r="Q207" t="n">
        <v>600</v>
      </c>
      <c r="R207" t="n">
        <v>4.931506849315069</v>
      </c>
      <c r="S207" t="n">
        <v>62</v>
      </c>
      <c r="T207" t="n">
        <v>35</v>
      </c>
      <c r="U207" t="n">
        <v>210</v>
      </c>
      <c r="V207" t="n">
        <v>1527</v>
      </c>
      <c r="W207" t="n">
        <v>31173</v>
      </c>
    </row>
    <row r="208">
      <c r="A208" t="inlineStr">
        <is>
          <t>Glow &amp; Lovely Multivitamin Serum Sheet Mask Masker Pencerah Wajah Sheet Mask Glowing 20G</t>
        </is>
      </c>
      <c r="B208" t="inlineStr">
        <is>
          <t>Fair &amp; Lovely</t>
        </is>
      </c>
      <c r="C208" t="inlineStr">
        <is>
          <t>18%</t>
        </is>
      </c>
      <c r="D208" t="n">
        <v>8200</v>
      </c>
      <c r="E208" t="n">
        <v>10000</v>
      </c>
      <c r="F208" t="n">
        <v>8200</v>
      </c>
      <c r="G208" t="n">
        <v>10000</v>
      </c>
      <c r="H208" t="n">
        <v>8200</v>
      </c>
      <c r="I208" t="n">
        <v>10000</v>
      </c>
      <c r="J208" t="b">
        <v>1</v>
      </c>
      <c r="K208" t="inlineStr">
        <is>
          <t>Unilever Indonesia Official Shop</t>
        </is>
      </c>
      <c r="L208" t="inlineStr">
        <is>
          <t>KOTA BEKASI</t>
        </is>
      </c>
      <c r="M208" t="n">
        <v>5160943943</v>
      </c>
      <c r="N208" t="n">
        <v>14318452</v>
      </c>
      <c r="O208">
        <f>HYPERLINK("https://shopee.co.id/api/v4/item/get?itemid=5160943943&amp;shopid=14318452", "Glow &amp; Lovely Multivitamin Serum Sheet Mask Masker Pencerah Wajah Sheet Mask Glowing 20G")</f>
        <v/>
      </c>
      <c r="P208" t="n">
        <v>451</v>
      </c>
      <c r="Q208" t="n">
        <v>4673</v>
      </c>
      <c r="R208" t="n">
        <v>4.896629883686251</v>
      </c>
      <c r="S208" t="n">
        <v>48</v>
      </c>
      <c r="T208" t="n">
        <v>24</v>
      </c>
      <c r="U208" t="n">
        <v>186</v>
      </c>
      <c r="V208" t="n">
        <v>1123</v>
      </c>
      <c r="W208" t="n">
        <v>15397</v>
      </c>
    </row>
    <row r="209">
      <c r="A209" t="inlineStr">
        <is>
          <t>Sariwangi Teh Hijau Celup isi 25</t>
        </is>
      </c>
      <c r="B209" t="inlineStr"/>
      <c r="C209" t="inlineStr">
        <is>
          <t>25%</t>
        </is>
      </c>
      <c r="D209" t="n">
        <v>8500</v>
      </c>
      <c r="E209" t="n">
        <v>11400</v>
      </c>
      <c r="F209" t="n">
        <v>8500</v>
      </c>
      <c r="G209" t="n">
        <v>11400</v>
      </c>
      <c r="H209" t="n">
        <v>8500</v>
      </c>
      <c r="I209" t="n">
        <v>11400</v>
      </c>
      <c r="J209" t="b">
        <v>1</v>
      </c>
      <c r="K209" t="inlineStr">
        <is>
          <t>Unilever Indonesia Official Shop</t>
        </is>
      </c>
      <c r="L209" t="inlineStr">
        <is>
          <t>KOTA BEKASI</t>
        </is>
      </c>
      <c r="M209" t="n">
        <v>7432162456</v>
      </c>
      <c r="N209" t="n">
        <v>14318452</v>
      </c>
      <c r="O209">
        <f>HYPERLINK("https://shopee.co.id/api/v4/item/get?itemid=7432162456&amp;shopid=14318452", "Sariwangi Teh Hijau Celup isi 25")</f>
        <v/>
      </c>
      <c r="P209" t="n">
        <v>1062</v>
      </c>
      <c r="Q209" t="n">
        <v>325</v>
      </c>
      <c r="R209" t="n">
        <v>4.902079494603843</v>
      </c>
      <c r="S209" t="n">
        <v>9</v>
      </c>
      <c r="T209" t="n">
        <v>10</v>
      </c>
      <c r="U209" t="n">
        <v>37</v>
      </c>
      <c r="V209" t="n">
        <v>235</v>
      </c>
      <c r="W209" t="n">
        <v>3509</v>
      </c>
    </row>
    <row r="210">
      <c r="A210" t="inlineStr">
        <is>
          <t>Lifebuoy Sabun Batang Antiseptik Total 10 4X110G</t>
        </is>
      </c>
      <c r="B210" t="inlineStr">
        <is>
          <t>None</t>
        </is>
      </c>
      <c r="C210" t="inlineStr">
        <is>
          <t>3%</t>
        </is>
      </c>
      <c r="D210" t="n">
        <v>26200</v>
      </c>
      <c r="E210" t="n">
        <v>26900</v>
      </c>
      <c r="F210" t="n">
        <v>26200</v>
      </c>
      <c r="G210" t="n">
        <v>26900</v>
      </c>
      <c r="H210" t="n">
        <v>26200</v>
      </c>
      <c r="I210" t="n">
        <v>26900</v>
      </c>
      <c r="J210" t="b">
        <v>1</v>
      </c>
      <c r="K210" t="inlineStr">
        <is>
          <t>Unilever Indonesia Official Shop</t>
        </is>
      </c>
      <c r="L210" t="inlineStr">
        <is>
          <t>KOTA BEKASI</t>
        </is>
      </c>
      <c r="M210" t="n">
        <v>6731996672</v>
      </c>
      <c r="N210" t="n">
        <v>14318452</v>
      </c>
      <c r="O210">
        <f>HYPERLINK("https://shopee.co.id/api/v4/item/get?itemid=6731996672&amp;shopid=14318452", "Lifebuoy Sabun Batang Antiseptik Total 10 4X110G")</f>
        <v/>
      </c>
      <c r="P210" t="n">
        <v>1782</v>
      </c>
      <c r="Q210" t="n">
        <v>1722</v>
      </c>
      <c r="R210" t="n">
        <v>4.938436373099372</v>
      </c>
      <c r="S210" t="n">
        <v>60</v>
      </c>
      <c r="T210" t="n">
        <v>22</v>
      </c>
      <c r="U210" t="n">
        <v>132</v>
      </c>
      <c r="V210" t="n">
        <v>1101</v>
      </c>
      <c r="W210" t="n">
        <v>25588</v>
      </c>
    </row>
    <row r="211">
      <c r="A211" t="inlineStr">
        <is>
          <t>Dove Shampoo Perawatan Rambut Rontok berkurang 99% dengan Nutri Serum dan Dynazinc 135ml</t>
        </is>
      </c>
      <c r="B211" t="inlineStr">
        <is>
          <t>0</t>
        </is>
      </c>
      <c r="C211" t="inlineStr">
        <is>
          <t>1%</t>
        </is>
      </c>
      <c r="D211" t="n">
        <v>28600</v>
      </c>
      <c r="E211" t="n">
        <v>28800</v>
      </c>
      <c r="F211" t="n">
        <v>28600</v>
      </c>
      <c r="G211" t="n">
        <v>28800</v>
      </c>
      <c r="H211" t="n">
        <v>28600</v>
      </c>
      <c r="I211" t="n">
        <v>28800</v>
      </c>
      <c r="J211" t="b">
        <v>1</v>
      </c>
      <c r="K211" t="inlineStr">
        <is>
          <t>Unilever Indonesia Official Shop</t>
        </is>
      </c>
      <c r="L211" t="inlineStr">
        <is>
          <t>KOTA BEKASI</t>
        </is>
      </c>
      <c r="M211" t="n">
        <v>126978034</v>
      </c>
      <c r="N211" t="n">
        <v>14318452</v>
      </c>
      <c r="O211">
        <f>HYPERLINK("https://shopee.co.id/api/v4/item/get?itemid=126978034&amp;shopid=14318452", "Dove Shampoo Perawatan Rambut Rontok berkurang 99% dengan Nutri Serum dan Dynazinc 135ml")</f>
        <v/>
      </c>
      <c r="P211" t="n">
        <v>335</v>
      </c>
      <c r="Q211" t="n">
        <v>766</v>
      </c>
      <c r="R211" t="n">
        <v>4.930167434805437</v>
      </c>
      <c r="S211" t="n">
        <v>31</v>
      </c>
      <c r="T211" t="n">
        <v>21</v>
      </c>
      <c r="U211" t="n">
        <v>95</v>
      </c>
      <c r="V211" t="n">
        <v>828</v>
      </c>
      <c r="W211" t="n">
        <v>16168</v>
      </c>
    </row>
    <row r="212">
      <c r="A212" t="inlineStr">
        <is>
          <t>Pond'S Day Cream Bright Beauty For Oily Skin 20G</t>
        </is>
      </c>
      <c r="B212" t="inlineStr">
        <is>
          <t>0</t>
        </is>
      </c>
      <c r="C212" t="inlineStr">
        <is>
          <t>9%</t>
        </is>
      </c>
      <c r="D212" t="n">
        <v>28500</v>
      </c>
      <c r="E212" t="n">
        <v>31200</v>
      </c>
      <c r="F212" t="n">
        <v>28500</v>
      </c>
      <c r="G212" t="n">
        <v>31200</v>
      </c>
      <c r="H212" t="n">
        <v>28500</v>
      </c>
      <c r="I212" t="n">
        <v>31200</v>
      </c>
      <c r="J212" t="b">
        <v>1</v>
      </c>
      <c r="K212" t="inlineStr">
        <is>
          <t>Unilever Indonesia Official Shop</t>
        </is>
      </c>
      <c r="L212" t="inlineStr">
        <is>
          <t>KOTA BEKASI</t>
        </is>
      </c>
      <c r="M212" t="n">
        <v>1019545706</v>
      </c>
      <c r="N212" t="n">
        <v>14318452</v>
      </c>
      <c r="O212">
        <f>HYPERLINK("https://shopee.co.id/api/v4/item/get?itemid=1019545706&amp;shopid=14318452", "Pond'S Day Cream Bright Beauty For Oily Skin 20G")</f>
        <v/>
      </c>
      <c r="P212" t="n">
        <v>625</v>
      </c>
      <c r="Q212" t="n">
        <v>679</v>
      </c>
      <c r="R212" t="n">
        <v>4.91467184877661</v>
      </c>
      <c r="S212" t="n">
        <v>20</v>
      </c>
      <c r="T212" t="n">
        <v>12</v>
      </c>
      <c r="U212" t="n">
        <v>81</v>
      </c>
      <c r="V212" t="n">
        <v>698</v>
      </c>
      <c r="W212" t="n">
        <v>10513</v>
      </c>
    </row>
    <row r="213">
      <c r="A213" t="inlineStr">
        <is>
          <t>Lux Botanicals Body Wash Refill Sakura Bloom Kulit Glowing 825ml</t>
        </is>
      </c>
      <c r="B213" t="inlineStr">
        <is>
          <t>0</t>
        </is>
      </c>
      <c r="C213" t="inlineStr">
        <is>
          <t>22%</t>
        </is>
      </c>
      <c r="D213" t="n">
        <v>38500</v>
      </c>
      <c r="E213" t="n">
        <v>49500</v>
      </c>
      <c r="F213" t="n">
        <v>38500</v>
      </c>
      <c r="G213" t="n">
        <v>49500</v>
      </c>
      <c r="H213" t="n">
        <v>38500</v>
      </c>
      <c r="I213" t="n">
        <v>49500</v>
      </c>
      <c r="J213" t="b">
        <v>1</v>
      </c>
      <c r="K213" t="inlineStr">
        <is>
          <t>Unilever Indonesia Official Shop</t>
        </is>
      </c>
      <c r="L213" t="inlineStr">
        <is>
          <t>KOTA BEKASI</t>
        </is>
      </c>
      <c r="M213" t="n">
        <v>2262726805</v>
      </c>
      <c r="N213" t="n">
        <v>14318452</v>
      </c>
      <c r="O213">
        <f>HYPERLINK("https://shopee.co.id/api/v4/item/get?itemid=2262726805&amp;shopid=14318452", "Lux Botanicals Body Wash Refill Sakura Bloom Kulit Glowing 825ml")</f>
        <v/>
      </c>
      <c r="P213" t="n">
        <v>1350</v>
      </c>
      <c r="Q213" t="n">
        <v>3732</v>
      </c>
      <c r="R213" t="n">
        <v>4.938813863030462</v>
      </c>
      <c r="S213" t="n">
        <v>50</v>
      </c>
      <c r="T213" t="n">
        <v>18</v>
      </c>
      <c r="U213" t="n">
        <v>127</v>
      </c>
      <c r="V213" t="n">
        <v>924</v>
      </c>
      <c r="W213" t="n">
        <v>21773</v>
      </c>
    </row>
    <row r="214">
      <c r="A214" t="inlineStr">
        <is>
          <t>Lifebuoy Body Wash Refill Antibacterial Mild Care 825ml Twin Pack</t>
        </is>
      </c>
      <c r="B214" t="inlineStr">
        <is>
          <t>Lifebuoy</t>
        </is>
      </c>
      <c r="C214" t="inlineStr">
        <is>
          <t>23%</t>
        </is>
      </c>
      <c r="D214" t="n">
        <v>86000</v>
      </c>
      <c r="E214" t="n">
        <v>111200</v>
      </c>
      <c r="F214" t="n">
        <v>86000</v>
      </c>
      <c r="G214" t="n">
        <v>111200</v>
      </c>
      <c r="H214" t="n">
        <v>86000</v>
      </c>
      <c r="I214" t="n">
        <v>111200</v>
      </c>
      <c r="J214" t="b">
        <v>1</v>
      </c>
      <c r="K214" t="inlineStr">
        <is>
          <t>Unilever Indonesia Official Shop</t>
        </is>
      </c>
      <c r="L214" t="inlineStr">
        <is>
          <t>KAB. DELI SERDANG</t>
        </is>
      </c>
      <c r="M214" t="n">
        <v>6331329171</v>
      </c>
      <c r="N214" t="n">
        <v>14318452</v>
      </c>
      <c r="O214">
        <f>HYPERLINK("https://shopee.co.id/api/v4/item/get?itemid=6331329171&amp;shopid=14318452", "Lifebuoy Body Wash Refill Antibacterial Mild Care 825ml Twin Pack")</f>
        <v/>
      </c>
      <c r="P214" t="n">
        <v>1013</v>
      </c>
      <c r="Q214" t="n">
        <v>23</v>
      </c>
      <c r="R214" t="n">
        <v>4.950559119032753</v>
      </c>
      <c r="S214" t="n">
        <v>26</v>
      </c>
      <c r="T214" t="n">
        <v>24</v>
      </c>
      <c r="U214" t="n">
        <v>64</v>
      </c>
      <c r="V214" t="n">
        <v>581</v>
      </c>
      <c r="W214" t="n">
        <v>16927</v>
      </c>
    </row>
    <row r="215">
      <c r="A215" t="inlineStr">
        <is>
          <t>Citra Sakura Glow Facial Foam 100 gr</t>
        </is>
      </c>
      <c r="B215" t="inlineStr">
        <is>
          <t>0</t>
        </is>
      </c>
      <c r="C215" t="inlineStr">
        <is>
          <t>3%</t>
        </is>
      </c>
      <c r="D215" t="n">
        <v>35200</v>
      </c>
      <c r="E215" t="n">
        <v>36200</v>
      </c>
      <c r="F215" t="n">
        <v>35200</v>
      </c>
      <c r="G215" t="n">
        <v>36200</v>
      </c>
      <c r="H215" t="n">
        <v>35200</v>
      </c>
      <c r="I215" t="n">
        <v>36200</v>
      </c>
      <c r="J215" t="b">
        <v>1</v>
      </c>
      <c r="K215" t="inlineStr">
        <is>
          <t>Unilever Indonesia Official Shop</t>
        </is>
      </c>
      <c r="L215" t="inlineStr">
        <is>
          <t>KOTA BEKASI</t>
        </is>
      </c>
      <c r="M215" t="n">
        <v>986464310</v>
      </c>
      <c r="N215" t="n">
        <v>14318452</v>
      </c>
      <c r="O215">
        <f>HYPERLINK("https://shopee.co.id/api/v4/item/get?itemid=986464310&amp;shopid=14318452", "Citra Sakura Glow Facial Foam 100 gr")</f>
        <v/>
      </c>
      <c r="P215" t="n">
        <v>442</v>
      </c>
      <c r="Q215" t="n">
        <v>329</v>
      </c>
      <c r="R215" t="n">
        <v>4.922692376361364</v>
      </c>
      <c r="S215" t="n">
        <v>15</v>
      </c>
      <c r="T215" t="n">
        <v>7</v>
      </c>
      <c r="U215" t="n">
        <v>68</v>
      </c>
      <c r="V215" t="n">
        <v>656</v>
      </c>
      <c r="W215" t="n">
        <v>10458</v>
      </c>
    </row>
    <row r="216">
      <c r="A216" t="inlineStr">
        <is>
          <t>Vaseline Superfood Skin Serum Cranberry 200 ml</t>
        </is>
      </c>
      <c r="B216" t="inlineStr">
        <is>
          <t>0</t>
        </is>
      </c>
      <c r="C216" t="inlineStr">
        <is>
          <t>13%</t>
        </is>
      </c>
      <c r="D216" t="n">
        <v>34500</v>
      </c>
      <c r="E216" t="n">
        <v>39700</v>
      </c>
      <c r="F216" t="n">
        <v>34500</v>
      </c>
      <c r="G216" t="n">
        <v>39700</v>
      </c>
      <c r="H216" t="n">
        <v>34500</v>
      </c>
      <c r="I216" t="n">
        <v>39700</v>
      </c>
      <c r="J216" t="b">
        <v>1</v>
      </c>
      <c r="K216" t="inlineStr">
        <is>
          <t>Unilever Indonesia Official Shop</t>
        </is>
      </c>
      <c r="L216" t="inlineStr">
        <is>
          <t>KOTA BEKASI</t>
        </is>
      </c>
      <c r="M216" t="n">
        <v>2534799274</v>
      </c>
      <c r="N216" t="n">
        <v>14318452</v>
      </c>
      <c r="O216">
        <f>HYPERLINK("https://shopee.co.id/api/v4/item/get?itemid=2534799274&amp;shopid=14318452", "Vaseline Superfood Skin Serum Cranberry 200 ml")</f>
        <v/>
      </c>
      <c r="P216" t="n">
        <v>126</v>
      </c>
      <c r="Q216" t="n">
        <v>1190</v>
      </c>
      <c r="R216" t="n">
        <v>4.934993961352657</v>
      </c>
      <c r="S216" t="n">
        <v>45</v>
      </c>
      <c r="T216" t="n">
        <v>34</v>
      </c>
      <c r="U216" t="n">
        <v>158</v>
      </c>
      <c r="V216" t="n">
        <v>1555</v>
      </c>
      <c r="W216" t="n">
        <v>31328</v>
      </c>
    </row>
    <row r="217">
      <c r="A217" t="inlineStr">
        <is>
          <t>Ponds Whip Facial Foam Sabun Cuci Muka Bright Beauty With 10X Collagen Serum 100 G</t>
        </is>
      </c>
      <c r="B217" t="inlineStr"/>
      <c r="C217" t="inlineStr">
        <is>
          <t>13%</t>
        </is>
      </c>
      <c r="D217" t="n">
        <v>31600</v>
      </c>
      <c r="E217" t="n">
        <v>36500</v>
      </c>
      <c r="F217" t="n">
        <v>31600</v>
      </c>
      <c r="G217" t="n">
        <v>36500</v>
      </c>
      <c r="H217" t="n">
        <v>31600</v>
      </c>
      <c r="I217" t="n">
        <v>36500</v>
      </c>
      <c r="J217" t="b">
        <v>1</v>
      </c>
      <c r="K217" t="inlineStr">
        <is>
          <t>Unilever Indonesia Official Shop</t>
        </is>
      </c>
      <c r="L217" t="inlineStr">
        <is>
          <t>KOTA BEKASI</t>
        </is>
      </c>
      <c r="M217" t="n">
        <v>4863068629</v>
      </c>
      <c r="N217" t="n">
        <v>14318452</v>
      </c>
      <c r="O217">
        <f>HYPERLINK("https://shopee.co.id/api/v4/item/get?itemid=4863068629&amp;shopid=14318452", "Ponds Whip Facial Foam Sabun Cuci Muka Bright Beauty With 10X Collagen Serum 100 G")</f>
        <v/>
      </c>
      <c r="P217" t="n">
        <v>514</v>
      </c>
      <c r="Q217" t="n">
        <v>1389</v>
      </c>
      <c r="R217" t="n">
        <v>4.926296140181851</v>
      </c>
      <c r="S217" t="n">
        <v>25</v>
      </c>
      <c r="T217" t="n">
        <v>20</v>
      </c>
      <c r="U217" t="n">
        <v>94</v>
      </c>
      <c r="V217" t="n">
        <v>899</v>
      </c>
      <c r="W217" t="n">
        <v>15576</v>
      </c>
    </row>
    <row r="218">
      <c r="A218" t="inlineStr">
        <is>
          <t>Lifebuoy Body Wash Refill Cool Fresh Antibakteri 400ml</t>
        </is>
      </c>
      <c r="B218" t="inlineStr">
        <is>
          <t>Lifebuoy</t>
        </is>
      </c>
      <c r="C218" t="inlineStr">
        <is>
          <t>24%</t>
        </is>
      </c>
      <c r="D218" t="n">
        <v>22500</v>
      </c>
      <c r="E218" t="n">
        <v>29500</v>
      </c>
      <c r="F218" t="n">
        <v>22500</v>
      </c>
      <c r="G218" t="n">
        <v>29500</v>
      </c>
      <c r="H218" t="n">
        <v>22500</v>
      </c>
      <c r="I218" t="n">
        <v>29500</v>
      </c>
      <c r="J218" t="b">
        <v>1</v>
      </c>
      <c r="K218" t="inlineStr">
        <is>
          <t>Unilever Indonesia Official Shop</t>
        </is>
      </c>
      <c r="L218" t="inlineStr">
        <is>
          <t>KOTA BEKASI</t>
        </is>
      </c>
      <c r="M218" t="n">
        <v>224776393</v>
      </c>
      <c r="N218" t="n">
        <v>14318452</v>
      </c>
      <c r="O218">
        <f>HYPERLINK("https://shopee.co.id/api/v4/item/get?itemid=224776393&amp;shopid=14318452", "Lifebuoy Body Wash Refill Cool Fresh Antibakteri 400ml")</f>
        <v/>
      </c>
      <c r="P218" t="n">
        <v>478</v>
      </c>
      <c r="Q218" t="n">
        <v>2</v>
      </c>
      <c r="R218" t="n">
        <v>4.931790601330711</v>
      </c>
      <c r="S218" t="n">
        <v>56</v>
      </c>
      <c r="T218" t="n">
        <v>32</v>
      </c>
      <c r="U218" t="n">
        <v>126</v>
      </c>
      <c r="V218" t="n">
        <v>1074</v>
      </c>
      <c r="W218" t="n">
        <v>22615</v>
      </c>
    </row>
    <row r="219">
      <c r="A219" t="inlineStr">
        <is>
          <t>VASELINE STRAWBERRY BODY YOGURT WITH PREBIOTICS 200ML</t>
        </is>
      </c>
      <c r="B219" t="inlineStr">
        <is>
          <t>Vaseline</t>
        </is>
      </c>
      <c r="C219" t="inlineStr">
        <is>
          <t>12%</t>
        </is>
      </c>
      <c r="D219" t="n">
        <v>28200</v>
      </c>
      <c r="E219" t="n">
        <v>32100</v>
      </c>
      <c r="F219" t="n">
        <v>28200</v>
      </c>
      <c r="G219" t="n">
        <v>32100</v>
      </c>
      <c r="H219" t="n">
        <v>28200</v>
      </c>
      <c r="I219" t="n">
        <v>32100</v>
      </c>
      <c r="J219" t="b">
        <v>1</v>
      </c>
      <c r="K219" t="inlineStr">
        <is>
          <t>Unilever Indonesia Official Shop</t>
        </is>
      </c>
      <c r="L219" t="inlineStr">
        <is>
          <t>KAB. BANYUASIN</t>
        </is>
      </c>
      <c r="M219" t="n">
        <v>6456140791</v>
      </c>
      <c r="N219" t="n">
        <v>14318452</v>
      </c>
      <c r="O219">
        <f>HYPERLINK("https://shopee.co.id/api/v4/item/get?itemid=6456140791&amp;shopid=14318452", "VASELINE STRAWBERRY BODY YOGURT WITH PREBIOTICS 200ML")</f>
        <v/>
      </c>
      <c r="P219" t="n">
        <v>335</v>
      </c>
      <c r="Q219" t="n">
        <v>164</v>
      </c>
      <c r="R219" t="n">
        <v>4.93137768465165</v>
      </c>
      <c r="S219" t="n">
        <v>15</v>
      </c>
      <c r="T219" t="n">
        <v>11</v>
      </c>
      <c r="U219" t="n">
        <v>53</v>
      </c>
      <c r="V219" t="n">
        <v>597</v>
      </c>
      <c r="W219" t="n">
        <v>10781</v>
      </c>
    </row>
    <row r="220">
      <c r="A220" t="inlineStr">
        <is>
          <t>Vaseline Lotion Healthy Bright UV Extra Brightening 200ml Twin Pack</t>
        </is>
      </c>
      <c r="B220" t="inlineStr">
        <is>
          <t>0</t>
        </is>
      </c>
      <c r="C220" t="inlineStr">
        <is>
          <t>12%</t>
        </is>
      </c>
      <c r="D220" t="n">
        <v>57000</v>
      </c>
      <c r="E220" t="n">
        <v>64800</v>
      </c>
      <c r="F220" t="n">
        <v>57000</v>
      </c>
      <c r="G220" t="n">
        <v>64800</v>
      </c>
      <c r="H220" t="n">
        <v>57000</v>
      </c>
      <c r="I220" t="n">
        <v>64800</v>
      </c>
      <c r="J220" t="b">
        <v>1</v>
      </c>
      <c r="K220" t="inlineStr">
        <is>
          <t>Unilever Indonesia Official Shop</t>
        </is>
      </c>
      <c r="L220" t="inlineStr">
        <is>
          <t>KOTA BEKASI</t>
        </is>
      </c>
      <c r="M220" t="n">
        <v>6831759499</v>
      </c>
      <c r="N220" t="n">
        <v>14318452</v>
      </c>
      <c r="O220">
        <f>HYPERLINK("https://shopee.co.id/api/v4/item/get?itemid=6831759499&amp;shopid=14318452", "Vaseline Lotion Healthy Bright UV Extra Brightening 200ml Twin Pack")</f>
        <v/>
      </c>
      <c r="P220" t="n">
        <v>215</v>
      </c>
      <c r="Q220" t="n">
        <v>1229</v>
      </c>
      <c r="R220" t="n">
        <v>4.901293103448276</v>
      </c>
      <c r="S220" t="n">
        <v>9</v>
      </c>
      <c r="T220" t="n">
        <v>6</v>
      </c>
      <c r="U220" t="n">
        <v>31</v>
      </c>
      <c r="V220" t="n">
        <v>113</v>
      </c>
      <c r="W220" t="n">
        <v>2161</v>
      </c>
    </row>
    <row r="221">
      <c r="A221" t="inlineStr">
        <is>
          <t xml:space="preserve">Citra Marine Collagen Body Scrub 100 Ml
</t>
        </is>
      </c>
      <c r="B221" t="inlineStr">
        <is>
          <t>None</t>
        </is>
      </c>
      <c r="C221" t="inlineStr">
        <is>
          <t>1%</t>
        </is>
      </c>
      <c r="D221" t="n">
        <v>19200</v>
      </c>
      <c r="E221" t="n">
        <v>19300</v>
      </c>
      <c r="F221" t="n">
        <v>19200</v>
      </c>
      <c r="G221" t="n">
        <v>19300</v>
      </c>
      <c r="H221" t="n">
        <v>19200</v>
      </c>
      <c r="I221" t="n">
        <v>19300</v>
      </c>
      <c r="J221" t="b">
        <v>0</v>
      </c>
      <c r="K221" t="inlineStr">
        <is>
          <t>Unilever Indonesia Official Shop</t>
        </is>
      </c>
      <c r="L221" t="inlineStr">
        <is>
          <t>KAB. DELI SERDANG</t>
        </is>
      </c>
      <c r="M221" t="n">
        <v>6480267153</v>
      </c>
      <c r="N221" t="n">
        <v>14318452</v>
      </c>
      <c r="O221">
        <f>HYPERLINK("https://shopee.co.id/api/v4/item/get?itemid=6480267153&amp;shopid=14318452", "Citra Marine Collagen Body Scrub 100 Ml
")</f>
        <v/>
      </c>
      <c r="P221" t="n">
        <v>513</v>
      </c>
      <c r="Q221" t="n">
        <v>125</v>
      </c>
      <c r="R221" t="n">
        <v>4.908313444709626</v>
      </c>
      <c r="S221" t="n">
        <v>12</v>
      </c>
      <c r="T221" t="n">
        <v>4</v>
      </c>
      <c r="U221" t="n">
        <v>42</v>
      </c>
      <c r="V221" t="n">
        <v>317</v>
      </c>
      <c r="W221" t="n">
        <v>4653</v>
      </c>
    </row>
    <row r="222">
      <c r="A222" t="inlineStr">
        <is>
          <t>Pepsodent Pasta Gigi Toothpaste Complete 8 Multi Protection Anti Bakteri 150 gr</t>
        </is>
      </c>
      <c r="B222" t="inlineStr">
        <is>
          <t>Pepsodent</t>
        </is>
      </c>
      <c r="C222" t="inlineStr">
        <is>
          <t>10%</t>
        </is>
      </c>
      <c r="D222" t="n">
        <v>16600</v>
      </c>
      <c r="E222" t="n">
        <v>18500</v>
      </c>
      <c r="F222" t="n">
        <v>16600</v>
      </c>
      <c r="G222" t="n">
        <v>18500</v>
      </c>
      <c r="H222" t="n">
        <v>16600</v>
      </c>
      <c r="I222" t="n">
        <v>18500</v>
      </c>
      <c r="J222" t="b">
        <v>1</v>
      </c>
      <c r="K222" t="inlineStr">
        <is>
          <t>Unilever Indonesia Official Shop</t>
        </is>
      </c>
      <c r="L222" t="inlineStr">
        <is>
          <t>KAB. BANYUASIN</t>
        </is>
      </c>
      <c r="M222" t="n">
        <v>7057024390</v>
      </c>
      <c r="N222" t="n">
        <v>14318452</v>
      </c>
      <c r="O222">
        <f>HYPERLINK("https://shopee.co.id/api/v4/item/get?itemid=7057024390&amp;shopid=14318452", "Pepsodent Pasta Gigi Toothpaste Complete 8 Multi Protection Anti Bakteri 150 gr")</f>
        <v/>
      </c>
      <c r="P222" t="n">
        <v>1665</v>
      </c>
      <c r="Q222" t="n">
        <v>169</v>
      </c>
      <c r="R222" t="n">
        <v>4.932635233508791</v>
      </c>
      <c r="S222" t="n">
        <v>33</v>
      </c>
      <c r="T222" t="n">
        <v>14</v>
      </c>
      <c r="U222" t="n">
        <v>101</v>
      </c>
      <c r="V222" t="n">
        <v>830</v>
      </c>
      <c r="W222" t="n">
        <v>16884</v>
      </c>
    </row>
    <row r="223">
      <c r="A223" t="inlineStr">
        <is>
          <t>Citra Natural Glow UV Hand &amp; Body Lotion 120 ml</t>
        </is>
      </c>
      <c r="B223" t="inlineStr">
        <is>
          <t>0</t>
        </is>
      </c>
      <c r="C223" t="inlineStr">
        <is>
          <t>1%</t>
        </is>
      </c>
      <c r="D223" t="n">
        <v>15300</v>
      </c>
      <c r="E223" t="n">
        <v>15400</v>
      </c>
      <c r="F223" t="n">
        <v>15300</v>
      </c>
      <c r="G223" t="n">
        <v>15400</v>
      </c>
      <c r="H223" t="n">
        <v>15300</v>
      </c>
      <c r="I223" t="n">
        <v>15400</v>
      </c>
      <c r="J223" t="b">
        <v>1</v>
      </c>
      <c r="K223" t="inlineStr">
        <is>
          <t>Unilever Indonesia Official Shop</t>
        </is>
      </c>
      <c r="L223" t="inlineStr">
        <is>
          <t>KOTA BEKASI</t>
        </is>
      </c>
      <c r="M223" t="n">
        <v>1084007880</v>
      </c>
      <c r="N223" t="n">
        <v>14318452</v>
      </c>
      <c r="O223">
        <f>HYPERLINK("https://shopee.co.id/api/v4/item/get?itemid=1084007880&amp;shopid=14318452", "Citra Natural Glow UV Hand &amp; Body Lotion 120 ml")</f>
        <v/>
      </c>
      <c r="P223" t="n">
        <v>542</v>
      </c>
      <c r="Q223" t="n">
        <v>2698</v>
      </c>
      <c r="R223" t="n">
        <v>4.905769643240151</v>
      </c>
      <c r="S223" t="n">
        <v>39</v>
      </c>
      <c r="T223" t="n">
        <v>19</v>
      </c>
      <c r="U223" t="n">
        <v>119</v>
      </c>
      <c r="V223" t="n">
        <v>875</v>
      </c>
      <c r="W223" t="n">
        <v>12937</v>
      </c>
    </row>
    <row r="224">
      <c r="A224" t="inlineStr">
        <is>
          <t>Dove Deodorant Powder Soft 40ml Anti Bakteri</t>
        </is>
      </c>
      <c r="B224" t="inlineStr">
        <is>
          <t>0</t>
        </is>
      </c>
      <c r="C224" t="inlineStr">
        <is>
          <t>18%</t>
        </is>
      </c>
      <c r="D224" t="n">
        <v>20200</v>
      </c>
      <c r="E224" t="n">
        <v>24700</v>
      </c>
      <c r="F224" t="n">
        <v>20200</v>
      </c>
      <c r="G224" t="n">
        <v>24700</v>
      </c>
      <c r="H224" t="n">
        <v>20200</v>
      </c>
      <c r="I224" t="n">
        <v>24700</v>
      </c>
      <c r="J224" t="b">
        <v>1</v>
      </c>
      <c r="K224" t="inlineStr">
        <is>
          <t>Unilever Indonesia Official Shop</t>
        </is>
      </c>
      <c r="L224" t="inlineStr">
        <is>
          <t>KOTA BEKASI</t>
        </is>
      </c>
      <c r="M224" t="n">
        <v>126957905</v>
      </c>
      <c r="N224" t="n">
        <v>14318452</v>
      </c>
      <c r="O224">
        <f>HYPERLINK("https://shopee.co.id/api/v4/item/get?itemid=126957905&amp;shopid=14318452", "Dove Deodorant Powder Soft 40ml Anti Bakteri")</f>
        <v/>
      </c>
      <c r="P224" t="n">
        <v>619</v>
      </c>
      <c r="Q224" t="n">
        <v>349</v>
      </c>
      <c r="R224" t="n">
        <v>4.923238897396631</v>
      </c>
      <c r="S224" t="n">
        <v>19</v>
      </c>
      <c r="T224" t="n">
        <v>11</v>
      </c>
      <c r="U224" t="n">
        <v>72</v>
      </c>
      <c r="V224" t="n">
        <v>549</v>
      </c>
      <c r="W224" t="n">
        <v>9798</v>
      </c>
    </row>
    <row r="225">
      <c r="A225" t="inlineStr">
        <is>
          <t>Citra Lotion Pearly Glow UV Hand &amp; Body 230 ml</t>
        </is>
      </c>
      <c r="B225" t="inlineStr">
        <is>
          <t>0</t>
        </is>
      </c>
      <c r="C225" t="inlineStr">
        <is>
          <t>1%</t>
        </is>
      </c>
      <c r="D225" t="n">
        <v>26800</v>
      </c>
      <c r="E225" t="n">
        <v>27000</v>
      </c>
      <c r="F225" t="n">
        <v>26800</v>
      </c>
      <c r="G225" t="n">
        <v>27000</v>
      </c>
      <c r="H225" t="n">
        <v>26800</v>
      </c>
      <c r="I225" t="n">
        <v>27000</v>
      </c>
      <c r="J225" t="b">
        <v>1</v>
      </c>
      <c r="K225" t="inlineStr">
        <is>
          <t>Unilever Indonesia Official Shop</t>
        </is>
      </c>
      <c r="L225" t="inlineStr">
        <is>
          <t>KOTA BEKASI</t>
        </is>
      </c>
      <c r="M225" t="n">
        <v>1026011537</v>
      </c>
      <c r="N225" t="n">
        <v>14318452</v>
      </c>
      <c r="O225">
        <f>HYPERLINK("https://shopee.co.id/api/v4/item/get?itemid=1026011537&amp;shopid=14318452", "Citra Lotion Pearly Glow UV Hand &amp; Body 230 ml")</f>
        <v/>
      </c>
      <c r="P225" t="n">
        <v>563</v>
      </c>
      <c r="Q225" t="n">
        <v>675</v>
      </c>
      <c r="R225" t="n">
        <v>4.921963345681419</v>
      </c>
      <c r="S225" t="n">
        <v>44</v>
      </c>
      <c r="T225" t="n">
        <v>27</v>
      </c>
      <c r="U225" t="n">
        <v>123</v>
      </c>
      <c r="V225" t="n">
        <v>1109</v>
      </c>
      <c r="W225" t="n">
        <v>19216</v>
      </c>
    </row>
    <row r="226">
      <c r="A226" t="inlineStr">
        <is>
          <t>Vaseline Lotion Healthy Bright Night Repair 200ml</t>
        </is>
      </c>
      <c r="B226" t="inlineStr">
        <is>
          <t>0</t>
        </is>
      </c>
      <c r="C226" t="inlineStr">
        <is>
          <t>9%</t>
        </is>
      </c>
      <c r="D226" t="n">
        <v>44300</v>
      </c>
      <c r="E226" t="n">
        <v>48800</v>
      </c>
      <c r="F226" t="n">
        <v>44300</v>
      </c>
      <c r="G226" t="n">
        <v>48800</v>
      </c>
      <c r="H226" t="n">
        <v>44300</v>
      </c>
      <c r="I226" t="n">
        <v>48800</v>
      </c>
      <c r="J226" t="b">
        <v>1</v>
      </c>
      <c r="K226" t="inlineStr">
        <is>
          <t>Unilever Indonesia Official Shop</t>
        </is>
      </c>
      <c r="L226" t="inlineStr">
        <is>
          <t>KOTA BEKASI</t>
        </is>
      </c>
      <c r="M226" t="n">
        <v>127345853</v>
      </c>
      <c r="N226" t="n">
        <v>14318452</v>
      </c>
      <c r="O226">
        <f>HYPERLINK("https://shopee.co.id/api/v4/item/get?itemid=127345853&amp;shopid=14318452", "Vaseline Lotion Healthy Bright Night Repair 200ml")</f>
        <v/>
      </c>
      <c r="P226" t="n">
        <v>350</v>
      </c>
      <c r="Q226" t="n">
        <v>1268</v>
      </c>
      <c r="R226" t="n">
        <v>4.923253366435492</v>
      </c>
      <c r="S226" t="n">
        <v>84</v>
      </c>
      <c r="T226" t="n">
        <v>54</v>
      </c>
      <c r="U226" t="n">
        <v>225</v>
      </c>
      <c r="V226" t="n">
        <v>1916</v>
      </c>
      <c r="W226" t="n">
        <v>34784</v>
      </c>
    </row>
    <row r="227">
      <c r="A227" t="inlineStr">
        <is>
          <t>Pepsodent Pasta Gigi Toothpaste Complete 8 Multi Protection Anti Bakteri 65 gr</t>
        </is>
      </c>
      <c r="B227" t="inlineStr">
        <is>
          <t>Pepsodent</t>
        </is>
      </c>
      <c r="C227" t="inlineStr">
        <is>
          <t>10%</t>
        </is>
      </c>
      <c r="D227" t="n">
        <v>7300</v>
      </c>
      <c r="E227" t="n">
        <v>8100</v>
      </c>
      <c r="F227" t="n">
        <v>7300</v>
      </c>
      <c r="G227" t="n">
        <v>8100</v>
      </c>
      <c r="H227" t="n">
        <v>7300</v>
      </c>
      <c r="I227" t="n">
        <v>8100</v>
      </c>
      <c r="J227" t="b">
        <v>1</v>
      </c>
      <c r="K227" t="inlineStr">
        <is>
          <t>Unilever Indonesia Official Shop</t>
        </is>
      </c>
      <c r="L227" t="inlineStr">
        <is>
          <t>KOTA BEKASI</t>
        </is>
      </c>
      <c r="M227" t="n">
        <v>6857014512</v>
      </c>
      <c r="N227" t="n">
        <v>14318452</v>
      </c>
      <c r="O227">
        <f>HYPERLINK("https://shopee.co.id/api/v4/item/get?itemid=6857014512&amp;shopid=14318452", "Pepsodent Pasta Gigi Toothpaste Complete 8 Multi Protection Anti Bakteri 65 gr")</f>
        <v/>
      </c>
      <c r="P227" t="n">
        <v>542</v>
      </c>
      <c r="Q227" t="n">
        <v>811</v>
      </c>
      <c r="R227" t="n">
        <v>4.927007299270073</v>
      </c>
      <c r="S227" t="n">
        <v>10</v>
      </c>
      <c r="T227" t="n">
        <v>5</v>
      </c>
      <c r="U227" t="n">
        <v>31</v>
      </c>
      <c r="V227" t="n">
        <v>356</v>
      </c>
      <c r="W227" t="n">
        <v>6038</v>
      </c>
    </row>
    <row r="228">
      <c r="A228" t="inlineStr">
        <is>
          <t>Tresemme Hair Conditioner Keratin Smooth Rambut Lembut 48 Jam* W Hydrolyzed Keratin 170Ml</t>
        </is>
      </c>
      <c r="B228" t="inlineStr">
        <is>
          <t>0</t>
        </is>
      </c>
      <c r="C228" t="inlineStr">
        <is>
          <t>11%</t>
        </is>
      </c>
      <c r="D228" t="n">
        <v>34800</v>
      </c>
      <c r="E228" t="n">
        <v>39100</v>
      </c>
      <c r="F228" t="n">
        <v>34800</v>
      </c>
      <c r="G228" t="n">
        <v>39100</v>
      </c>
      <c r="H228" t="n">
        <v>34800</v>
      </c>
      <c r="I228" t="n">
        <v>39100</v>
      </c>
      <c r="J228" t="b">
        <v>1</v>
      </c>
      <c r="K228" t="inlineStr">
        <is>
          <t>Unilever Indonesia Official Shop</t>
        </is>
      </c>
      <c r="L228" t="inlineStr">
        <is>
          <t>KOTA BEKASI</t>
        </is>
      </c>
      <c r="M228" t="n">
        <v>1515340682</v>
      </c>
      <c r="N228" t="n">
        <v>14318452</v>
      </c>
      <c r="O228">
        <f>HYPERLINK("https://shopee.co.id/api/v4/item/get?itemid=1515340682&amp;shopid=14318452", "Tresemme Hair Conditioner Keratin Smooth Rambut Lembut 48 Jam* W Hydrolyzed Keratin 170Ml")</f>
        <v/>
      </c>
      <c r="P228" t="n">
        <v>2208</v>
      </c>
      <c r="Q228" t="n">
        <v>1480</v>
      </c>
      <c r="R228" t="n">
        <v>4.895519669742593</v>
      </c>
      <c r="S228" t="n">
        <v>124</v>
      </c>
      <c r="T228" t="n">
        <v>103</v>
      </c>
      <c r="U228" t="n">
        <v>334</v>
      </c>
      <c r="V228" t="n">
        <v>2012</v>
      </c>
      <c r="W228" t="n">
        <v>30384</v>
      </c>
    </row>
    <row r="229">
      <c r="A229" t="inlineStr">
        <is>
          <t>Rexona Deodorant Dry Serum Whitening Fresh Sakura 50ml Anti Bakteri</t>
        </is>
      </c>
      <c r="B229" t="inlineStr">
        <is>
          <t>0</t>
        </is>
      </c>
      <c r="C229" t="inlineStr">
        <is>
          <t>20%</t>
        </is>
      </c>
      <c r="D229" t="n">
        <v>19000</v>
      </c>
      <c r="E229" t="n">
        <v>23800</v>
      </c>
      <c r="F229" t="n">
        <v>19000</v>
      </c>
      <c r="G229" t="n">
        <v>23800</v>
      </c>
      <c r="H229" t="n">
        <v>19000</v>
      </c>
      <c r="I229" t="n">
        <v>23800</v>
      </c>
      <c r="J229" t="b">
        <v>1</v>
      </c>
      <c r="K229" t="inlineStr">
        <is>
          <t>Unilever Indonesia Official Shop</t>
        </is>
      </c>
      <c r="L229" t="inlineStr">
        <is>
          <t>KOTA BEKASI</t>
        </is>
      </c>
      <c r="M229" t="n">
        <v>2497133881</v>
      </c>
      <c r="N229" t="n">
        <v>14318452</v>
      </c>
      <c r="O229">
        <f>HYPERLINK("https://shopee.co.id/api/v4/item/get?itemid=2497133881&amp;shopid=14318452", "Rexona Deodorant Dry Serum Whitening Fresh Sakura 50ml Anti Bakteri")</f>
        <v/>
      </c>
      <c r="P229" t="n">
        <v>604</v>
      </c>
      <c r="Q229" t="n">
        <v>5617</v>
      </c>
      <c r="R229" t="n">
        <v>4.927790155965161</v>
      </c>
      <c r="S229" t="n">
        <v>41</v>
      </c>
      <c r="T229" t="n">
        <v>28</v>
      </c>
      <c r="U229" t="n">
        <v>175</v>
      </c>
      <c r="V229" t="n">
        <v>1541</v>
      </c>
      <c r="W229" t="n">
        <v>27837</v>
      </c>
    </row>
    <row r="230">
      <c r="A230" t="inlineStr">
        <is>
          <t>Lifebuoy Sabun Mandi Cair Antiseptik Lemon Fresh 250Ml</t>
        </is>
      </c>
      <c r="B230" t="inlineStr">
        <is>
          <t>Lifebuoy</t>
        </is>
      </c>
      <c r="C230" t="inlineStr">
        <is>
          <t>30%</t>
        </is>
      </c>
      <c r="D230" t="n">
        <v>18300</v>
      </c>
      <c r="E230" t="n">
        <v>26100</v>
      </c>
      <c r="F230" t="n">
        <v>18300</v>
      </c>
      <c r="G230" t="n">
        <v>26100</v>
      </c>
      <c r="H230" t="n">
        <v>18300</v>
      </c>
      <c r="I230" t="n">
        <v>26100</v>
      </c>
      <c r="J230" t="b">
        <v>1</v>
      </c>
      <c r="K230" t="inlineStr">
        <is>
          <t>Unilever Indonesia Official Shop</t>
        </is>
      </c>
      <c r="L230" t="inlineStr">
        <is>
          <t>KOTA BEKASI</t>
        </is>
      </c>
      <c r="M230" t="n">
        <v>5365312084</v>
      </c>
      <c r="N230" t="n">
        <v>14318452</v>
      </c>
      <c r="O230">
        <f>HYPERLINK("https://shopee.co.id/api/v4/item/get?itemid=5365312084&amp;shopid=14318452", "Lifebuoy Sabun Mandi Cair Antiseptik Lemon Fresh 250Ml")</f>
        <v/>
      </c>
      <c r="P230" t="n">
        <v>287</v>
      </c>
      <c r="Q230" t="n">
        <v>311</v>
      </c>
      <c r="R230" t="n">
        <v>4.897142857142857</v>
      </c>
      <c r="S230" t="n">
        <v>4</v>
      </c>
      <c r="T230" t="n">
        <v>3</v>
      </c>
      <c r="U230" t="n">
        <v>21</v>
      </c>
      <c r="V230" t="n">
        <v>134</v>
      </c>
      <c r="W230" t="n">
        <v>1764</v>
      </c>
    </row>
    <row r="231">
      <c r="A231" t="inlineStr">
        <is>
          <t>Zwitsal Baby Cologne Soft Touch Perawatan Bayi Natural Cologne Anak 100Ml</t>
        </is>
      </c>
      <c r="B231" t="inlineStr">
        <is>
          <t>Zwitsal</t>
        </is>
      </c>
      <c r="C231" t="inlineStr">
        <is>
          <t>18%</t>
        </is>
      </c>
      <c r="D231" t="n">
        <v>19700</v>
      </c>
      <c r="E231" t="n">
        <v>24000</v>
      </c>
      <c r="F231" t="n">
        <v>19700</v>
      </c>
      <c r="G231" t="n">
        <v>24000</v>
      </c>
      <c r="H231" t="n">
        <v>19700</v>
      </c>
      <c r="I231" t="n">
        <v>24000</v>
      </c>
      <c r="J231" t="b">
        <v>1</v>
      </c>
      <c r="K231" t="inlineStr">
        <is>
          <t>Unilever Indonesia Official Shop</t>
        </is>
      </c>
      <c r="L231" t="inlineStr">
        <is>
          <t>KOTA BEKASI</t>
        </is>
      </c>
      <c r="M231" t="n">
        <v>1026005009</v>
      </c>
      <c r="N231" t="n">
        <v>14318452</v>
      </c>
      <c r="O231">
        <f>HYPERLINK("https://shopee.co.id/api/v4/item/get?itemid=1026005009&amp;shopid=14318452", "Zwitsal Baby Cologne Soft Touch Perawatan Bayi Natural Cologne Anak 100Ml")</f>
        <v/>
      </c>
      <c r="P231" t="n">
        <v>907</v>
      </c>
      <c r="Q231" t="n">
        <v>7076</v>
      </c>
      <c r="R231" t="n">
        <v>4.926245348410075</v>
      </c>
      <c r="S231" t="n">
        <v>107</v>
      </c>
      <c r="T231" t="n">
        <v>78</v>
      </c>
      <c r="U231" t="n">
        <v>386</v>
      </c>
      <c r="V231" t="n">
        <v>3207</v>
      </c>
      <c r="W231" t="n">
        <v>58843</v>
      </c>
    </row>
    <row r="232">
      <c r="A232" t="inlineStr">
        <is>
          <t>Tresemme Shampo Rambut Scalp Care 170ml Anti Ketombe dan Rontok with Tea Tree Oil</t>
        </is>
      </c>
      <c r="B232" t="inlineStr">
        <is>
          <t>Tresemme</t>
        </is>
      </c>
      <c r="C232" t="inlineStr">
        <is>
          <t>11%</t>
        </is>
      </c>
      <c r="D232" t="n">
        <v>33000</v>
      </c>
      <c r="E232" t="n">
        <v>37100</v>
      </c>
      <c r="F232" t="n">
        <v>33000</v>
      </c>
      <c r="G232" t="n">
        <v>37100</v>
      </c>
      <c r="H232" t="n">
        <v>33000</v>
      </c>
      <c r="I232" t="n">
        <v>37100</v>
      </c>
      <c r="J232" t="b">
        <v>1</v>
      </c>
      <c r="K232" t="inlineStr">
        <is>
          <t>Unilever Indonesia Official Shop</t>
        </is>
      </c>
      <c r="L232" t="inlineStr">
        <is>
          <t>KOTA BEKASI</t>
        </is>
      </c>
      <c r="M232" t="n">
        <v>1515340757</v>
      </c>
      <c r="N232" t="n">
        <v>14318452</v>
      </c>
      <c r="O232">
        <f>HYPERLINK("https://shopee.co.id/api/v4/item/get?itemid=1515340757&amp;shopid=14318452", "Tresemme Shampo Rambut Scalp Care 170ml Anti Ketombe dan Rontok with Tea Tree Oil")</f>
        <v/>
      </c>
      <c r="P232" t="n">
        <v>1429</v>
      </c>
      <c r="Q232" t="n">
        <v>1141</v>
      </c>
      <c r="R232" t="n">
        <v>4.864380599320358</v>
      </c>
      <c r="S232" t="n">
        <v>156</v>
      </c>
      <c r="T232" t="n">
        <v>119</v>
      </c>
      <c r="U232" t="n">
        <v>476</v>
      </c>
      <c r="V232" t="n">
        <v>2079</v>
      </c>
      <c r="W232" t="n">
        <v>26321</v>
      </c>
    </row>
    <row r="233">
      <c r="A233" t="inlineStr">
        <is>
          <t>Dove Shampo Perawatan Rambut Rusak Sampo 135 ML</t>
        </is>
      </c>
      <c r="B233" t="inlineStr">
        <is>
          <t>0</t>
        </is>
      </c>
      <c r="C233" t="inlineStr">
        <is>
          <t>1%</t>
        </is>
      </c>
      <c r="D233" t="n">
        <v>28600</v>
      </c>
      <c r="E233" t="n">
        <v>28800</v>
      </c>
      <c r="F233" t="n">
        <v>28600</v>
      </c>
      <c r="G233" t="n">
        <v>28800</v>
      </c>
      <c r="H233" t="n">
        <v>28600</v>
      </c>
      <c r="I233" t="n">
        <v>28800</v>
      </c>
      <c r="J233" t="b">
        <v>1</v>
      </c>
      <c r="K233" t="inlineStr">
        <is>
          <t>Unilever Indonesia Official Shop</t>
        </is>
      </c>
      <c r="L233" t="inlineStr">
        <is>
          <t>KOTA BEKASI</t>
        </is>
      </c>
      <c r="M233" t="n">
        <v>126978022</v>
      </c>
      <c r="N233" t="n">
        <v>14318452</v>
      </c>
      <c r="O233">
        <f>HYPERLINK("https://shopee.co.id/api/v4/item/get?itemid=126978022&amp;shopid=14318452", "Dove Shampo Perawatan Rambut Rusak Sampo 135 ML")</f>
        <v/>
      </c>
      <c r="P233" t="n">
        <v>229</v>
      </c>
      <c r="Q233" t="n">
        <v>394</v>
      </c>
      <c r="R233" t="n">
        <v>4.92360633172746</v>
      </c>
      <c r="S233" t="n">
        <v>18</v>
      </c>
      <c r="T233" t="n">
        <v>16</v>
      </c>
      <c r="U233" t="n">
        <v>51</v>
      </c>
      <c r="V233" t="n">
        <v>458</v>
      </c>
      <c r="W233" t="n">
        <v>8179</v>
      </c>
    </row>
    <row r="234">
      <c r="A234" t="inlineStr">
        <is>
          <t>Pepsodent Action 123 Pasta Gigi Orginal 190 gr Twin Pack</t>
        </is>
      </c>
      <c r="B234" t="inlineStr">
        <is>
          <t>Pepsodent</t>
        </is>
      </c>
      <c r="C234" t="inlineStr">
        <is>
          <t>20%</t>
        </is>
      </c>
      <c r="D234" t="n">
        <v>34900</v>
      </c>
      <c r="E234" t="n">
        <v>43800</v>
      </c>
      <c r="F234" t="n">
        <v>34900</v>
      </c>
      <c r="G234" t="n">
        <v>43800</v>
      </c>
      <c r="H234" t="n">
        <v>34900</v>
      </c>
      <c r="I234" t="n">
        <v>43800</v>
      </c>
      <c r="J234" t="b">
        <v>1</v>
      </c>
      <c r="K234" t="inlineStr">
        <is>
          <t>Unilever Indonesia Official Shop</t>
        </is>
      </c>
      <c r="L234" t="inlineStr">
        <is>
          <t>KOTA BEKASI</t>
        </is>
      </c>
      <c r="M234" t="n">
        <v>6132138851</v>
      </c>
      <c r="N234" t="n">
        <v>14318452</v>
      </c>
      <c r="O234">
        <f>HYPERLINK("https://shopee.co.id/api/v4/item/get?itemid=6132138851&amp;shopid=14318452", "Pepsodent Action 123 Pasta Gigi Orginal 190 gr Twin Pack")</f>
        <v/>
      </c>
      <c r="P234" t="n">
        <v>608</v>
      </c>
      <c r="Q234" t="n">
        <v>966</v>
      </c>
      <c r="R234" t="n">
        <v>4.941006976038823</v>
      </c>
      <c r="S234" t="n">
        <v>7</v>
      </c>
      <c r="T234" t="n">
        <v>8</v>
      </c>
      <c r="U234" t="n">
        <v>37</v>
      </c>
      <c r="V234" t="n">
        <v>263</v>
      </c>
      <c r="W234" t="n">
        <v>6279</v>
      </c>
    </row>
    <row r="235">
      <c r="A235" t="inlineStr">
        <is>
          <t>Zwitsal Kids Body Mist Fresh Touch 100 ml</t>
        </is>
      </c>
      <c r="B235" t="inlineStr"/>
      <c r="C235" t="inlineStr">
        <is>
          <t>26%</t>
        </is>
      </c>
      <c r="D235" t="n">
        <v>15900</v>
      </c>
      <c r="E235" t="n">
        <v>21600</v>
      </c>
      <c r="F235" t="n">
        <v>15900</v>
      </c>
      <c r="G235" t="n">
        <v>21600</v>
      </c>
      <c r="H235" t="n">
        <v>15900</v>
      </c>
      <c r="I235" t="n">
        <v>21600</v>
      </c>
      <c r="J235" t="b">
        <v>0</v>
      </c>
      <c r="K235" t="inlineStr">
        <is>
          <t>Unilever Indonesia Official Shop</t>
        </is>
      </c>
      <c r="L235" t="inlineStr">
        <is>
          <t>KOTA BEKASI</t>
        </is>
      </c>
      <c r="M235" t="n">
        <v>12223590172</v>
      </c>
      <c r="N235" t="n">
        <v>14318452</v>
      </c>
      <c r="O235">
        <f>HYPERLINK("https://shopee.co.id/api/v4/item/get?itemid=12223590172&amp;shopid=14318452", "Zwitsal Kids Body Mist Fresh Touch 100 ml")</f>
        <v/>
      </c>
      <c r="P235" t="n">
        <v>264</v>
      </c>
      <c r="Q235" t="n">
        <v>451</v>
      </c>
      <c r="R235" t="n">
        <v>4.877186963979417</v>
      </c>
      <c r="S235" t="n">
        <v>11</v>
      </c>
      <c r="T235" t="n">
        <v>16</v>
      </c>
      <c r="U235" t="n">
        <v>41</v>
      </c>
      <c r="V235" t="n">
        <v>191</v>
      </c>
      <c r="W235" t="n">
        <v>2658</v>
      </c>
    </row>
    <row r="236">
      <c r="A236" t="inlineStr">
        <is>
          <t>Lifebuoy Antibacterial Body Wash Lemon Fresh 100 ml</t>
        </is>
      </c>
      <c r="B236" t="inlineStr">
        <is>
          <t>Lifebuoy</t>
        </is>
      </c>
      <c r="C236" t="inlineStr">
        <is>
          <t>13%</t>
        </is>
      </c>
      <c r="D236" t="n">
        <v>16100</v>
      </c>
      <c r="E236" t="n">
        <v>18500</v>
      </c>
      <c r="F236" t="n">
        <v>16100</v>
      </c>
      <c r="G236" t="n">
        <v>18500</v>
      </c>
      <c r="H236" t="n">
        <v>16100</v>
      </c>
      <c r="I236" t="n">
        <v>18500</v>
      </c>
      <c r="J236" t="b">
        <v>1</v>
      </c>
      <c r="K236" t="inlineStr">
        <is>
          <t>Unilever Indonesia Official Shop</t>
        </is>
      </c>
      <c r="L236" t="inlineStr">
        <is>
          <t>KOTA BEKASI</t>
        </is>
      </c>
      <c r="M236" t="n">
        <v>1008956370</v>
      </c>
      <c r="N236" t="n">
        <v>14318452</v>
      </c>
      <c r="O236">
        <f>HYPERLINK("https://shopee.co.id/api/v4/item/get?itemid=1008956370&amp;shopid=14318452", "Lifebuoy Antibacterial Body Wash Lemon Fresh 100 ml")</f>
        <v/>
      </c>
      <c r="P236" t="n">
        <v>199</v>
      </c>
      <c r="Q236" t="n">
        <v>204</v>
      </c>
      <c r="R236" t="n">
        <v>4.921859545004946</v>
      </c>
      <c r="S236" t="n">
        <v>13</v>
      </c>
      <c r="T236" t="n">
        <v>8</v>
      </c>
      <c r="U236" t="n">
        <v>39</v>
      </c>
      <c r="V236" t="n">
        <v>324</v>
      </c>
      <c r="W236" t="n">
        <v>5683</v>
      </c>
    </row>
    <row r="237">
      <c r="A237" t="inlineStr">
        <is>
          <t>Rinso Molto Perfume Essence 770 g - Perlindungan Dari Bakteri</t>
        </is>
      </c>
      <c r="B237" t="inlineStr">
        <is>
          <t>0</t>
        </is>
      </c>
      <c r="C237" t="inlineStr">
        <is>
          <t>14%</t>
        </is>
      </c>
      <c r="D237" t="n">
        <v>23900</v>
      </c>
      <c r="E237" t="n">
        <v>27700</v>
      </c>
      <c r="F237" t="n">
        <v>23900</v>
      </c>
      <c r="G237" t="n">
        <v>27700</v>
      </c>
      <c r="H237" t="n">
        <v>23900</v>
      </c>
      <c r="I237" t="n">
        <v>27700</v>
      </c>
      <c r="J237" t="b">
        <v>1</v>
      </c>
      <c r="K237" t="inlineStr">
        <is>
          <t>Unilever Indonesia Official Shop</t>
        </is>
      </c>
      <c r="L237" t="inlineStr">
        <is>
          <t>KOTA BEKASI</t>
        </is>
      </c>
      <c r="M237" t="n">
        <v>1921369080</v>
      </c>
      <c r="N237" t="n">
        <v>14318452</v>
      </c>
      <c r="O237">
        <f>HYPERLINK("https://shopee.co.id/api/v4/item/get?itemid=1921369080&amp;shopid=14318452", "Rinso Molto Perfume Essence 770 g - Perlindungan Dari Bakteri")</f>
        <v/>
      </c>
      <c r="P237" t="n">
        <v>726</v>
      </c>
      <c r="Q237" t="n">
        <v>1157</v>
      </c>
      <c r="R237" t="n">
        <v>4.916675839295542</v>
      </c>
      <c r="S237" t="n">
        <v>58</v>
      </c>
      <c r="T237" t="n">
        <v>29</v>
      </c>
      <c r="U237" t="n">
        <v>152</v>
      </c>
      <c r="V237" t="n">
        <v>906</v>
      </c>
      <c r="W237" t="n">
        <v>17029</v>
      </c>
    </row>
    <row r="238">
      <c r="A238" t="inlineStr">
        <is>
          <t>Zwitsal Baby Powder Rich Honey 300gr Twin Pack</t>
        </is>
      </c>
      <c r="B238" t="inlineStr">
        <is>
          <t>Zwitsal</t>
        </is>
      </c>
      <c r="C238" t="inlineStr">
        <is>
          <t>19%</t>
        </is>
      </c>
      <c r="D238" t="n">
        <v>35100</v>
      </c>
      <c r="E238" t="n">
        <v>43500</v>
      </c>
      <c r="F238" t="n">
        <v>35100</v>
      </c>
      <c r="G238" t="n">
        <v>43500</v>
      </c>
      <c r="H238" t="n">
        <v>35100</v>
      </c>
      <c r="I238" t="n">
        <v>43500</v>
      </c>
      <c r="J238" t="b">
        <v>1</v>
      </c>
      <c r="K238" t="inlineStr">
        <is>
          <t>Unilever Indonesia Official Shop</t>
        </is>
      </c>
      <c r="L238" t="inlineStr">
        <is>
          <t>KOTA BEKASI</t>
        </is>
      </c>
      <c r="M238" t="n">
        <v>4531761576</v>
      </c>
      <c r="N238" t="n">
        <v>14318452</v>
      </c>
      <c r="O238">
        <f>HYPERLINK("https://shopee.co.id/api/v4/item/get?itemid=4531761576&amp;shopid=14318452", "Zwitsal Baby Powder Rich Honey 300gr Twin Pack")</f>
        <v/>
      </c>
      <c r="P238" t="n">
        <v>139</v>
      </c>
      <c r="Q238" t="n">
        <v>551</v>
      </c>
      <c r="R238" t="n">
        <v>4.929949964260186</v>
      </c>
      <c r="S238" t="n">
        <v>2</v>
      </c>
      <c r="T238" t="n">
        <v>2</v>
      </c>
      <c r="U238" t="n">
        <v>6</v>
      </c>
      <c r="V238" t="n">
        <v>72</v>
      </c>
      <c r="W238" t="n">
        <v>1317</v>
      </c>
    </row>
    <row r="239">
      <c r="A239" t="inlineStr">
        <is>
          <t>Ponds Age Miracle Day Cream Moisturizer Anti Aging+Glowing 10G Twin Pack</t>
        </is>
      </c>
      <c r="B239" t="inlineStr">
        <is>
          <t>0</t>
        </is>
      </c>
      <c r="C239" t="inlineStr">
        <is>
          <t>16%</t>
        </is>
      </c>
      <c r="D239" t="n">
        <v>64900</v>
      </c>
      <c r="E239" t="n">
        <v>76900</v>
      </c>
      <c r="F239" t="n">
        <v>64900</v>
      </c>
      <c r="G239" t="n">
        <v>76900</v>
      </c>
      <c r="H239" t="n">
        <v>64900</v>
      </c>
      <c r="I239" t="n">
        <v>76900</v>
      </c>
      <c r="J239" t="b">
        <v>1</v>
      </c>
      <c r="K239" t="inlineStr">
        <is>
          <t>Unilever Indonesia Official Shop</t>
        </is>
      </c>
      <c r="L239" t="inlineStr">
        <is>
          <t>KOTA BEKASI</t>
        </is>
      </c>
      <c r="M239" t="n">
        <v>5031697165</v>
      </c>
      <c r="N239" t="n">
        <v>14318452</v>
      </c>
      <c r="O239">
        <f>HYPERLINK("https://shopee.co.id/api/v4/item/get?itemid=5031697165&amp;shopid=14318452", "Ponds Age Miracle Day Cream Moisturizer Anti Aging+Glowing 10G Twin Pack")</f>
        <v/>
      </c>
      <c r="P239" t="n">
        <v>384</v>
      </c>
      <c r="Q239" t="n">
        <v>1635</v>
      </c>
      <c r="R239" t="n">
        <v>4.919819311123659</v>
      </c>
      <c r="S239" t="n">
        <v>9</v>
      </c>
      <c r="T239" t="n">
        <v>7</v>
      </c>
      <c r="U239" t="n">
        <v>28</v>
      </c>
      <c r="V239" t="n">
        <v>179</v>
      </c>
      <c r="W239" t="n">
        <v>3322</v>
      </c>
    </row>
    <row r="240">
      <c r="A240" t="inlineStr">
        <is>
          <t>Ponds Bright Beauty Brightening Toner 150ml with Hyaluronic Acid</t>
        </is>
      </c>
      <c r="B240" t="inlineStr">
        <is>
          <t>Pond's</t>
        </is>
      </c>
      <c r="C240" t="inlineStr">
        <is>
          <t>13%</t>
        </is>
      </c>
      <c r="D240" t="n">
        <v>28800</v>
      </c>
      <c r="E240" t="n">
        <v>33100</v>
      </c>
      <c r="F240" t="n">
        <v>28800</v>
      </c>
      <c r="G240" t="n">
        <v>33100</v>
      </c>
      <c r="H240" t="n">
        <v>28800</v>
      </c>
      <c r="I240" t="n">
        <v>33100</v>
      </c>
      <c r="J240" t="b">
        <v>1</v>
      </c>
      <c r="K240" t="inlineStr">
        <is>
          <t>Unilever Indonesia Official Shop</t>
        </is>
      </c>
      <c r="L240" t="inlineStr">
        <is>
          <t>KOTA BEKASI</t>
        </is>
      </c>
      <c r="M240" t="n">
        <v>127358225</v>
      </c>
      <c r="N240" t="n">
        <v>14318452</v>
      </c>
      <c r="O240">
        <f>HYPERLINK("https://shopee.co.id/api/v4/item/get?itemid=127358225&amp;shopid=14318452", "Ponds Bright Beauty Brightening Toner 150ml with Hyaluronic Acid")</f>
        <v/>
      </c>
      <c r="P240" t="n">
        <v>744</v>
      </c>
      <c r="Q240" t="n">
        <v>836</v>
      </c>
      <c r="R240" t="n">
        <v>4.906222855355964</v>
      </c>
      <c r="S240" t="n">
        <v>44</v>
      </c>
      <c r="T240" t="n">
        <v>45</v>
      </c>
      <c r="U240" t="n">
        <v>258</v>
      </c>
      <c r="V240" t="n">
        <v>1896</v>
      </c>
      <c r="W240" t="n">
        <v>26545</v>
      </c>
    </row>
    <row r="241">
      <c r="A241" t="inlineStr">
        <is>
          <t>Vixal Pembersih Porselen Kamar Mandi Ekstra Kuat 750 Ml - Ekstra Kuat, Antibakteri Toilet</t>
        </is>
      </c>
      <c r="B241" t="inlineStr">
        <is>
          <t>Vixal</t>
        </is>
      </c>
      <c r="C241" t="inlineStr">
        <is>
          <t>31%</t>
        </is>
      </c>
      <c r="D241" t="n">
        <v>18300</v>
      </c>
      <c r="E241" t="n">
        <v>26700</v>
      </c>
      <c r="F241" t="n">
        <v>18300</v>
      </c>
      <c r="G241" t="n">
        <v>26700</v>
      </c>
      <c r="H241" t="n">
        <v>18300</v>
      </c>
      <c r="I241" t="n">
        <v>26700</v>
      </c>
      <c r="J241" t="b">
        <v>1</v>
      </c>
      <c r="K241" t="inlineStr">
        <is>
          <t>Unilever Indonesia Official Shop</t>
        </is>
      </c>
      <c r="L241" t="inlineStr">
        <is>
          <t>KOTA BEKASI</t>
        </is>
      </c>
      <c r="M241" t="n">
        <v>1040498702</v>
      </c>
      <c r="N241" t="n">
        <v>14318452</v>
      </c>
      <c r="O241">
        <f>HYPERLINK("https://shopee.co.id/api/v4/item/get?itemid=1040498702&amp;shopid=14318452", "Vixal Pembersih Porselen Kamar Mandi Ekstra Kuat 750 Ml - Ekstra Kuat, Antibakteri Toilet")</f>
        <v/>
      </c>
      <c r="P241" t="n">
        <v>1932</v>
      </c>
      <c r="Q241" t="n">
        <v>6255</v>
      </c>
      <c r="R241" t="n">
        <v>4.919797154251391</v>
      </c>
      <c r="S241" t="n">
        <v>127</v>
      </c>
      <c r="T241" t="n">
        <v>94</v>
      </c>
      <c r="U241" t="n">
        <v>308</v>
      </c>
      <c r="V241" t="n">
        <v>1894</v>
      </c>
      <c r="W241" t="n">
        <v>38222</v>
      </c>
    </row>
    <row r="242">
      <c r="A242" t="inlineStr">
        <is>
          <t>Bango Kecap Manis Pouch Flatpack 210Ml</t>
        </is>
      </c>
      <c r="B242" t="inlineStr">
        <is>
          <t>Bango</t>
        </is>
      </c>
      <c r="C242" t="inlineStr">
        <is>
          <t>13%</t>
        </is>
      </c>
      <c r="D242" t="n">
        <v>11500</v>
      </c>
      <c r="E242" t="n">
        <v>13200</v>
      </c>
      <c r="F242" t="n">
        <v>11500</v>
      </c>
      <c r="G242" t="n">
        <v>13200</v>
      </c>
      <c r="H242" t="n">
        <v>11500</v>
      </c>
      <c r="I242" t="n">
        <v>13200</v>
      </c>
      <c r="J242" t="b">
        <v>1</v>
      </c>
      <c r="K242" t="inlineStr">
        <is>
          <t>Unilever Indonesia Official Shop</t>
        </is>
      </c>
      <c r="L242" t="inlineStr">
        <is>
          <t>KOTA BEKASI</t>
        </is>
      </c>
      <c r="M242" t="n">
        <v>5133985125</v>
      </c>
      <c r="N242" t="n">
        <v>14318452</v>
      </c>
      <c r="O242">
        <f>HYPERLINK("https://shopee.co.id/api/v4/item/get?itemid=5133985125&amp;shopid=14318452", "Bango Kecap Manis Pouch Flatpack 210Ml")</f>
        <v/>
      </c>
      <c r="P242" t="n">
        <v>2257</v>
      </c>
      <c r="Q242" t="n">
        <v>2489</v>
      </c>
      <c r="R242" t="n">
        <v>4.925414364640884</v>
      </c>
      <c r="S242" t="n">
        <v>32</v>
      </c>
      <c r="T242" t="n">
        <v>22</v>
      </c>
      <c r="U242" t="n">
        <v>90</v>
      </c>
      <c r="V242" t="n">
        <v>652</v>
      </c>
      <c r="W242" t="n">
        <v>12969</v>
      </c>
    </row>
    <row r="243">
      <c r="A243" t="inlineStr">
        <is>
          <t>Pond's Juice Collection Moisturizer Orange Nectar + Vit C 20 gr</t>
        </is>
      </c>
      <c r="B243" t="inlineStr"/>
      <c r="C243" t="inlineStr">
        <is>
          <t>11%</t>
        </is>
      </c>
      <c r="D243" t="n">
        <v>22300</v>
      </c>
      <c r="E243" t="n">
        <v>25100</v>
      </c>
      <c r="F243" t="n">
        <v>22300</v>
      </c>
      <c r="G243" t="n">
        <v>25100</v>
      </c>
      <c r="H243" t="n">
        <v>22300</v>
      </c>
      <c r="I243" t="n">
        <v>25100</v>
      </c>
      <c r="J243" t="b">
        <v>1</v>
      </c>
      <c r="K243" t="inlineStr">
        <is>
          <t>Unilever Indonesia Official Shop</t>
        </is>
      </c>
      <c r="L243" t="inlineStr">
        <is>
          <t>KOTA BEKASI</t>
        </is>
      </c>
      <c r="M243" t="n">
        <v>6417483660</v>
      </c>
      <c r="N243" t="n">
        <v>14318452</v>
      </c>
      <c r="O243">
        <f>HYPERLINK("https://shopee.co.id/api/v4/item/get?itemid=6417483660&amp;shopid=14318452", "Pond's Juice Collection Moisturizer Orange Nectar + Vit C 20 gr")</f>
        <v/>
      </c>
      <c r="P243" t="n">
        <v>621</v>
      </c>
      <c r="Q243" t="n">
        <v>887</v>
      </c>
      <c r="R243" t="n">
        <v>4.923575960647323</v>
      </c>
      <c r="S243" t="n">
        <v>18</v>
      </c>
      <c r="T243" t="n">
        <v>16</v>
      </c>
      <c r="U243" t="n">
        <v>83</v>
      </c>
      <c r="V243" t="n">
        <v>792</v>
      </c>
      <c r="W243" t="n">
        <v>13120</v>
      </c>
    </row>
    <row r="244">
      <c r="A244" t="inlineStr">
        <is>
          <t>Pond'S Age Miracle Night Cream 10 gr</t>
        </is>
      </c>
      <c r="B244" t="inlineStr">
        <is>
          <t>Pond's</t>
        </is>
      </c>
      <c r="C244" t="inlineStr">
        <is>
          <t>11%</t>
        </is>
      </c>
      <c r="D244" t="n">
        <v>37600</v>
      </c>
      <c r="E244" t="n">
        <v>42300</v>
      </c>
      <c r="F244" t="n">
        <v>37600</v>
      </c>
      <c r="G244" t="n">
        <v>42300</v>
      </c>
      <c r="H244" t="n">
        <v>37600</v>
      </c>
      <c r="I244" t="n">
        <v>42300</v>
      </c>
      <c r="J244" t="b">
        <v>1</v>
      </c>
      <c r="K244" t="inlineStr">
        <is>
          <t>Unilever Indonesia Official Shop</t>
        </is>
      </c>
      <c r="L244" t="inlineStr">
        <is>
          <t>KOTA BEKASI</t>
        </is>
      </c>
      <c r="M244" t="n">
        <v>5661176254</v>
      </c>
      <c r="N244" t="n">
        <v>14318452</v>
      </c>
      <c r="O244">
        <f>HYPERLINK("https://shopee.co.id/api/v4/item/get?itemid=5661176254&amp;shopid=14318452", "Pond'S Age Miracle Night Cream 10 gr")</f>
        <v/>
      </c>
      <c r="P244" t="n">
        <v>427</v>
      </c>
      <c r="Q244" t="n">
        <v>3878</v>
      </c>
      <c r="R244" t="n">
        <v>4.908618127786033</v>
      </c>
      <c r="S244" t="n">
        <v>12</v>
      </c>
      <c r="T244" t="n">
        <v>9</v>
      </c>
      <c r="U244" t="n">
        <v>90</v>
      </c>
      <c r="V244" t="n">
        <v>733</v>
      </c>
      <c r="W244" t="n">
        <v>9925</v>
      </c>
    </row>
    <row r="245">
      <c r="A245" t="inlineStr">
        <is>
          <t>Pepsodent Action 123 Pasta Gigi Original 190G -Action 123, Pasta Gigi Segar, Odol Penyegar,Bau Mulut</t>
        </is>
      </c>
      <c r="B245" t="inlineStr">
        <is>
          <t>Pepsodent</t>
        </is>
      </c>
      <c r="C245" t="inlineStr">
        <is>
          <t>20%</t>
        </is>
      </c>
      <c r="D245" t="n">
        <v>18300</v>
      </c>
      <c r="E245" t="n">
        <v>22800</v>
      </c>
      <c r="F245" t="n">
        <v>18300</v>
      </c>
      <c r="G245" t="n">
        <v>22800</v>
      </c>
      <c r="H245" t="n">
        <v>18300</v>
      </c>
      <c r="I245" t="n">
        <v>22800</v>
      </c>
      <c r="J245" t="b">
        <v>1</v>
      </c>
      <c r="K245" t="inlineStr">
        <is>
          <t>Unilever Indonesia Official Shop</t>
        </is>
      </c>
      <c r="L245" t="inlineStr">
        <is>
          <t>KOTA BEKASI</t>
        </is>
      </c>
      <c r="M245" t="n">
        <v>7831996195</v>
      </c>
      <c r="N245" t="n">
        <v>14318452</v>
      </c>
      <c r="O245">
        <f>HYPERLINK("https://shopee.co.id/api/v4/item/get?itemid=7831996195&amp;shopid=14318452", "Pepsodent Action 123 Pasta Gigi Original 190G -Action 123, Pasta Gigi Segar, Odol Penyegar,Bau Mulut")</f>
        <v/>
      </c>
      <c r="P245" t="n">
        <v>342</v>
      </c>
      <c r="Q245" t="n">
        <v>1936</v>
      </c>
      <c r="R245" t="n">
        <v>4.937176389368312</v>
      </c>
      <c r="S245" t="n">
        <v>11</v>
      </c>
      <c r="T245" t="n">
        <v>7</v>
      </c>
      <c r="U245" t="n">
        <v>26</v>
      </c>
      <c r="V245" t="n">
        <v>250</v>
      </c>
      <c r="W245" t="n">
        <v>5501</v>
      </c>
    </row>
    <row r="246">
      <c r="A246" t="inlineStr">
        <is>
          <t>Ponds Facial Foam Sabun Muka Pembersih Wajah Anti Bacterial&amp;Glowing 100g with Niacinamide</t>
        </is>
      </c>
      <c r="B246" t="inlineStr">
        <is>
          <t>Pond's</t>
        </is>
      </c>
      <c r="C246" t="inlineStr">
        <is>
          <t>12%</t>
        </is>
      </c>
      <c r="D246" t="n">
        <v>27000</v>
      </c>
      <c r="E246" t="n">
        <v>30800</v>
      </c>
      <c r="F246" t="n">
        <v>27000</v>
      </c>
      <c r="G246" t="n">
        <v>30800</v>
      </c>
      <c r="H246" t="n">
        <v>27000</v>
      </c>
      <c r="I246" t="n">
        <v>30800</v>
      </c>
      <c r="J246" t="b">
        <v>1</v>
      </c>
      <c r="K246" t="inlineStr">
        <is>
          <t>Unilever Indonesia Official Shop</t>
        </is>
      </c>
      <c r="L246" t="inlineStr">
        <is>
          <t>KOTA BEKASI</t>
        </is>
      </c>
      <c r="M246" t="n">
        <v>5860778125</v>
      </c>
      <c r="N246" t="n">
        <v>14318452</v>
      </c>
      <c r="O246">
        <f>HYPERLINK("https://shopee.co.id/api/v4/item/get?itemid=5860778125&amp;shopid=14318452", "Ponds Facial Foam Sabun Muka Pembersih Wajah Anti Bacterial&amp;Glowing 100g with Niacinamide")</f>
        <v/>
      </c>
      <c r="P246" t="n">
        <v>256</v>
      </c>
      <c r="Q246" t="n">
        <v>706</v>
      </c>
      <c r="R246" t="n">
        <v>4.927456382001837</v>
      </c>
      <c r="S246" t="n">
        <v>10</v>
      </c>
      <c r="T246" t="n">
        <v>4</v>
      </c>
      <c r="U246" t="n">
        <v>27</v>
      </c>
      <c r="V246" t="n">
        <v>296</v>
      </c>
      <c r="W246" t="n">
        <v>5110</v>
      </c>
    </row>
    <row r="247">
      <c r="A247" t="inlineStr">
        <is>
          <t>Sunsilk Shampoo Black Shine 160ml</t>
        </is>
      </c>
      <c r="B247" t="inlineStr">
        <is>
          <t>Sunsilk</t>
        </is>
      </c>
      <c r="C247" t="inlineStr">
        <is>
          <t>9%</t>
        </is>
      </c>
      <c r="D247" t="n">
        <v>26600</v>
      </c>
      <c r="E247" t="n">
        <v>29200</v>
      </c>
      <c r="F247" t="n">
        <v>26600</v>
      </c>
      <c r="G247" t="n">
        <v>29200</v>
      </c>
      <c r="H247" t="n">
        <v>26600</v>
      </c>
      <c r="I247" t="n">
        <v>29200</v>
      </c>
      <c r="J247" t="b">
        <v>1</v>
      </c>
      <c r="K247" t="inlineStr">
        <is>
          <t>Unilever Indonesia Official Shop</t>
        </is>
      </c>
      <c r="L247" t="inlineStr">
        <is>
          <t>KOTA BEKASI</t>
        </is>
      </c>
      <c r="M247" t="n">
        <v>127020338</v>
      </c>
      <c r="N247" t="n">
        <v>14318452</v>
      </c>
      <c r="O247">
        <f>HYPERLINK("https://shopee.co.id/api/v4/item/get?itemid=127020338&amp;shopid=14318452", "Sunsilk Shampoo Black Shine 160ml")</f>
        <v/>
      </c>
      <c r="P247" t="n">
        <v>652</v>
      </c>
      <c r="Q247" t="n">
        <v>867</v>
      </c>
      <c r="R247" t="n">
        <v>4.922975587666214</v>
      </c>
      <c r="S247" t="n">
        <v>47</v>
      </c>
      <c r="T247" t="n">
        <v>34</v>
      </c>
      <c r="U247" t="n">
        <v>174</v>
      </c>
      <c r="V247" t="n">
        <v>1253</v>
      </c>
      <c r="W247" t="n">
        <v>22789</v>
      </c>
    </row>
    <row r="248">
      <c r="A248" t="inlineStr">
        <is>
          <t>Rexona Women Deodorant Roll On Antiperspirant Invisible Dry + Fresh Anti Noda 45Ml</t>
        </is>
      </c>
      <c r="B248" t="inlineStr">
        <is>
          <t>0</t>
        </is>
      </c>
      <c r="C248" t="inlineStr">
        <is>
          <t>1%</t>
        </is>
      </c>
      <c r="D248" t="n">
        <v>19500</v>
      </c>
      <c r="E248" t="n">
        <v>19600</v>
      </c>
      <c r="F248" t="n">
        <v>19500</v>
      </c>
      <c r="G248" t="n">
        <v>19600</v>
      </c>
      <c r="H248" t="n">
        <v>19500</v>
      </c>
      <c r="I248" t="n">
        <v>19600</v>
      </c>
      <c r="J248" t="b">
        <v>1</v>
      </c>
      <c r="K248" t="inlineStr">
        <is>
          <t>Unilever Indonesia Official Shop</t>
        </is>
      </c>
      <c r="L248" t="inlineStr">
        <is>
          <t>KOTA BEKASI</t>
        </is>
      </c>
      <c r="M248" t="n">
        <v>1040514942</v>
      </c>
      <c r="N248" t="n">
        <v>14318452</v>
      </c>
      <c r="O248">
        <f>HYPERLINK("https://shopee.co.id/api/v4/item/get?itemid=1040514942&amp;shopid=14318452", "Rexona Women Deodorant Roll On Antiperspirant Invisible Dry + Fresh Anti Noda 45Ml")</f>
        <v/>
      </c>
      <c r="P248" t="n">
        <v>652</v>
      </c>
      <c r="Q248" t="n">
        <v>1777</v>
      </c>
      <c r="R248" t="n">
        <v>4.920267633119598</v>
      </c>
      <c r="S248" t="n">
        <v>54</v>
      </c>
      <c r="T248" t="n">
        <v>32</v>
      </c>
      <c r="U248" t="n">
        <v>87</v>
      </c>
      <c r="V248" t="n">
        <v>951</v>
      </c>
      <c r="W248" t="n">
        <v>16814</v>
      </c>
    </row>
    <row r="249">
      <c r="A249" t="inlineStr">
        <is>
          <t>Wipol Sabun Karbol Pembersih Lantai Karbol Cemara Perlindungan Dari Kuman Pouch 750 ml</t>
        </is>
      </c>
      <c r="B249" t="inlineStr">
        <is>
          <t>0</t>
        </is>
      </c>
      <c r="C249" t="inlineStr">
        <is>
          <t>22%</t>
        </is>
      </c>
      <c r="D249" t="n">
        <v>18500</v>
      </c>
      <c r="E249" t="n">
        <v>23800</v>
      </c>
      <c r="F249" t="n">
        <v>18500</v>
      </c>
      <c r="G249" t="n">
        <v>23800</v>
      </c>
      <c r="H249" t="n">
        <v>18500</v>
      </c>
      <c r="I249" t="n">
        <v>23800</v>
      </c>
      <c r="J249" t="b">
        <v>1</v>
      </c>
      <c r="K249" t="inlineStr">
        <is>
          <t>Unilever Indonesia Official Shop</t>
        </is>
      </c>
      <c r="L249" t="inlineStr">
        <is>
          <t>KOTA BEKASI</t>
        </is>
      </c>
      <c r="M249" t="n">
        <v>1040498705</v>
      </c>
      <c r="N249" t="n">
        <v>14318452</v>
      </c>
      <c r="O249">
        <f>HYPERLINK("https://shopee.co.id/api/v4/item/get?itemid=1040498705&amp;shopid=14318452", "Wipol Sabun Karbol Pembersih Lantai Karbol Cemara Perlindungan Dari Kuman Pouch 750 ml")</f>
        <v/>
      </c>
      <c r="P249" t="n">
        <v>5071</v>
      </c>
      <c r="Q249" t="n">
        <v>8200</v>
      </c>
      <c r="R249" t="n">
        <v>4.935617371910043</v>
      </c>
      <c r="S249" t="n">
        <v>183</v>
      </c>
      <c r="T249" t="n">
        <v>161</v>
      </c>
      <c r="U249" t="n">
        <v>399</v>
      </c>
      <c r="V249" t="n">
        <v>3252</v>
      </c>
      <c r="W249" t="n">
        <v>76747</v>
      </c>
    </row>
    <row r="250">
      <c r="A250" t="inlineStr">
        <is>
          <t>Vaseline Blueberry Body Yogurt With Prebiotics 200 ml</t>
        </is>
      </c>
      <c r="B250" t="inlineStr">
        <is>
          <t>Vaseline</t>
        </is>
      </c>
      <c r="C250" t="inlineStr">
        <is>
          <t>12%</t>
        </is>
      </c>
      <c r="D250" t="n">
        <v>32600</v>
      </c>
      <c r="E250" t="n">
        <v>37100</v>
      </c>
      <c r="F250" t="n">
        <v>32600</v>
      </c>
      <c r="G250" t="n">
        <v>37100</v>
      </c>
      <c r="H250" t="n">
        <v>32600</v>
      </c>
      <c r="I250" t="n">
        <v>37100</v>
      </c>
      <c r="J250" t="b">
        <v>1</v>
      </c>
      <c r="K250" t="inlineStr">
        <is>
          <t>Unilever Indonesia Official Shop</t>
        </is>
      </c>
      <c r="L250" t="inlineStr">
        <is>
          <t>KOTA BEKASI</t>
        </is>
      </c>
      <c r="M250" t="n">
        <v>3456160988</v>
      </c>
      <c r="N250" t="n">
        <v>14318452</v>
      </c>
      <c r="O250">
        <f>HYPERLINK("https://shopee.co.id/api/v4/item/get?itemid=3456160988&amp;shopid=14318452", "Vaseline Blueberry Body Yogurt With Prebiotics 200 ml")</f>
        <v/>
      </c>
      <c r="P250" t="n">
        <v>79</v>
      </c>
      <c r="Q250" t="n">
        <v>468</v>
      </c>
      <c r="R250" t="n">
        <v>4.938870909744696</v>
      </c>
      <c r="S250" t="n">
        <v>8</v>
      </c>
      <c r="T250" t="n">
        <v>5</v>
      </c>
      <c r="U250" t="n">
        <v>26</v>
      </c>
      <c r="V250" t="n">
        <v>250</v>
      </c>
      <c r="W250" t="n">
        <v>5276</v>
      </c>
    </row>
    <row r="251">
      <c r="A251" t="inlineStr">
        <is>
          <t>Glow &amp; Lovely Multivitamin Serum Sheet Mask / Masker Wajah 20g 5 pcs</t>
        </is>
      </c>
      <c r="B251" t="inlineStr">
        <is>
          <t>Fair &amp; Lovely</t>
        </is>
      </c>
      <c r="C251" t="inlineStr">
        <is>
          <t>21%</t>
        </is>
      </c>
      <c r="D251" t="n">
        <v>39400</v>
      </c>
      <c r="E251" t="n">
        <v>50000</v>
      </c>
      <c r="F251" t="n">
        <v>39400</v>
      </c>
      <c r="G251" t="n">
        <v>50000</v>
      </c>
      <c r="H251" t="n">
        <v>39400</v>
      </c>
      <c r="I251" t="n">
        <v>50000</v>
      </c>
      <c r="J251" t="b">
        <v>1</v>
      </c>
      <c r="K251" t="inlineStr">
        <is>
          <t>Unilever Indonesia Official Shop</t>
        </is>
      </c>
      <c r="L251" t="inlineStr">
        <is>
          <t>KOTA BEKASI</t>
        </is>
      </c>
      <c r="M251" t="n">
        <v>6057542466</v>
      </c>
      <c r="N251" t="n">
        <v>14318452</v>
      </c>
      <c r="O251">
        <f>HYPERLINK("https://shopee.co.id/api/v4/item/get?itemid=6057542466&amp;shopid=14318452", "Glow &amp; Lovely Multivitamin Serum Sheet Mask / Masker Wajah 20g 5 pcs")</f>
        <v/>
      </c>
      <c r="P251" t="n">
        <v>166</v>
      </c>
      <c r="Q251" t="n">
        <v>931</v>
      </c>
      <c r="R251" t="n">
        <v>4.924212598425197</v>
      </c>
      <c r="S251" t="n">
        <v>4</v>
      </c>
      <c r="T251" t="n">
        <v>7</v>
      </c>
      <c r="U251" t="n">
        <v>26</v>
      </c>
      <c r="V251" t="n">
        <v>303</v>
      </c>
      <c r="W251" t="n">
        <v>4742</v>
      </c>
    </row>
    <row r="252">
      <c r="A252" t="inlineStr">
        <is>
          <t>Lux Botanicals Body Wash Refill Magical Orchid Kulit Wangi 400ml</t>
        </is>
      </c>
      <c r="B252" t="inlineStr">
        <is>
          <t>0</t>
        </is>
      </c>
      <c r="C252" t="inlineStr">
        <is>
          <t>24%</t>
        </is>
      </c>
      <c r="D252" t="n">
        <v>22500</v>
      </c>
      <c r="E252" t="n">
        <v>29500</v>
      </c>
      <c r="F252" t="n">
        <v>22500</v>
      </c>
      <c r="G252" t="n">
        <v>29500</v>
      </c>
      <c r="H252" t="n">
        <v>22500</v>
      </c>
      <c r="I252" t="n">
        <v>29500</v>
      </c>
      <c r="J252" t="b">
        <v>1</v>
      </c>
      <c r="K252" t="inlineStr">
        <is>
          <t>Unilever Indonesia Official Shop</t>
        </is>
      </c>
      <c r="L252" t="inlineStr">
        <is>
          <t>KOTA BEKASI</t>
        </is>
      </c>
      <c r="M252" t="n">
        <v>127014714</v>
      </c>
      <c r="N252" t="n">
        <v>14318452</v>
      </c>
      <c r="O252">
        <f>HYPERLINK("https://shopee.co.id/api/v4/item/get?itemid=127014714&amp;shopid=14318452", "Lux Botanicals Body Wash Refill Magical Orchid Kulit Wangi 400ml")</f>
        <v/>
      </c>
      <c r="P252" t="n">
        <v>252</v>
      </c>
      <c r="Q252" t="n">
        <v>2</v>
      </c>
      <c r="R252" t="n">
        <v>4.921482412060302</v>
      </c>
      <c r="S252" t="n">
        <v>25</v>
      </c>
      <c r="T252" t="n">
        <v>15</v>
      </c>
      <c r="U252" t="n">
        <v>57</v>
      </c>
      <c r="V252" t="n">
        <v>502</v>
      </c>
      <c r="W252" t="n">
        <v>8956</v>
      </c>
    </row>
    <row r="253">
      <c r="A253" t="inlineStr">
        <is>
          <t>Lifebuoy Sabun Batang Antiseptik Mild Care 4X110G</t>
        </is>
      </c>
      <c r="B253" t="inlineStr"/>
      <c r="C253" t="inlineStr">
        <is>
          <t>3%</t>
        </is>
      </c>
      <c r="D253" t="n">
        <v>26200</v>
      </c>
      <c r="E253" t="n">
        <v>26900</v>
      </c>
      <c r="F253" t="n">
        <v>26200</v>
      </c>
      <c r="G253" t="n">
        <v>26900</v>
      </c>
      <c r="H253" t="n">
        <v>26200</v>
      </c>
      <c r="I253" t="n">
        <v>26900</v>
      </c>
      <c r="J253" t="b">
        <v>1</v>
      </c>
      <c r="K253" t="inlineStr">
        <is>
          <t>Unilever Indonesia Official Shop</t>
        </is>
      </c>
      <c r="L253" t="inlineStr">
        <is>
          <t>KOTA BEKASI</t>
        </is>
      </c>
      <c r="M253" t="n">
        <v>7331996134</v>
      </c>
      <c r="N253" t="n">
        <v>14318452</v>
      </c>
      <c r="O253">
        <f>HYPERLINK("https://shopee.co.id/api/v4/item/get?itemid=7331996134&amp;shopid=14318452", "Lifebuoy Sabun Batang Antiseptik Mild Care 4X110G")</f>
        <v/>
      </c>
      <c r="P253" t="n">
        <v>759</v>
      </c>
      <c r="Q253" t="n">
        <v>831</v>
      </c>
      <c r="R253" t="n">
        <v>4.9469070518508</v>
      </c>
      <c r="S253" t="n">
        <v>41</v>
      </c>
      <c r="T253" t="n">
        <v>21</v>
      </c>
      <c r="U253" t="n">
        <v>111</v>
      </c>
      <c r="V253" t="n">
        <v>1057</v>
      </c>
      <c r="W253" t="n">
        <v>26965</v>
      </c>
    </row>
    <row r="254">
      <c r="A254" t="inlineStr">
        <is>
          <t>Sariwangi Teh Asli Celup Isi 30</t>
        </is>
      </c>
      <c r="B254" t="inlineStr">
        <is>
          <t>0</t>
        </is>
      </c>
      <c r="C254" t="inlineStr">
        <is>
          <t>35%</t>
        </is>
      </c>
      <c r="D254" t="n">
        <v>7100</v>
      </c>
      <c r="E254" t="n">
        <v>11000</v>
      </c>
      <c r="F254" t="n">
        <v>7100</v>
      </c>
      <c r="G254" t="n">
        <v>11000</v>
      </c>
      <c r="H254" t="n">
        <v>7100</v>
      </c>
      <c r="I254" t="n">
        <v>11000</v>
      </c>
      <c r="J254" t="b">
        <v>1</v>
      </c>
      <c r="K254" t="inlineStr">
        <is>
          <t>Unilever Indonesia Official Shop</t>
        </is>
      </c>
      <c r="L254" t="inlineStr">
        <is>
          <t>KOTA BEKASI</t>
        </is>
      </c>
      <c r="M254" t="n">
        <v>1480864149</v>
      </c>
      <c r="N254" t="n">
        <v>14318452</v>
      </c>
      <c r="O254">
        <f>HYPERLINK("https://shopee.co.id/api/v4/item/get?itemid=1480864149&amp;shopid=14318452", "Sariwangi Teh Asli Celup Isi 30")</f>
        <v/>
      </c>
      <c r="P254" t="n">
        <v>649</v>
      </c>
      <c r="Q254" t="n">
        <v>974</v>
      </c>
      <c r="R254" t="n">
        <v>4.917881037485107</v>
      </c>
      <c r="S254" t="n">
        <v>23</v>
      </c>
      <c r="T254" t="n">
        <v>9</v>
      </c>
      <c r="U254" t="n">
        <v>95</v>
      </c>
      <c r="V254" t="n">
        <v>587</v>
      </c>
      <c r="W254" t="n">
        <v>10202</v>
      </c>
    </row>
    <row r="255">
      <c r="A255" t="inlineStr">
        <is>
          <t>Pond'S Oil Control Facial Foam 100G</t>
        </is>
      </c>
      <c r="B255" t="inlineStr">
        <is>
          <t>0</t>
        </is>
      </c>
      <c r="C255" t="inlineStr">
        <is>
          <t>13%</t>
        </is>
      </c>
      <c r="D255" t="n">
        <v>35100</v>
      </c>
      <c r="E255" t="n">
        <v>40400</v>
      </c>
      <c r="F255" t="n">
        <v>35100</v>
      </c>
      <c r="G255" t="n">
        <v>40400</v>
      </c>
      <c r="H255" t="n">
        <v>35100</v>
      </c>
      <c r="I255" t="n">
        <v>40400</v>
      </c>
      <c r="J255" t="b">
        <v>1</v>
      </c>
      <c r="K255" t="inlineStr">
        <is>
          <t>Unilever Indonesia Official Shop</t>
        </is>
      </c>
      <c r="L255" t="inlineStr">
        <is>
          <t>KOTA BEKASI</t>
        </is>
      </c>
      <c r="M255" t="n">
        <v>127358268</v>
      </c>
      <c r="N255" t="n">
        <v>14318452</v>
      </c>
      <c r="O255">
        <f>HYPERLINK("https://shopee.co.id/api/v4/item/get?itemid=127358268&amp;shopid=14318452", "Pond'S Oil Control Facial Foam 100G")</f>
        <v/>
      </c>
      <c r="P255" t="n">
        <v>301</v>
      </c>
      <c r="Q255" t="n">
        <v>334</v>
      </c>
      <c r="R255" t="n">
        <v>4.935152234084619</v>
      </c>
      <c r="S255" t="n">
        <v>10</v>
      </c>
      <c r="T255" t="n">
        <v>6</v>
      </c>
      <c r="U255" t="n">
        <v>17</v>
      </c>
      <c r="V255" t="n">
        <v>239</v>
      </c>
      <c r="W255" t="n">
        <v>4787</v>
      </c>
    </row>
    <row r="256">
      <c r="A256" t="inlineStr">
        <is>
          <t>Ponds Micellar Water Brightening Rose 100ml 99% Makeup Remover dgn Niacinamide &amp; Vitamin C</t>
        </is>
      </c>
      <c r="B256" t="inlineStr">
        <is>
          <t>Pond's</t>
        </is>
      </c>
      <c r="C256" t="inlineStr">
        <is>
          <t>20%</t>
        </is>
      </c>
      <c r="D256" t="n">
        <v>22800</v>
      </c>
      <c r="E256" t="n">
        <v>28500</v>
      </c>
      <c r="F256" t="n">
        <v>22800</v>
      </c>
      <c r="G256" t="n">
        <v>28500</v>
      </c>
      <c r="H256" t="n">
        <v>22800</v>
      </c>
      <c r="I256" t="n">
        <v>28500</v>
      </c>
      <c r="J256" t="b">
        <v>1</v>
      </c>
      <c r="K256" t="inlineStr">
        <is>
          <t>Unilever Indonesia Official Shop</t>
        </is>
      </c>
      <c r="L256" t="inlineStr">
        <is>
          <t>KOTA BEKASI</t>
        </is>
      </c>
      <c r="M256" t="n">
        <v>7561513819</v>
      </c>
      <c r="N256" t="n">
        <v>14318452</v>
      </c>
      <c r="O256">
        <f>HYPERLINK("https://shopee.co.id/api/v4/item/get?itemid=7561513819&amp;shopid=14318452", "Ponds Micellar Water Brightening Rose 100ml 99% Makeup Remover dgn Niacinamide &amp; Vitamin C")</f>
        <v/>
      </c>
      <c r="P256" t="n">
        <v>631</v>
      </c>
      <c r="Q256" t="n">
        <v>1053</v>
      </c>
      <c r="R256" t="n">
        <v>4.810720676752887</v>
      </c>
      <c r="S256" t="n">
        <v>123</v>
      </c>
      <c r="T256" t="n">
        <v>93</v>
      </c>
      <c r="U256" t="n">
        <v>322</v>
      </c>
      <c r="V256" t="n">
        <v>947</v>
      </c>
      <c r="W256" t="n">
        <v>10819</v>
      </c>
    </row>
    <row r="257">
      <c r="A257" t="inlineStr">
        <is>
          <t>Vaseline Serum Healthy Bright SPF30 PA+++ 180ml</t>
        </is>
      </c>
      <c r="B257" t="inlineStr">
        <is>
          <t>Vaseline</t>
        </is>
      </c>
      <c r="C257" t="inlineStr">
        <is>
          <t>13%</t>
        </is>
      </c>
      <c r="D257" t="n">
        <v>49800</v>
      </c>
      <c r="E257" t="n">
        <v>57100</v>
      </c>
      <c r="F257" t="n">
        <v>49800</v>
      </c>
      <c r="G257" t="n">
        <v>57100</v>
      </c>
      <c r="H257" t="n">
        <v>49800</v>
      </c>
      <c r="I257" t="n">
        <v>57100</v>
      </c>
      <c r="J257" t="b">
        <v>1</v>
      </c>
      <c r="K257" t="inlineStr">
        <is>
          <t>Unilever Indonesia Official Shop</t>
        </is>
      </c>
      <c r="L257" t="inlineStr">
        <is>
          <t>KOTA BEKASI</t>
        </is>
      </c>
      <c r="M257" t="n">
        <v>224779146</v>
      </c>
      <c r="N257" t="n">
        <v>14318452</v>
      </c>
      <c r="O257">
        <f>HYPERLINK("https://shopee.co.id/api/v4/item/get?itemid=224779146&amp;shopid=14318452", "Vaseline Serum Healthy Bright SPF30 PA+++ 180ml")</f>
        <v/>
      </c>
      <c r="P257" t="n">
        <v>891</v>
      </c>
      <c r="Q257" t="n">
        <v>2021</v>
      </c>
      <c r="R257" t="n">
        <v>4.912072491078947</v>
      </c>
      <c r="S257" t="n">
        <v>101</v>
      </c>
      <c r="T257" t="n">
        <v>84</v>
      </c>
      <c r="U257" t="n">
        <v>380</v>
      </c>
      <c r="V257" t="n">
        <v>2994</v>
      </c>
      <c r="W257" t="n">
        <v>46330</v>
      </c>
    </row>
    <row r="258">
      <c r="A258" t="inlineStr">
        <is>
          <t>Rinso Detergen Cair Liquid Detergent Konsentrat Perfume Essence Proteksi Higienis 1.65L</t>
        </is>
      </c>
      <c r="B258" t="inlineStr"/>
      <c r="C258" t="inlineStr">
        <is>
          <t>21%</t>
        </is>
      </c>
      <c r="D258" t="n">
        <v>42000</v>
      </c>
      <c r="E258" t="n">
        <v>53200</v>
      </c>
      <c r="F258" t="n">
        <v>42000</v>
      </c>
      <c r="G258" t="n">
        <v>53200</v>
      </c>
      <c r="H258" t="n">
        <v>42000</v>
      </c>
      <c r="I258" t="n">
        <v>53200</v>
      </c>
      <c r="J258" t="b">
        <v>1</v>
      </c>
      <c r="K258" t="inlineStr">
        <is>
          <t>Unilever Indonesia Official Shop</t>
        </is>
      </c>
      <c r="L258" t="inlineStr">
        <is>
          <t>KOTA BEKASI</t>
        </is>
      </c>
      <c r="M258" t="n">
        <v>3911127100</v>
      </c>
      <c r="N258" t="n">
        <v>14318452</v>
      </c>
      <c r="O258">
        <f>HYPERLINK("https://shopee.co.id/api/v4/item/get?itemid=3911127100&amp;shopid=14318452", "Rinso Detergen Cair Liquid Detergent Konsentrat Perfume Essence Proteksi Higienis 1.65L")</f>
        <v/>
      </c>
      <c r="P258" t="n">
        <v>1654</v>
      </c>
      <c r="Q258" t="n">
        <v>898</v>
      </c>
      <c r="R258" t="n">
        <v>4.939574468085106</v>
      </c>
      <c r="S258" t="n">
        <v>31</v>
      </c>
      <c r="T258" t="n">
        <v>22</v>
      </c>
      <c r="U258" t="n">
        <v>62</v>
      </c>
      <c r="V258" t="n">
        <v>407</v>
      </c>
      <c r="W258" t="n">
        <v>11231</v>
      </c>
    </row>
    <row r="259">
      <c r="A259" t="inlineStr">
        <is>
          <t>Vaseline Body Lotion Pelembab Intensive Care Advanced Strength Untuk Kulit Kering 400Ml</t>
        </is>
      </c>
      <c r="B259" t="inlineStr">
        <is>
          <t>0</t>
        </is>
      </c>
      <c r="C259" t="inlineStr">
        <is>
          <t>27%</t>
        </is>
      </c>
      <c r="D259" t="n">
        <v>60700</v>
      </c>
      <c r="E259" t="n">
        <v>83700</v>
      </c>
      <c r="F259" t="n">
        <v>60700</v>
      </c>
      <c r="G259" t="n">
        <v>83700</v>
      </c>
      <c r="H259" t="n">
        <v>60700</v>
      </c>
      <c r="I259" t="n">
        <v>83700</v>
      </c>
      <c r="J259" t="b">
        <v>1</v>
      </c>
      <c r="K259" t="inlineStr">
        <is>
          <t>Unilever Indonesia Official Shop</t>
        </is>
      </c>
      <c r="L259" t="inlineStr">
        <is>
          <t>KOTA BEKASI</t>
        </is>
      </c>
      <c r="M259" t="n">
        <v>127357977</v>
      </c>
      <c r="N259" t="n">
        <v>14318452</v>
      </c>
      <c r="O259">
        <f>HYPERLINK("https://shopee.co.id/api/v4/item/get?itemid=127357977&amp;shopid=14318452", "Vaseline Body Lotion Pelembab Intensive Care Advanced Strength Untuk Kulit Kering 400Ml")</f>
        <v/>
      </c>
      <c r="P259" t="n">
        <v>1448</v>
      </c>
      <c r="Q259" t="n">
        <v>6</v>
      </c>
      <c r="R259" t="n">
        <v>4.907496369120769</v>
      </c>
      <c r="S259" t="n">
        <v>63</v>
      </c>
      <c r="T259" t="n">
        <v>41</v>
      </c>
      <c r="U259" t="n">
        <v>168</v>
      </c>
      <c r="V259" t="n">
        <v>967</v>
      </c>
      <c r="W259" t="n">
        <v>16670</v>
      </c>
    </row>
    <row r="260">
      <c r="A260" t="inlineStr">
        <is>
          <t>Zwitsal Parfum Eau De Toilette Spray Body Mist Wangi Lembut Khas Zwitsal 100Mlx2</t>
        </is>
      </c>
      <c r="B260" t="inlineStr">
        <is>
          <t>Zwitsal</t>
        </is>
      </c>
      <c r="C260" t="inlineStr">
        <is>
          <t>8%</t>
        </is>
      </c>
      <c r="D260" t="n">
        <v>56700</v>
      </c>
      <c r="E260" t="n">
        <v>61600</v>
      </c>
      <c r="F260" t="n">
        <v>56700</v>
      </c>
      <c r="G260" t="n">
        <v>61600</v>
      </c>
      <c r="H260" t="n">
        <v>56700</v>
      </c>
      <c r="I260" t="n">
        <v>61600</v>
      </c>
      <c r="J260" t="b">
        <v>1</v>
      </c>
      <c r="K260" t="inlineStr">
        <is>
          <t>Unilever Indonesia Official Shop</t>
        </is>
      </c>
      <c r="L260" t="inlineStr">
        <is>
          <t>KOTA BEKASI</t>
        </is>
      </c>
      <c r="M260" t="n">
        <v>5152681548</v>
      </c>
      <c r="N260" t="n">
        <v>14318452</v>
      </c>
      <c r="O260">
        <f>HYPERLINK("https://shopee.co.id/api/v4/item/get?itemid=5152681548&amp;shopid=14318452", "Zwitsal Parfum Eau De Toilette Spray Body Mist Wangi Lembut Khas Zwitsal 100Mlx2")</f>
        <v/>
      </c>
      <c r="P260" t="n">
        <v>621</v>
      </c>
      <c r="Q260" t="n">
        <v>1044</v>
      </c>
      <c r="R260" t="n">
        <v>4.898671934101034</v>
      </c>
      <c r="S260" t="n">
        <v>80</v>
      </c>
      <c r="T260" t="n">
        <v>75</v>
      </c>
      <c r="U260" t="n">
        <v>273</v>
      </c>
      <c r="V260" t="n">
        <v>1346</v>
      </c>
      <c r="W260" t="n">
        <v>22029</v>
      </c>
    </row>
    <row r="261">
      <c r="A261" t="inlineStr">
        <is>
          <t>Zwitsal Kids Shampoo Green Natural &amp; Nourishing Care 180 ml</t>
        </is>
      </c>
      <c r="B261" t="inlineStr">
        <is>
          <t>0</t>
        </is>
      </c>
      <c r="C261" t="inlineStr">
        <is>
          <t>18%</t>
        </is>
      </c>
      <c r="D261" t="n">
        <v>15500</v>
      </c>
      <c r="E261" t="n">
        <v>18800</v>
      </c>
      <c r="F261" t="n">
        <v>15500</v>
      </c>
      <c r="G261" t="n">
        <v>18800</v>
      </c>
      <c r="H261" t="n">
        <v>15500</v>
      </c>
      <c r="I261" t="n">
        <v>18800</v>
      </c>
      <c r="J261" t="b">
        <v>1</v>
      </c>
      <c r="K261" t="inlineStr">
        <is>
          <t>Unilever Indonesia Official Shop</t>
        </is>
      </c>
      <c r="L261" t="inlineStr">
        <is>
          <t>KOTA BEKASI</t>
        </is>
      </c>
      <c r="M261" t="n">
        <v>2889007337</v>
      </c>
      <c r="N261" t="n">
        <v>14318452</v>
      </c>
      <c r="O261">
        <f>HYPERLINK("https://shopee.co.id/api/v4/item/get?itemid=2889007337&amp;shopid=14318452", "Zwitsal Kids Shampoo Green Natural &amp; Nourishing Care 180 ml")</f>
        <v/>
      </c>
      <c r="P261" t="n">
        <v>504</v>
      </c>
      <c r="Q261" t="n">
        <v>432</v>
      </c>
      <c r="R261" t="n">
        <v>4.942265986753414</v>
      </c>
      <c r="S261" t="n">
        <v>27</v>
      </c>
      <c r="T261" t="n">
        <v>10</v>
      </c>
      <c r="U261" t="n">
        <v>67</v>
      </c>
      <c r="V261" t="n">
        <v>717</v>
      </c>
      <c r="W261" t="n">
        <v>16241</v>
      </c>
    </row>
    <row r="262">
      <c r="A262" t="inlineStr">
        <is>
          <t xml:space="preserve">Sahaja Powder Detergent Yasmin 700 gr </t>
        </is>
      </c>
      <c r="B262" t="inlineStr">
        <is>
          <t>None</t>
        </is>
      </c>
      <c r="C262" t="inlineStr">
        <is>
          <t>7%</t>
        </is>
      </c>
      <c r="D262" t="n">
        <v>15400</v>
      </c>
      <c r="E262" t="n">
        <v>16600</v>
      </c>
      <c r="F262" t="n">
        <v>15400</v>
      </c>
      <c r="G262" t="n">
        <v>16600</v>
      </c>
      <c r="H262" t="n">
        <v>15400</v>
      </c>
      <c r="I262" t="n">
        <v>16600</v>
      </c>
      <c r="J262" t="b">
        <v>1</v>
      </c>
      <c r="K262" t="inlineStr">
        <is>
          <t>Unilever Indonesia Official Shop</t>
        </is>
      </c>
      <c r="L262" t="inlineStr">
        <is>
          <t>KOTA BEKASI</t>
        </is>
      </c>
      <c r="M262" t="n">
        <v>7360554231</v>
      </c>
      <c r="N262" t="n">
        <v>14318452</v>
      </c>
      <c r="O262">
        <f>HYPERLINK("https://shopee.co.id/api/v4/item/get?itemid=7360554231&amp;shopid=14318452", "Sahaja Powder Detergent Yasmin 700 gr ")</f>
        <v/>
      </c>
      <c r="P262" t="n">
        <v>982</v>
      </c>
      <c r="Q262" t="n">
        <v>1906</v>
      </c>
      <c r="R262" t="n">
        <v>4.936277602523659</v>
      </c>
      <c r="S262" t="n">
        <v>14</v>
      </c>
      <c r="T262" t="n">
        <v>13</v>
      </c>
      <c r="U262" t="n">
        <v>40</v>
      </c>
      <c r="V262" t="n">
        <v>438</v>
      </c>
      <c r="W262" t="n">
        <v>9011</v>
      </c>
    </row>
    <row r="263">
      <c r="A263" t="inlineStr">
        <is>
          <t>Zwitsal Sabun Mandi Cair Bayi Perawatan Bayi Milk &amp; Honey Menutrisi Kulit Kering 450Ml</t>
        </is>
      </c>
      <c r="B263" t="inlineStr">
        <is>
          <t>Zwitsal</t>
        </is>
      </c>
      <c r="C263" t="inlineStr">
        <is>
          <t>20%</t>
        </is>
      </c>
      <c r="D263" t="n">
        <v>33300</v>
      </c>
      <c r="E263" t="n">
        <v>41500</v>
      </c>
      <c r="F263" t="n">
        <v>33300</v>
      </c>
      <c r="G263" t="n">
        <v>41500</v>
      </c>
      <c r="H263" t="n">
        <v>33300</v>
      </c>
      <c r="I263" t="n">
        <v>41500</v>
      </c>
      <c r="J263" t="b">
        <v>1</v>
      </c>
      <c r="K263" t="inlineStr">
        <is>
          <t>Unilever Indonesia Official Shop</t>
        </is>
      </c>
      <c r="L263" t="inlineStr">
        <is>
          <t>KOTA BEKASI</t>
        </is>
      </c>
      <c r="M263" t="n">
        <v>7920167861</v>
      </c>
      <c r="N263" t="n">
        <v>14318452</v>
      </c>
      <c r="O263">
        <f>HYPERLINK("https://shopee.co.id/api/v4/item/get?itemid=7920167861&amp;shopid=14318452", "Zwitsal Sabun Mandi Cair Bayi Perawatan Bayi Milk &amp; Honey Menutrisi Kulit Kering 450Ml")</f>
        <v/>
      </c>
      <c r="P263" t="n">
        <v>926</v>
      </c>
      <c r="Q263" t="n">
        <v>939</v>
      </c>
      <c r="R263" t="n">
        <v>4.945945945945946</v>
      </c>
      <c r="S263" t="n">
        <v>47</v>
      </c>
      <c r="T263" t="n">
        <v>19</v>
      </c>
      <c r="U263" t="n">
        <v>111</v>
      </c>
      <c r="V263" t="n">
        <v>1166</v>
      </c>
      <c r="W263" t="n">
        <v>28594</v>
      </c>
    </row>
    <row r="264">
      <c r="A264" t="inlineStr">
        <is>
          <t>Pond'S Clear Solution Shake &amp; Clean 100Ml</t>
        </is>
      </c>
      <c r="B264" t="inlineStr">
        <is>
          <t>Pond's</t>
        </is>
      </c>
      <c r="C264" t="inlineStr">
        <is>
          <t>11%</t>
        </is>
      </c>
      <c r="D264" t="n">
        <v>27200</v>
      </c>
      <c r="E264" t="n">
        <v>30700</v>
      </c>
      <c r="F264" t="n">
        <v>27200</v>
      </c>
      <c r="G264" t="n">
        <v>30700</v>
      </c>
      <c r="H264" t="n">
        <v>27200</v>
      </c>
      <c r="I264" t="n">
        <v>30700</v>
      </c>
      <c r="J264" t="b">
        <v>1</v>
      </c>
      <c r="K264" t="inlineStr">
        <is>
          <t>Unilever Indonesia Official Shop</t>
        </is>
      </c>
      <c r="L264" t="inlineStr">
        <is>
          <t>KOTA BEKASI</t>
        </is>
      </c>
      <c r="M264" t="n">
        <v>127358189</v>
      </c>
      <c r="N264" t="n">
        <v>14318452</v>
      </c>
      <c r="O264">
        <f>HYPERLINK("https://shopee.co.id/api/v4/item/get?itemid=127358189&amp;shopid=14318452", "Pond'S Clear Solution Shake &amp; Clean 100Ml")</f>
        <v/>
      </c>
      <c r="P264" t="n">
        <v>205</v>
      </c>
      <c r="Q264" t="n">
        <v>379</v>
      </c>
      <c r="R264" t="n">
        <v>4.923309670662167</v>
      </c>
      <c r="S264" t="n">
        <v>18</v>
      </c>
      <c r="T264" t="n">
        <v>13</v>
      </c>
      <c r="U264" t="n">
        <v>68</v>
      </c>
      <c r="V264" t="n">
        <v>419</v>
      </c>
      <c r="W264" t="n">
        <v>8079</v>
      </c>
    </row>
    <row r="265">
      <c r="A265" t="inlineStr">
        <is>
          <t>ZWITSAL KIDS SHAMPOO PINK SOFT &amp; MOISTURIZING 180ml TWINPACK</t>
        </is>
      </c>
      <c r="B265" t="inlineStr">
        <is>
          <t>0</t>
        </is>
      </c>
      <c r="C265" t="inlineStr">
        <is>
          <t>18%</t>
        </is>
      </c>
      <c r="D265" t="n">
        <v>29900</v>
      </c>
      <c r="E265" t="n">
        <v>36600</v>
      </c>
      <c r="F265" t="n">
        <v>29900</v>
      </c>
      <c r="G265" t="n">
        <v>36600</v>
      </c>
      <c r="H265" t="n">
        <v>29900</v>
      </c>
      <c r="I265" t="n">
        <v>36600</v>
      </c>
      <c r="J265" t="b">
        <v>1</v>
      </c>
      <c r="K265" t="inlineStr">
        <is>
          <t>Unilever Indonesia Official Shop</t>
        </is>
      </c>
      <c r="L265" t="inlineStr">
        <is>
          <t>KOTA BEKASI</t>
        </is>
      </c>
      <c r="M265" t="n">
        <v>6931332806</v>
      </c>
      <c r="N265" t="n">
        <v>14318452</v>
      </c>
      <c r="O265">
        <f>HYPERLINK("https://shopee.co.id/api/v4/item/get?itemid=6931332806&amp;shopid=14318452", "ZWITSAL KIDS SHAMPOO PINK SOFT &amp; MOISTURIZING 180ml TWINPACK")</f>
        <v/>
      </c>
      <c r="P265" t="n">
        <v>426</v>
      </c>
      <c r="Q265" t="n">
        <v>402</v>
      </c>
      <c r="R265" t="n">
        <v>4.955599734923791</v>
      </c>
      <c r="S265" t="n">
        <v>8</v>
      </c>
      <c r="T265" t="n">
        <v>5</v>
      </c>
      <c r="U265" t="n">
        <v>24</v>
      </c>
      <c r="V265" t="n">
        <v>247</v>
      </c>
      <c r="W265" t="n">
        <v>7263</v>
      </c>
    </row>
    <row r="266">
      <c r="A266" t="inlineStr">
        <is>
          <t>Lifebuoy Body Wash Refill Yoghurt Care 450ml</t>
        </is>
      </c>
      <c r="B266" t="inlineStr"/>
      <c r="C266" t="inlineStr">
        <is>
          <t>24%</t>
        </is>
      </c>
      <c r="D266" t="n">
        <v>23600</v>
      </c>
      <c r="E266" t="n">
        <v>31000</v>
      </c>
      <c r="F266" t="n">
        <v>23600</v>
      </c>
      <c r="G266" t="n">
        <v>31000</v>
      </c>
      <c r="H266" t="n">
        <v>23600</v>
      </c>
      <c r="I266" t="n">
        <v>31000</v>
      </c>
      <c r="J266" t="b">
        <v>1</v>
      </c>
      <c r="K266" t="inlineStr">
        <is>
          <t>Unilever Indonesia Official Shop</t>
        </is>
      </c>
      <c r="L266" t="inlineStr">
        <is>
          <t>KAB. BANYUASIN</t>
        </is>
      </c>
      <c r="M266" t="n">
        <v>4231858267</v>
      </c>
      <c r="N266" t="n">
        <v>14318452</v>
      </c>
      <c r="O266">
        <f>HYPERLINK("https://shopee.co.id/api/v4/item/get?itemid=4231858267&amp;shopid=14318452", "Lifebuoy Body Wash Refill Yoghurt Care 450ml")</f>
        <v/>
      </c>
      <c r="P266" t="n">
        <v>567</v>
      </c>
      <c r="Q266" t="n">
        <v>16</v>
      </c>
      <c r="R266" t="n">
        <v>4.934957463263728</v>
      </c>
      <c r="S266" t="n">
        <v>24</v>
      </c>
      <c r="T266" t="n">
        <v>14</v>
      </c>
      <c r="U266" t="n">
        <v>59</v>
      </c>
      <c r="V266" t="n">
        <v>588</v>
      </c>
      <c r="W266" t="n">
        <v>12246</v>
      </c>
    </row>
    <row r="267">
      <c r="A267" t="inlineStr">
        <is>
          <t>Citra Sabun Mandi Natural Glow Bengkoang 70 gr</t>
        </is>
      </c>
      <c r="B267" t="inlineStr">
        <is>
          <t>0</t>
        </is>
      </c>
      <c r="C267" t="inlineStr">
        <is>
          <t>3%</t>
        </is>
      </c>
      <c r="D267" t="n">
        <v>3500</v>
      </c>
      <c r="E267" t="n">
        <v>3600</v>
      </c>
      <c r="F267" t="n">
        <v>3500</v>
      </c>
      <c r="G267" t="n">
        <v>3600</v>
      </c>
      <c r="H267" t="n">
        <v>3500</v>
      </c>
      <c r="I267" t="n">
        <v>3600</v>
      </c>
      <c r="J267" t="b">
        <v>1</v>
      </c>
      <c r="K267" t="inlineStr">
        <is>
          <t>Unilever Indonesia Official Shop</t>
        </is>
      </c>
      <c r="L267" t="inlineStr">
        <is>
          <t>KOTA BEKASI</t>
        </is>
      </c>
      <c r="M267" t="n">
        <v>1040520541</v>
      </c>
      <c r="N267" t="n">
        <v>14318452</v>
      </c>
      <c r="O267">
        <f>HYPERLINK("https://shopee.co.id/api/v4/item/get?itemid=1040520541&amp;shopid=14318452", "Citra Sabun Mandi Natural Glow Bengkoang 70 gr")</f>
        <v/>
      </c>
      <c r="P267" t="n">
        <v>1335</v>
      </c>
      <c r="Q267" t="n">
        <v>7896</v>
      </c>
      <c r="R267" t="n">
        <v>4.923163357031952</v>
      </c>
      <c r="S267" t="n">
        <v>97</v>
      </c>
      <c r="T267" t="n">
        <v>63</v>
      </c>
      <c r="U267" t="n">
        <v>337</v>
      </c>
      <c r="V267" t="n">
        <v>2551</v>
      </c>
      <c r="W267" t="n">
        <v>45927</v>
      </c>
    </row>
    <row r="268">
      <c r="A268" t="inlineStr">
        <is>
          <t>Vaseline Lotion Intensive Care Aloe Soothe 400ml Twin Pack</t>
        </is>
      </c>
      <c r="B268" t="inlineStr">
        <is>
          <t>Vaseline</t>
        </is>
      </c>
      <c r="C268" t="inlineStr">
        <is>
          <t>14%</t>
        </is>
      </c>
      <c r="D268" t="n">
        <v>109900</v>
      </c>
      <c r="E268" t="n">
        <v>127100</v>
      </c>
      <c r="F268" t="n">
        <v>109900</v>
      </c>
      <c r="G268" t="n">
        <v>127100</v>
      </c>
      <c r="H268" t="n">
        <v>109900</v>
      </c>
      <c r="I268" t="n">
        <v>127100</v>
      </c>
      <c r="J268" t="b">
        <v>1</v>
      </c>
      <c r="K268" t="inlineStr">
        <is>
          <t>Unilever Indonesia Official Shop</t>
        </is>
      </c>
      <c r="L268" t="inlineStr">
        <is>
          <t>KOTA BEKASI</t>
        </is>
      </c>
      <c r="M268" t="n">
        <v>7731720906</v>
      </c>
      <c r="N268" t="n">
        <v>14318452</v>
      </c>
      <c r="O268">
        <f>HYPERLINK("https://shopee.co.id/api/v4/item/get?itemid=7731720906&amp;shopid=14318452", "Vaseline Lotion Intensive Care Aloe Soothe 400ml Twin Pack")</f>
        <v/>
      </c>
      <c r="P268" t="n">
        <v>374</v>
      </c>
      <c r="Q268" t="n">
        <v>1042</v>
      </c>
      <c r="R268" t="n">
        <v>4.916921820779751</v>
      </c>
      <c r="S268" t="n">
        <v>13</v>
      </c>
      <c r="T268" t="n">
        <v>16</v>
      </c>
      <c r="U268" t="n">
        <v>40</v>
      </c>
      <c r="V268" t="n">
        <v>237</v>
      </c>
      <c r="W268" t="n">
        <v>4596</v>
      </c>
    </row>
    <row r="269">
      <c r="A269" t="inlineStr">
        <is>
          <t>Rinso Deterjen Bubuk Detergent Rose Fresh Anti Bau &amp; Apek + Proteksi Higienis 1.8Kg</t>
        </is>
      </c>
      <c r="B269" t="inlineStr">
        <is>
          <t>Rinso</t>
        </is>
      </c>
      <c r="C269" t="inlineStr">
        <is>
          <t>19%</t>
        </is>
      </c>
      <c r="D269" t="n">
        <v>55000</v>
      </c>
      <c r="E269" t="n">
        <v>68000</v>
      </c>
      <c r="F269" t="n">
        <v>55000</v>
      </c>
      <c r="G269" t="n">
        <v>68000</v>
      </c>
      <c r="H269" t="n">
        <v>55000</v>
      </c>
      <c r="I269" t="n">
        <v>68000</v>
      </c>
      <c r="J269" t="b">
        <v>1</v>
      </c>
      <c r="K269" t="inlineStr">
        <is>
          <t>Unilever Indonesia Official Shop</t>
        </is>
      </c>
      <c r="L269" t="inlineStr">
        <is>
          <t>KOTA BEKASI</t>
        </is>
      </c>
      <c r="M269" t="n">
        <v>1042550482</v>
      </c>
      <c r="N269" t="n">
        <v>14318452</v>
      </c>
      <c r="O269">
        <f>HYPERLINK("https://shopee.co.id/api/v4/item/get?itemid=1042550482&amp;shopid=14318452", "Rinso Deterjen Bubuk Detergent Rose Fresh Anti Bau &amp; Apek + Proteksi Higienis 1.8Kg")</f>
        <v/>
      </c>
      <c r="P269" t="n">
        <v>758</v>
      </c>
      <c r="Q269" t="n">
        <v>1580</v>
      </c>
      <c r="R269" t="n">
        <v>4.934706683241579</v>
      </c>
      <c r="S269" t="n">
        <v>82</v>
      </c>
      <c r="T269" t="n">
        <v>54</v>
      </c>
      <c r="U269" t="n">
        <v>210</v>
      </c>
      <c r="V269" t="n">
        <v>1329</v>
      </c>
      <c r="W269" t="n">
        <v>32125</v>
      </c>
    </row>
    <row r="270">
      <c r="A270" t="inlineStr">
        <is>
          <t>Ponds Men Sabun Cuci Muka Pembersih Wajah Pria Bright Boost With Niacinamide 100Gx2</t>
        </is>
      </c>
      <c r="B270" t="inlineStr">
        <is>
          <t>Pond's</t>
        </is>
      </c>
      <c r="C270" t="inlineStr">
        <is>
          <t>14%</t>
        </is>
      </c>
      <c r="D270" t="n">
        <v>69300</v>
      </c>
      <c r="E270" t="n">
        <v>80500</v>
      </c>
      <c r="F270" t="n">
        <v>69300</v>
      </c>
      <c r="G270" t="n">
        <v>80500</v>
      </c>
      <c r="H270" t="n">
        <v>69300</v>
      </c>
      <c r="I270" t="n">
        <v>80500</v>
      </c>
      <c r="J270" t="b">
        <v>1</v>
      </c>
      <c r="K270" t="inlineStr">
        <is>
          <t>Unilever Indonesia Official Shop</t>
        </is>
      </c>
      <c r="L270" t="inlineStr">
        <is>
          <t>KOTA BEKASI</t>
        </is>
      </c>
      <c r="M270" t="n">
        <v>3631478506</v>
      </c>
      <c r="N270" t="n">
        <v>14318452</v>
      </c>
      <c r="O270">
        <f>HYPERLINK("https://shopee.co.id/api/v4/item/get?itemid=3631478506&amp;shopid=14318452", "Ponds Men Sabun Cuci Muka Pembersih Wajah Pria Bright Boost With Niacinamide 100Gx2")</f>
        <v/>
      </c>
      <c r="P270" t="n">
        <v>546</v>
      </c>
      <c r="Q270" t="n">
        <v>1306</v>
      </c>
      <c r="R270" t="n">
        <v>4.886666666666667</v>
      </c>
      <c r="S270" t="n">
        <v>36</v>
      </c>
      <c r="T270" t="n">
        <v>21</v>
      </c>
      <c r="U270" t="n">
        <v>60</v>
      </c>
      <c r="V270" t="n">
        <v>343</v>
      </c>
      <c r="W270" t="n">
        <v>5392</v>
      </c>
    </row>
    <row r="271">
      <c r="A271" t="inlineStr">
        <is>
          <t>Lifebuoy Body Wash Refill Antibacterial Mild Care 825ml</t>
        </is>
      </c>
      <c r="B271" t="inlineStr">
        <is>
          <t>Lifebuoy</t>
        </is>
      </c>
      <c r="C271" t="inlineStr">
        <is>
          <t>11%</t>
        </is>
      </c>
      <c r="D271" t="n">
        <v>44300</v>
      </c>
      <c r="E271" t="n">
        <v>49500</v>
      </c>
      <c r="F271" t="n">
        <v>44300</v>
      </c>
      <c r="G271" t="n">
        <v>49500</v>
      </c>
      <c r="H271" t="n">
        <v>44300</v>
      </c>
      <c r="I271" t="n">
        <v>49500</v>
      </c>
      <c r="J271" t="b">
        <v>1</v>
      </c>
      <c r="K271" t="inlineStr">
        <is>
          <t>Unilever Indonesia Official Shop</t>
        </is>
      </c>
      <c r="L271" t="inlineStr">
        <is>
          <t>KOTA SEMARANG</t>
        </is>
      </c>
      <c r="M271" t="n">
        <v>986465676</v>
      </c>
      <c r="N271" t="n">
        <v>14318452</v>
      </c>
      <c r="O271">
        <f>HYPERLINK("https://shopee.co.id/api/v4/item/get?itemid=986465676&amp;shopid=14318452", "Lifebuoy Body Wash Refill Antibacterial Mild Care 825ml")</f>
        <v/>
      </c>
      <c r="P271" t="n">
        <v>1793</v>
      </c>
      <c r="Q271" t="n">
        <v>50</v>
      </c>
      <c r="R271" t="n">
        <v>4.945427457019937</v>
      </c>
      <c r="S271" t="n">
        <v>110</v>
      </c>
      <c r="T271" t="n">
        <v>46</v>
      </c>
      <c r="U271" t="n">
        <v>277</v>
      </c>
      <c r="V271" t="n">
        <v>2157</v>
      </c>
      <c r="W271" t="n">
        <v>57173</v>
      </c>
    </row>
    <row r="272">
      <c r="A272" t="inlineStr">
        <is>
          <t>Zwitsal Baby Shampoo Natural Aloe Vera Kemiri Seledri Refill 250 ml</t>
        </is>
      </c>
      <c r="B272" t="inlineStr">
        <is>
          <t>0</t>
        </is>
      </c>
      <c r="C272" t="inlineStr">
        <is>
          <t>17%</t>
        </is>
      </c>
      <c r="D272" t="n">
        <v>22700</v>
      </c>
      <c r="E272" t="n">
        <v>27300</v>
      </c>
      <c r="F272" t="n">
        <v>22700</v>
      </c>
      <c r="G272" t="n">
        <v>27300</v>
      </c>
      <c r="H272" t="n">
        <v>22700</v>
      </c>
      <c r="I272" t="n">
        <v>27300</v>
      </c>
      <c r="J272" t="b">
        <v>1</v>
      </c>
      <c r="K272" t="inlineStr">
        <is>
          <t>Unilever Indonesia Official Shop</t>
        </is>
      </c>
      <c r="L272" t="inlineStr">
        <is>
          <t>KAB. BANYUASIN</t>
        </is>
      </c>
      <c r="M272" t="n">
        <v>1026039957</v>
      </c>
      <c r="N272" t="n">
        <v>14318452</v>
      </c>
      <c r="O272">
        <f>HYPERLINK("https://shopee.co.id/api/v4/item/get?itemid=1026039957&amp;shopid=14318452", "Zwitsal Baby Shampoo Natural Aloe Vera Kemiri Seledri Refill 250 ml")</f>
        <v/>
      </c>
      <c r="P272" t="n">
        <v>2179</v>
      </c>
      <c r="Q272" t="n">
        <v>350</v>
      </c>
      <c r="R272" t="n">
        <v>4.93576854334227</v>
      </c>
      <c r="S272" t="n">
        <v>29</v>
      </c>
      <c r="T272" t="n">
        <v>22</v>
      </c>
      <c r="U272" t="n">
        <v>92</v>
      </c>
      <c r="V272" t="n">
        <v>787</v>
      </c>
      <c r="W272" t="n">
        <v>16975</v>
      </c>
    </row>
    <row r="273">
      <c r="A273" t="inlineStr">
        <is>
          <t>Glow &amp; Lovely Cream Moisturizer Pelembab Wajah Multi Vitamin 46g</t>
        </is>
      </c>
      <c r="B273" t="inlineStr">
        <is>
          <t>Fair &amp; Lovely</t>
        </is>
      </c>
      <c r="C273" t="inlineStr">
        <is>
          <t>16%</t>
        </is>
      </c>
      <c r="D273" t="n">
        <v>30500</v>
      </c>
      <c r="E273" t="n">
        <v>36300</v>
      </c>
      <c r="F273" t="n">
        <v>30500</v>
      </c>
      <c r="G273" t="n">
        <v>36300</v>
      </c>
      <c r="H273" t="n">
        <v>30500</v>
      </c>
      <c r="I273" t="n">
        <v>36300</v>
      </c>
      <c r="J273" t="b">
        <v>1</v>
      </c>
      <c r="K273" t="inlineStr">
        <is>
          <t>Unilever Indonesia Official Shop</t>
        </is>
      </c>
      <c r="L273" t="inlineStr">
        <is>
          <t>KOTA BEKASI</t>
        </is>
      </c>
      <c r="M273" t="n">
        <v>4260897533</v>
      </c>
      <c r="N273" t="n">
        <v>14318452</v>
      </c>
      <c r="O273">
        <f>HYPERLINK("https://shopee.co.id/api/v4/item/get?itemid=4260897533&amp;shopid=14318452", "Glow &amp; Lovely Cream Moisturizer Pelembab Wajah Multi Vitamin 46g")</f>
        <v/>
      </c>
      <c r="P273" t="n">
        <v>436</v>
      </c>
      <c r="Q273" t="n">
        <v>1679</v>
      </c>
      <c r="R273" t="n">
        <v>4.885401670025915</v>
      </c>
      <c r="S273" t="n">
        <v>10</v>
      </c>
      <c r="T273" t="n">
        <v>12</v>
      </c>
      <c r="U273" t="n">
        <v>44</v>
      </c>
      <c r="V273" t="n">
        <v>241</v>
      </c>
      <c r="W273" t="n">
        <v>3168</v>
      </c>
    </row>
    <row r="274">
      <c r="A274" t="inlineStr">
        <is>
          <t>Pond's Pure Bright Whip Foam 100g Twin Pack</t>
        </is>
      </c>
      <c r="B274" t="inlineStr"/>
      <c r="C274" t="inlineStr">
        <is>
          <t>11%</t>
        </is>
      </c>
      <c r="D274" t="n">
        <v>48500</v>
      </c>
      <c r="E274" t="n">
        <v>54400</v>
      </c>
      <c r="F274" t="n">
        <v>48500</v>
      </c>
      <c r="G274" t="n">
        <v>54400</v>
      </c>
      <c r="H274" t="n">
        <v>48500</v>
      </c>
      <c r="I274" t="n">
        <v>54400</v>
      </c>
      <c r="J274" t="b">
        <v>1</v>
      </c>
      <c r="K274" t="inlineStr">
        <is>
          <t>Unilever Indonesia Official Shop</t>
        </is>
      </c>
      <c r="L274" t="inlineStr">
        <is>
          <t>KOTA BEKASI</t>
        </is>
      </c>
      <c r="M274" t="n">
        <v>7364997314</v>
      </c>
      <c r="N274" t="n">
        <v>14318452</v>
      </c>
      <c r="O274">
        <f>HYPERLINK("https://shopee.co.id/api/v4/item/get?itemid=7364997314&amp;shopid=14318452", "Pond's Pure Bright Whip Foam 100g Twin Pack")</f>
        <v/>
      </c>
      <c r="P274" t="n">
        <v>185</v>
      </c>
      <c r="Q274" t="n">
        <v>367</v>
      </c>
      <c r="R274" t="n">
        <v>4.934519205980923</v>
      </c>
      <c r="S274" t="n">
        <v>11</v>
      </c>
      <c r="T274" t="n">
        <v>4</v>
      </c>
      <c r="U274" t="n">
        <v>16</v>
      </c>
      <c r="V274" t="n">
        <v>170</v>
      </c>
      <c r="W274" t="n">
        <v>3683</v>
      </c>
    </row>
    <row r="275">
      <c r="A275" t="inlineStr">
        <is>
          <t>Pepsodent Pasta Gigi Action 123 Siwak Anticavity And Fresh Halal Natural 110G</t>
        </is>
      </c>
      <c r="B275" t="inlineStr">
        <is>
          <t>Pepsodent</t>
        </is>
      </c>
      <c r="C275" t="inlineStr">
        <is>
          <t>17%</t>
        </is>
      </c>
      <c r="D275" t="n">
        <v>10400</v>
      </c>
      <c r="E275" t="n">
        <v>12600</v>
      </c>
      <c r="F275" t="n">
        <v>10400</v>
      </c>
      <c r="G275" t="n">
        <v>12600</v>
      </c>
      <c r="H275" t="n">
        <v>10400</v>
      </c>
      <c r="I275" t="n">
        <v>12600</v>
      </c>
      <c r="J275" t="b">
        <v>1</v>
      </c>
      <c r="K275" t="inlineStr">
        <is>
          <t>Unilever Indonesia Official Shop</t>
        </is>
      </c>
      <c r="L275" t="inlineStr">
        <is>
          <t>KOTA BEKASI</t>
        </is>
      </c>
      <c r="M275" t="n">
        <v>3617506648</v>
      </c>
      <c r="N275" t="n">
        <v>14318452</v>
      </c>
      <c r="O275">
        <f>HYPERLINK("https://shopee.co.id/api/v4/item/get?itemid=3617506648&amp;shopid=14318452", "Pepsodent Pasta Gigi Action 123 Siwak Anticavity And Fresh Halal Natural 110G")</f>
        <v/>
      </c>
      <c r="P275" t="n">
        <v>522</v>
      </c>
      <c r="Q275" t="n">
        <v>240</v>
      </c>
      <c r="R275" t="n">
        <v>4.927089880578253</v>
      </c>
      <c r="S275" t="n">
        <v>7</v>
      </c>
      <c r="T275" t="n">
        <v>11</v>
      </c>
      <c r="U275" t="n">
        <v>60</v>
      </c>
      <c r="V275" t="n">
        <v>411</v>
      </c>
      <c r="W275" t="n">
        <v>7469</v>
      </c>
    </row>
    <row r="276">
      <c r="A276" t="inlineStr">
        <is>
          <t>Vaseline Vitamin Body Serum Body Lotion Firm Glow Anti Aging With Aha &amp; Pro-Retinol 180Ml</t>
        </is>
      </c>
      <c r="B276" t="inlineStr">
        <is>
          <t>None</t>
        </is>
      </c>
      <c r="C276" t="inlineStr">
        <is>
          <t>14%</t>
        </is>
      </c>
      <c r="D276" t="n">
        <v>30600</v>
      </c>
      <c r="E276" t="n">
        <v>35700</v>
      </c>
      <c r="F276" t="n">
        <v>30600</v>
      </c>
      <c r="G276" t="n">
        <v>35700</v>
      </c>
      <c r="H276" t="n">
        <v>30600</v>
      </c>
      <c r="I276" t="n">
        <v>35700</v>
      </c>
      <c r="J276" t="b">
        <v>1</v>
      </c>
      <c r="K276" t="inlineStr">
        <is>
          <t>Unilever Indonesia Official Shop</t>
        </is>
      </c>
      <c r="L276" t="inlineStr">
        <is>
          <t>KOTA BEKASI</t>
        </is>
      </c>
      <c r="M276" t="n">
        <v>3420969643</v>
      </c>
      <c r="N276" t="n">
        <v>14318452</v>
      </c>
      <c r="O276">
        <f>HYPERLINK("https://shopee.co.id/api/v4/item/get?itemid=3420969643&amp;shopid=14318452", "Vaseline Vitamin Body Serum Body Lotion Firm Glow Anti Aging With Aha &amp; Pro-Retinol 180Ml")</f>
        <v/>
      </c>
      <c r="P276" t="n">
        <v>717</v>
      </c>
      <c r="Q276" t="n">
        <v>1405</v>
      </c>
      <c r="R276" t="n">
        <v>4.925739111225655</v>
      </c>
      <c r="S276" t="n">
        <v>37</v>
      </c>
      <c r="T276" t="n">
        <v>32</v>
      </c>
      <c r="U276" t="n">
        <v>173</v>
      </c>
      <c r="V276" t="n">
        <v>1444</v>
      </c>
      <c r="W276" t="n">
        <v>25480</v>
      </c>
    </row>
    <row r="277">
      <c r="A277" t="inlineStr">
        <is>
          <t>Vaseline Men Active Bright Acne Expert Face Wash 100G</t>
        </is>
      </c>
      <c r="B277" t="inlineStr">
        <is>
          <t>Vaseline</t>
        </is>
      </c>
      <c r="C277" t="inlineStr">
        <is>
          <t>5%</t>
        </is>
      </c>
      <c r="D277" t="n">
        <v>38300</v>
      </c>
      <c r="E277" t="n">
        <v>40400</v>
      </c>
      <c r="F277" t="n">
        <v>38300</v>
      </c>
      <c r="G277" t="n">
        <v>40400</v>
      </c>
      <c r="H277" t="n">
        <v>38300</v>
      </c>
      <c r="I277" t="n">
        <v>40400</v>
      </c>
      <c r="J277" t="b">
        <v>1</v>
      </c>
      <c r="K277" t="inlineStr">
        <is>
          <t>Unilever Indonesia Official Shop</t>
        </is>
      </c>
      <c r="L277" t="inlineStr">
        <is>
          <t>KOTA BEKASI</t>
        </is>
      </c>
      <c r="M277" t="n">
        <v>127345881</v>
      </c>
      <c r="N277" t="n">
        <v>14318452</v>
      </c>
      <c r="O277">
        <f>HYPERLINK("https://shopee.co.id/api/v4/item/get?itemid=127345881&amp;shopid=14318452", "Vaseline Men Active Bright Acne Expert Face Wash 100G")</f>
        <v/>
      </c>
      <c r="P277" t="n">
        <v>357</v>
      </c>
      <c r="Q277" t="n">
        <v>525</v>
      </c>
      <c r="R277" t="n">
        <v>4.895177494976557</v>
      </c>
      <c r="S277" t="n">
        <v>20</v>
      </c>
      <c r="T277" t="n">
        <v>20</v>
      </c>
      <c r="U277" t="n">
        <v>60</v>
      </c>
      <c r="V277" t="n">
        <v>383</v>
      </c>
      <c r="W277" t="n">
        <v>5494</v>
      </c>
    </row>
    <row r="278">
      <c r="A278" t="inlineStr">
        <is>
          <t>Vaseline Healthy Bright Vitamin Gel Serum Fresh Glow 180 ml</t>
        </is>
      </c>
      <c r="B278" t="inlineStr">
        <is>
          <t>None</t>
        </is>
      </c>
      <c r="C278" t="inlineStr">
        <is>
          <t>14%</t>
        </is>
      </c>
      <c r="D278" t="n">
        <v>27500</v>
      </c>
      <c r="E278" t="n">
        <v>31900</v>
      </c>
      <c r="F278" t="n">
        <v>27500</v>
      </c>
      <c r="G278" t="n">
        <v>31900</v>
      </c>
      <c r="H278" t="n">
        <v>27500</v>
      </c>
      <c r="I278" t="n">
        <v>31900</v>
      </c>
      <c r="J278" t="b">
        <v>1</v>
      </c>
      <c r="K278" t="inlineStr">
        <is>
          <t>Unilever Indonesia Official Shop</t>
        </is>
      </c>
      <c r="L278" t="inlineStr">
        <is>
          <t>KOTA BEKASI</t>
        </is>
      </c>
      <c r="M278" t="n">
        <v>5960818096</v>
      </c>
      <c r="N278" t="n">
        <v>14318452</v>
      </c>
      <c r="O278">
        <f>HYPERLINK("https://shopee.co.id/api/v4/item/get?itemid=5960818096&amp;shopid=14318452", "Vaseline Healthy Bright Vitamin Gel Serum Fresh Glow 180 ml")</f>
        <v/>
      </c>
      <c r="P278" t="n">
        <v>350</v>
      </c>
      <c r="Q278" t="n">
        <v>526</v>
      </c>
      <c r="R278" t="n">
        <v>4.919338159255429</v>
      </c>
      <c r="S278" t="n">
        <v>20</v>
      </c>
      <c r="T278" t="n">
        <v>7</v>
      </c>
      <c r="U278" t="n">
        <v>45</v>
      </c>
      <c r="V278" t="n">
        <v>522</v>
      </c>
      <c r="W278" t="n">
        <v>8112</v>
      </c>
    </row>
    <row r="279">
      <c r="A279" t="inlineStr">
        <is>
          <t>Vaseline Lip Therapy Creme Brulee 7 gr</t>
        </is>
      </c>
      <c r="B279" t="inlineStr">
        <is>
          <t>Vaseline</t>
        </is>
      </c>
      <c r="C279" t="inlineStr">
        <is>
          <t>17%</t>
        </is>
      </c>
      <c r="D279" t="n">
        <v>31100</v>
      </c>
      <c r="E279" t="n">
        <v>37300</v>
      </c>
      <c r="F279" t="n">
        <v>31100</v>
      </c>
      <c r="G279" t="n">
        <v>37300</v>
      </c>
      <c r="H279" t="n">
        <v>31100</v>
      </c>
      <c r="I279" t="n">
        <v>37300</v>
      </c>
      <c r="J279" t="b">
        <v>1</v>
      </c>
      <c r="K279" t="inlineStr">
        <is>
          <t>Unilever Indonesia Official Shop</t>
        </is>
      </c>
      <c r="L279" t="inlineStr">
        <is>
          <t>KOTA BEKASI</t>
        </is>
      </c>
      <c r="M279" t="n">
        <v>2523768440</v>
      </c>
      <c r="N279" t="n">
        <v>14318452</v>
      </c>
      <c r="O279">
        <f>HYPERLINK("https://shopee.co.id/api/v4/item/get?itemid=2523768440&amp;shopid=14318452", "Vaseline Lip Therapy Creme Brulee 7 gr")</f>
        <v/>
      </c>
      <c r="P279" t="n">
        <v>515</v>
      </c>
      <c r="Q279" t="n">
        <v>219</v>
      </c>
      <c r="R279" t="n">
        <v>4.918858744949286</v>
      </c>
      <c r="S279" t="n">
        <v>26</v>
      </c>
      <c r="T279" t="n">
        <v>20</v>
      </c>
      <c r="U279" t="n">
        <v>96</v>
      </c>
      <c r="V279" t="n">
        <v>632</v>
      </c>
      <c r="W279" t="n">
        <v>11354</v>
      </c>
    </row>
    <row r="280">
      <c r="A280" t="inlineStr">
        <is>
          <t>Vaseline Lotion Healthy Bright Perfect 10 400ml</t>
        </is>
      </c>
      <c r="B280" t="inlineStr">
        <is>
          <t>Vaseline</t>
        </is>
      </c>
      <c r="C280" t="inlineStr">
        <is>
          <t>14%</t>
        </is>
      </c>
      <c r="D280" t="n">
        <v>72300</v>
      </c>
      <c r="E280" t="n">
        <v>83700</v>
      </c>
      <c r="F280" t="n">
        <v>72300</v>
      </c>
      <c r="G280" t="n">
        <v>83700</v>
      </c>
      <c r="H280" t="n">
        <v>72300</v>
      </c>
      <c r="I280" t="n">
        <v>83700</v>
      </c>
      <c r="J280" t="b">
        <v>1</v>
      </c>
      <c r="K280" t="inlineStr">
        <is>
          <t>Unilever Indonesia Official Shop</t>
        </is>
      </c>
      <c r="L280" t="inlineStr">
        <is>
          <t>KOTA BEKASI</t>
        </is>
      </c>
      <c r="M280" t="n">
        <v>127345864</v>
      </c>
      <c r="N280" t="n">
        <v>14318452</v>
      </c>
      <c r="O280">
        <f>HYPERLINK("https://shopee.co.id/api/v4/item/get?itemid=127345864&amp;shopid=14318452", "Vaseline Lotion Healthy Bright Perfect 10 400ml")</f>
        <v/>
      </c>
      <c r="P280" t="n">
        <v>497</v>
      </c>
      <c r="Q280" t="n">
        <v>3173</v>
      </c>
      <c r="R280" t="n">
        <v>4.910963904285521</v>
      </c>
      <c r="S280" t="n">
        <v>114</v>
      </c>
      <c r="T280" t="n">
        <v>68</v>
      </c>
      <c r="U280" t="n">
        <v>310</v>
      </c>
      <c r="V280" t="n">
        <v>2073</v>
      </c>
      <c r="W280" t="n">
        <v>34438</v>
      </c>
    </row>
    <row r="281">
      <c r="A281" t="inlineStr">
        <is>
          <t>Zwitsal Baby Hair Lotion Aloe Vera Kemiri Seledri Penumbuh Rambut Bayi 200ml x 2</t>
        </is>
      </c>
      <c r="B281" t="inlineStr">
        <is>
          <t>Zwitsal</t>
        </is>
      </c>
      <c r="C281" t="inlineStr">
        <is>
          <t>19%</t>
        </is>
      </c>
      <c r="D281" t="n">
        <v>65100</v>
      </c>
      <c r="E281" t="n">
        <v>80400</v>
      </c>
      <c r="F281" t="n">
        <v>65100</v>
      </c>
      <c r="G281" t="n">
        <v>80400</v>
      </c>
      <c r="H281" t="n">
        <v>65100</v>
      </c>
      <c r="I281" t="n">
        <v>80400</v>
      </c>
      <c r="J281" t="b">
        <v>1</v>
      </c>
      <c r="K281" t="inlineStr">
        <is>
          <t>Unilever Indonesia Official Shop</t>
        </is>
      </c>
      <c r="L281" t="inlineStr">
        <is>
          <t>KOTA BEKASI</t>
        </is>
      </c>
      <c r="M281" t="n">
        <v>7331348626</v>
      </c>
      <c r="N281" t="n">
        <v>14318452</v>
      </c>
      <c r="O281">
        <f>HYPERLINK("https://shopee.co.id/api/v4/item/get?itemid=7331348626&amp;shopid=14318452", "Zwitsal Baby Hair Lotion Aloe Vera Kemiri Seledri Penumbuh Rambut Bayi 200ml x 2")</f>
        <v/>
      </c>
      <c r="P281" t="n">
        <v>199</v>
      </c>
      <c r="Q281" t="n">
        <v>245</v>
      </c>
      <c r="R281" t="n">
        <v>4.926105979581916</v>
      </c>
      <c r="S281" t="n">
        <v>18</v>
      </c>
      <c r="T281" t="n">
        <v>4</v>
      </c>
      <c r="U281" t="n">
        <v>30</v>
      </c>
      <c r="V281" t="n">
        <v>160</v>
      </c>
      <c r="W281" t="n">
        <v>3902</v>
      </c>
    </row>
    <row r="282">
      <c r="A282" t="inlineStr">
        <is>
          <t>Rinso Molto Deterjen Bubuk Perfume Essence 1.8Kg</t>
        </is>
      </c>
      <c r="B282" t="inlineStr">
        <is>
          <t>Rinso</t>
        </is>
      </c>
      <c r="C282" t="inlineStr">
        <is>
          <t>22%</t>
        </is>
      </c>
      <c r="D282" t="n">
        <v>54500</v>
      </c>
      <c r="E282" t="n">
        <v>70000</v>
      </c>
      <c r="F282" t="n">
        <v>54500</v>
      </c>
      <c r="G282" t="n">
        <v>70000</v>
      </c>
      <c r="H282" t="n">
        <v>54500</v>
      </c>
      <c r="I282" t="n">
        <v>70000</v>
      </c>
      <c r="J282" t="b">
        <v>1</v>
      </c>
      <c r="K282" t="inlineStr">
        <is>
          <t>Unilever Indonesia Official Shop</t>
        </is>
      </c>
      <c r="L282" t="inlineStr">
        <is>
          <t>KOTA BEKASI</t>
        </is>
      </c>
      <c r="M282" t="n">
        <v>1041656708</v>
      </c>
      <c r="N282" t="n">
        <v>14318452</v>
      </c>
      <c r="O282">
        <f>HYPERLINK("https://shopee.co.id/api/v4/item/get?itemid=1041656708&amp;shopid=14318452", "Rinso Molto Deterjen Bubuk Perfume Essence 1.8Kg")</f>
        <v/>
      </c>
      <c r="P282" t="n">
        <v>1350</v>
      </c>
      <c r="Q282" t="n">
        <v>3069</v>
      </c>
      <c r="R282" t="n">
        <v>4.937625455356479</v>
      </c>
      <c r="S282" t="n">
        <v>106</v>
      </c>
      <c r="T282" t="n">
        <v>59</v>
      </c>
      <c r="U282" t="n">
        <v>208</v>
      </c>
      <c r="V282" t="n">
        <v>1547</v>
      </c>
      <c r="W282" t="n">
        <v>38460</v>
      </c>
    </row>
    <row r="283">
      <c r="A283" t="inlineStr">
        <is>
          <t>Sunsilk Shampoo Rambut Lembut Soft &amp; Smooth Activ-Infusion Rambut 5X Lebih Lembut &amp; Halus with Argan Oil 160 ml</t>
        </is>
      </c>
      <c r="B283" t="inlineStr">
        <is>
          <t>0</t>
        </is>
      </c>
      <c r="C283" t="inlineStr">
        <is>
          <t>9%</t>
        </is>
      </c>
      <c r="D283" t="n">
        <v>26700</v>
      </c>
      <c r="E283" t="n">
        <v>29200</v>
      </c>
      <c r="F283" t="n">
        <v>26700</v>
      </c>
      <c r="G283" t="n">
        <v>29200</v>
      </c>
      <c r="H283" t="n">
        <v>26700</v>
      </c>
      <c r="I283" t="n">
        <v>29200</v>
      </c>
      <c r="J283" t="b">
        <v>1</v>
      </c>
      <c r="K283" t="inlineStr">
        <is>
          <t>Unilever Indonesia Official Shop</t>
        </is>
      </c>
      <c r="L283" t="inlineStr">
        <is>
          <t>KOTA BEKASI</t>
        </is>
      </c>
      <c r="M283" t="n">
        <v>127000685</v>
      </c>
      <c r="N283" t="n">
        <v>14318452</v>
      </c>
      <c r="O283">
        <f>HYPERLINK("https://shopee.co.id/api/v4/item/get?itemid=127000685&amp;shopid=14318452", "Sunsilk Shampoo Rambut Lembut Soft &amp; Smooth Activ-Infusion Rambut 5X Lebih Lembut &amp; Halus with Argan Oil 160 ml")</f>
        <v/>
      </c>
      <c r="P283" t="n">
        <v>586</v>
      </c>
      <c r="Q283" t="n">
        <v>304</v>
      </c>
      <c r="R283" t="n">
        <v>4.925054704595186</v>
      </c>
      <c r="S283" t="n">
        <v>58</v>
      </c>
      <c r="T283" t="n">
        <v>32</v>
      </c>
      <c r="U283" t="n">
        <v>156</v>
      </c>
      <c r="V283" t="n">
        <v>1012</v>
      </c>
      <c r="W283" t="n">
        <v>20718</v>
      </c>
    </row>
    <row r="284">
      <c r="A284" t="inlineStr">
        <is>
          <t>Citra Fresh Glow Multifunction Gel Coconut Nourish UV 180 ml</t>
        </is>
      </c>
      <c r="B284" t="inlineStr"/>
      <c r="C284" t="inlineStr">
        <is>
          <t>1%</t>
        </is>
      </c>
      <c r="D284" t="n">
        <v>29800</v>
      </c>
      <c r="E284" t="n">
        <v>30100</v>
      </c>
      <c r="F284" t="n">
        <v>29800</v>
      </c>
      <c r="G284" t="n">
        <v>30100</v>
      </c>
      <c r="H284" t="n">
        <v>29800</v>
      </c>
      <c r="I284" t="n">
        <v>30100</v>
      </c>
      <c r="J284" t="b">
        <v>1</v>
      </c>
      <c r="K284" t="inlineStr">
        <is>
          <t>Unilever Indonesia Official Shop</t>
        </is>
      </c>
      <c r="L284" t="inlineStr">
        <is>
          <t>KOTA BEKASI</t>
        </is>
      </c>
      <c r="M284" t="n">
        <v>5160944422</v>
      </c>
      <c r="N284" t="n">
        <v>14318452</v>
      </c>
      <c r="O284">
        <f>HYPERLINK("https://shopee.co.id/api/v4/item/get?itemid=5160944422&amp;shopid=14318452", "Citra Fresh Glow Multifunction Gel Coconut Nourish UV 180 ml")</f>
        <v/>
      </c>
      <c r="P284" t="n">
        <v>618</v>
      </c>
      <c r="Q284" t="n">
        <v>721</v>
      </c>
      <c r="R284" t="n">
        <v>4.906523201075992</v>
      </c>
      <c r="S284" t="n">
        <v>11</v>
      </c>
      <c r="T284" t="n">
        <v>8</v>
      </c>
      <c r="U284" t="n">
        <v>61</v>
      </c>
      <c r="V284" t="n">
        <v>511</v>
      </c>
      <c r="W284" t="n">
        <v>6847</v>
      </c>
    </row>
    <row r="285">
      <c r="A285" t="inlineStr">
        <is>
          <t>Vaseline Strawberry Body Yogurt With Prebiotics 200 ml Twin Pack</t>
        </is>
      </c>
      <c r="B285" t="inlineStr">
        <is>
          <t>Vaseline</t>
        </is>
      </c>
      <c r="C285" t="inlineStr">
        <is>
          <t>12%</t>
        </is>
      </c>
      <c r="D285" t="n">
        <v>56400</v>
      </c>
      <c r="E285" t="n">
        <v>64200</v>
      </c>
      <c r="F285" t="n">
        <v>56400</v>
      </c>
      <c r="G285" t="n">
        <v>64200</v>
      </c>
      <c r="H285" t="n">
        <v>56400</v>
      </c>
      <c r="I285" t="n">
        <v>64200</v>
      </c>
      <c r="J285" t="b">
        <v>1</v>
      </c>
      <c r="K285" t="inlineStr">
        <is>
          <t>Unilever Indonesia Official Shop</t>
        </is>
      </c>
      <c r="L285" t="inlineStr">
        <is>
          <t>KAB. BANYUASIN</t>
        </is>
      </c>
      <c r="M285" t="n">
        <v>4358147734</v>
      </c>
      <c r="N285" t="n">
        <v>14318452</v>
      </c>
      <c r="O285">
        <f>HYPERLINK("https://shopee.co.id/api/v4/item/get?itemid=4358147734&amp;shopid=14318452", "Vaseline Strawberry Body Yogurt With Prebiotics 200 ml Twin Pack")</f>
        <v/>
      </c>
      <c r="P285" t="n">
        <v>105</v>
      </c>
      <c r="Q285" t="n">
        <v>81</v>
      </c>
      <c r="R285" t="n">
        <v>4.946228338430173</v>
      </c>
      <c r="S285" t="n">
        <v>4</v>
      </c>
      <c r="T285" t="n">
        <v>3</v>
      </c>
      <c r="U285" t="n">
        <v>12</v>
      </c>
      <c r="V285" t="n">
        <v>173</v>
      </c>
      <c r="W285" t="n">
        <v>3735</v>
      </c>
    </row>
    <row r="286">
      <c r="A286" t="inlineStr">
        <is>
          <t>Glow &amp; Lovely Multivitamin Cream 23gr</t>
        </is>
      </c>
      <c r="B286" t="inlineStr"/>
      <c r="C286" t="inlineStr">
        <is>
          <t>15%</t>
        </is>
      </c>
      <c r="D286" t="n">
        <v>18000</v>
      </c>
      <c r="E286" t="n">
        <v>21200</v>
      </c>
      <c r="F286" t="n">
        <v>18000</v>
      </c>
      <c r="G286" t="n">
        <v>21200</v>
      </c>
      <c r="H286" t="n">
        <v>18000</v>
      </c>
      <c r="I286" t="n">
        <v>21200</v>
      </c>
      <c r="J286" t="b">
        <v>1</v>
      </c>
      <c r="K286" t="inlineStr">
        <is>
          <t>Unilever Indonesia Official Shop</t>
        </is>
      </c>
      <c r="L286" t="inlineStr">
        <is>
          <t>KOTA BALIKPAPAN</t>
        </is>
      </c>
      <c r="M286" t="n">
        <v>7463823413</v>
      </c>
      <c r="N286" t="n">
        <v>14318452</v>
      </c>
      <c r="O286">
        <f>HYPERLINK("https://shopee.co.id/api/v4/item/get?itemid=7463823413&amp;shopid=14318452", "Glow &amp; Lovely Multivitamin Cream 23gr")</f>
        <v/>
      </c>
      <c r="P286" t="n">
        <v>36</v>
      </c>
      <c r="Q286" t="n">
        <v>16</v>
      </c>
      <c r="R286" t="n">
        <v>4.891448174467042</v>
      </c>
      <c r="S286" t="n">
        <v>10</v>
      </c>
      <c r="T286" t="n">
        <v>7</v>
      </c>
      <c r="U286" t="n">
        <v>43</v>
      </c>
      <c r="V286" t="n">
        <v>296</v>
      </c>
      <c r="W286" t="n">
        <v>3725</v>
      </c>
    </row>
    <row r="287">
      <c r="A287" t="inlineStr">
        <is>
          <t>Dove Deodorant Roll On Go Fresh Pomegranate 40ml Anti Bakteri</t>
        </is>
      </c>
      <c r="B287" t="inlineStr">
        <is>
          <t>Rexona</t>
        </is>
      </c>
      <c r="C287" t="inlineStr">
        <is>
          <t>23%</t>
        </is>
      </c>
      <c r="D287" t="n">
        <v>17100</v>
      </c>
      <c r="E287" t="n">
        <v>22100</v>
      </c>
      <c r="F287" t="n">
        <v>17100</v>
      </c>
      <c r="G287" t="n">
        <v>22100</v>
      </c>
      <c r="H287" t="n">
        <v>17100</v>
      </c>
      <c r="I287" t="n">
        <v>22100</v>
      </c>
      <c r="J287" t="b">
        <v>1</v>
      </c>
      <c r="K287" t="inlineStr">
        <is>
          <t>Unilever Indonesia Official Shop</t>
        </is>
      </c>
      <c r="L287" t="inlineStr">
        <is>
          <t>KOTA BEKASI</t>
        </is>
      </c>
      <c r="M287" t="n">
        <v>1188295500</v>
      </c>
      <c r="N287" t="n">
        <v>14318452</v>
      </c>
      <c r="O287">
        <f>HYPERLINK("https://shopee.co.id/api/v4/item/get?itemid=1188295500&amp;shopid=14318452", "Dove Deodorant Roll On Go Fresh Pomegranate 40ml Anti Bakteri")</f>
        <v/>
      </c>
      <c r="P287" t="n">
        <v>544</v>
      </c>
      <c r="Q287" t="n">
        <v>488</v>
      </c>
      <c r="R287" t="n">
        <v>4.914340588988476</v>
      </c>
      <c r="S287" t="n">
        <v>35</v>
      </c>
      <c r="T287" t="n">
        <v>25</v>
      </c>
      <c r="U287" t="n">
        <v>123</v>
      </c>
      <c r="V287" t="n">
        <v>884</v>
      </c>
      <c r="W287" t="n">
        <v>14555</v>
      </c>
    </row>
    <row r="288">
      <c r="A288" t="inlineStr">
        <is>
          <t>Royco  Bumbu Kaldu Mpasi Kaldu Jamur Tanpa Penguat Rasa 40G x2</t>
        </is>
      </c>
      <c r="B288" t="inlineStr"/>
      <c r="C288" t="inlineStr">
        <is>
          <t>7%</t>
        </is>
      </c>
      <c r="D288" t="n">
        <v>9300</v>
      </c>
      <c r="E288" t="n">
        <v>10000</v>
      </c>
      <c r="F288" t="n">
        <v>9300</v>
      </c>
      <c r="G288" t="n">
        <v>10000</v>
      </c>
      <c r="H288" t="n">
        <v>9300</v>
      </c>
      <c r="I288" t="n">
        <v>10000</v>
      </c>
      <c r="J288" t="b">
        <v>1</v>
      </c>
      <c r="K288" t="inlineStr">
        <is>
          <t>Unilever Indonesia Official Shop</t>
        </is>
      </c>
      <c r="L288" t="inlineStr">
        <is>
          <t>KOTA BEKASI</t>
        </is>
      </c>
      <c r="M288" t="n">
        <v>7932180150</v>
      </c>
      <c r="N288" t="n">
        <v>14318452</v>
      </c>
      <c r="O288">
        <f>HYPERLINK("https://shopee.co.id/api/v4/item/get?itemid=7932180150&amp;shopid=14318452", "Royco  Bumbu Kaldu Mpasi Kaldu Jamur Tanpa Penguat Rasa 40G x2")</f>
        <v/>
      </c>
      <c r="P288" t="n">
        <v>395</v>
      </c>
      <c r="Q288" t="n">
        <v>1275</v>
      </c>
      <c r="R288" t="n">
        <v>4.932582909707093</v>
      </c>
      <c r="S288" t="n">
        <v>16</v>
      </c>
      <c r="T288" t="n">
        <v>3</v>
      </c>
      <c r="U288" t="n">
        <v>42</v>
      </c>
      <c r="V288" t="n">
        <v>400</v>
      </c>
      <c r="W288" t="n">
        <v>7801</v>
      </c>
    </row>
    <row r="289">
      <c r="A289" t="inlineStr">
        <is>
          <t>Ponds Micellar Water DToxx Charcoal 100mlx2 99% Makeup Remover dgn Niacinamide &amp; Vitamin C</t>
        </is>
      </c>
      <c r="B289" t="inlineStr">
        <is>
          <t>0</t>
        </is>
      </c>
      <c r="C289" t="inlineStr">
        <is>
          <t>26%</t>
        </is>
      </c>
      <c r="D289" t="n">
        <v>42300</v>
      </c>
      <c r="E289" t="n">
        <v>57000</v>
      </c>
      <c r="F289" t="n">
        <v>42300</v>
      </c>
      <c r="G289" t="n">
        <v>57000</v>
      </c>
      <c r="H289" t="n">
        <v>42300</v>
      </c>
      <c r="I289" t="n">
        <v>57000</v>
      </c>
      <c r="J289" t="b">
        <v>1</v>
      </c>
      <c r="K289" t="inlineStr">
        <is>
          <t>Unilever Indonesia Official Shop</t>
        </is>
      </c>
      <c r="L289" t="inlineStr">
        <is>
          <t>KOTA BEKASI</t>
        </is>
      </c>
      <c r="M289" t="n">
        <v>7032152644</v>
      </c>
      <c r="N289" t="n">
        <v>14318452</v>
      </c>
      <c r="O289">
        <f>HYPERLINK("https://shopee.co.id/api/v4/item/get?itemid=7032152644&amp;shopid=14318452", "Ponds Micellar Water DToxx Charcoal 100mlx2 99% Makeup Remover dgn Niacinamide &amp; Vitamin C")</f>
        <v/>
      </c>
      <c r="P289" t="n">
        <v>271</v>
      </c>
      <c r="Q289" t="n">
        <v>356</v>
      </c>
      <c r="R289" t="n">
        <v>4.897022767075306</v>
      </c>
      <c r="S289" t="n">
        <v>11</v>
      </c>
      <c r="T289" t="n">
        <v>11</v>
      </c>
      <c r="U289" t="n">
        <v>29</v>
      </c>
      <c r="V289" t="n">
        <v>159</v>
      </c>
      <c r="W289" t="n">
        <v>2645</v>
      </c>
    </row>
    <row r="290">
      <c r="A290" t="inlineStr">
        <is>
          <t>ZWITSAL KIDS SHAMPOO GREEN NATURAL &amp; NOURISHING CARE 180ml TWINPACK</t>
        </is>
      </c>
      <c r="B290" t="inlineStr">
        <is>
          <t>0</t>
        </is>
      </c>
      <c r="C290" t="inlineStr">
        <is>
          <t>18%</t>
        </is>
      </c>
      <c r="D290" t="n">
        <v>29900</v>
      </c>
      <c r="E290" t="n">
        <v>36600</v>
      </c>
      <c r="F290" t="n">
        <v>29900</v>
      </c>
      <c r="G290" t="n">
        <v>36600</v>
      </c>
      <c r="H290" t="n">
        <v>29900</v>
      </c>
      <c r="I290" t="n">
        <v>36600</v>
      </c>
      <c r="J290" t="b">
        <v>1</v>
      </c>
      <c r="K290" t="inlineStr">
        <is>
          <t>Unilever Indonesia Official Shop</t>
        </is>
      </c>
      <c r="L290" t="inlineStr">
        <is>
          <t>KOTA BEKASI</t>
        </is>
      </c>
      <c r="M290" t="n">
        <v>6431335140</v>
      </c>
      <c r="N290" t="n">
        <v>14318452</v>
      </c>
      <c r="O290">
        <f>HYPERLINK("https://shopee.co.id/api/v4/item/get?itemid=6431335140&amp;shopid=14318452", "ZWITSAL KIDS SHAMPOO GREEN NATURAL &amp; NOURISHING CARE 180ml TWINPACK")</f>
        <v/>
      </c>
      <c r="P290" t="n">
        <v>347</v>
      </c>
      <c r="Q290" t="n">
        <v>212</v>
      </c>
      <c r="R290" t="n">
        <v>4.953029591357445</v>
      </c>
      <c r="S290" t="n">
        <v>17</v>
      </c>
      <c r="T290" t="n">
        <v>6</v>
      </c>
      <c r="U290" t="n">
        <v>33</v>
      </c>
      <c r="V290" t="n">
        <v>261</v>
      </c>
      <c r="W290" t="n">
        <v>8204</v>
      </c>
    </row>
    <row r="291">
      <c r="A291" t="inlineStr">
        <is>
          <t>CLEAR Anti Dandruff Ice Cool Menthol Shampoo 160 ml</t>
        </is>
      </c>
      <c r="B291" t="inlineStr">
        <is>
          <t>0</t>
        </is>
      </c>
      <c r="C291" t="inlineStr">
        <is>
          <t>17%</t>
        </is>
      </c>
      <c r="D291" t="n">
        <v>30200</v>
      </c>
      <c r="E291" t="n">
        <v>36200</v>
      </c>
      <c r="F291" t="n">
        <v>30200</v>
      </c>
      <c r="G291" t="n">
        <v>36200</v>
      </c>
      <c r="H291" t="n">
        <v>30200</v>
      </c>
      <c r="I291" t="n">
        <v>36200</v>
      </c>
      <c r="J291" t="b">
        <v>1</v>
      </c>
      <c r="K291" t="inlineStr">
        <is>
          <t>Unilever Indonesia Official Shop</t>
        </is>
      </c>
      <c r="L291" t="inlineStr">
        <is>
          <t>KOTA BEKASI</t>
        </is>
      </c>
      <c r="M291" t="n">
        <v>1465738238</v>
      </c>
      <c r="N291" t="n">
        <v>14318452</v>
      </c>
      <c r="O291">
        <f>HYPERLINK("https://shopee.co.id/api/v4/item/get?itemid=1465738238&amp;shopid=14318452", "CLEAR Anti Dandruff Ice Cool Menthol Shampoo 160 ml")</f>
        <v/>
      </c>
      <c r="P291" t="n">
        <v>517</v>
      </c>
      <c r="Q291" t="n">
        <v>777</v>
      </c>
      <c r="R291" t="n">
        <v>4.927467720313271</v>
      </c>
      <c r="S291" t="n">
        <v>41</v>
      </c>
      <c r="T291" t="n">
        <v>17</v>
      </c>
      <c r="U291" t="n">
        <v>94</v>
      </c>
      <c r="V291" t="n">
        <v>666</v>
      </c>
      <c r="W291" t="n">
        <v>13573</v>
      </c>
    </row>
    <row r="292">
      <c r="A292" t="inlineStr">
        <is>
          <t>Rexona Women Deodorant Roll On Antiperspirant Shower Clean 72 Jam Kesegaran 45Ml</t>
        </is>
      </c>
      <c r="B292" t="inlineStr"/>
      <c r="C292" t="inlineStr">
        <is>
          <t>1%</t>
        </is>
      </c>
      <c r="D292" t="n">
        <v>19500</v>
      </c>
      <c r="E292" t="n">
        <v>19600</v>
      </c>
      <c r="F292" t="n">
        <v>19500</v>
      </c>
      <c r="G292" t="n">
        <v>19600</v>
      </c>
      <c r="H292" t="n">
        <v>19500</v>
      </c>
      <c r="I292" t="n">
        <v>19600</v>
      </c>
      <c r="J292" t="b">
        <v>1</v>
      </c>
      <c r="K292" t="inlineStr">
        <is>
          <t>Unilever Indonesia Official Shop</t>
        </is>
      </c>
      <c r="L292" t="inlineStr">
        <is>
          <t>KOTA BEKASI</t>
        </is>
      </c>
      <c r="M292" t="n">
        <v>7531996110</v>
      </c>
      <c r="N292" t="n">
        <v>14318452</v>
      </c>
      <c r="O292">
        <f>HYPERLINK("https://shopee.co.id/api/v4/item/get?itemid=7531996110&amp;shopid=14318452", "Rexona Women Deodorant Roll On Antiperspirant Shower Clean 72 Jam Kesegaran 45Ml")</f>
        <v/>
      </c>
      <c r="P292" t="n">
        <v>841</v>
      </c>
      <c r="Q292" t="n">
        <v>943</v>
      </c>
      <c r="R292" t="n">
        <v>4.929962362952054</v>
      </c>
      <c r="S292" t="n">
        <v>14</v>
      </c>
      <c r="T292" t="n">
        <v>9</v>
      </c>
      <c r="U292" t="n">
        <v>37</v>
      </c>
      <c r="V292" t="n">
        <v>271</v>
      </c>
      <c r="W292" t="n">
        <v>5780</v>
      </c>
    </row>
    <row r="293">
      <c r="A293" t="inlineStr">
        <is>
          <t>Citra Sabun Mandi Cair Bengkoang Natural Glow 400Ml -Sabun Glow, Sabun Natural, Sabun Natural Glow</t>
        </is>
      </c>
      <c r="B293" t="inlineStr">
        <is>
          <t>Citra</t>
        </is>
      </c>
      <c r="C293" t="inlineStr">
        <is>
          <t>40%</t>
        </is>
      </c>
      <c r="D293" t="n">
        <v>23100</v>
      </c>
      <c r="E293" t="n">
        <v>38500</v>
      </c>
      <c r="F293" t="n">
        <v>23100</v>
      </c>
      <c r="G293" t="n">
        <v>38500</v>
      </c>
      <c r="H293" t="n">
        <v>23100</v>
      </c>
      <c r="I293" t="n">
        <v>38500</v>
      </c>
      <c r="J293" t="b">
        <v>1</v>
      </c>
      <c r="K293" t="inlineStr">
        <is>
          <t>Unilever Indonesia Official Shop</t>
        </is>
      </c>
      <c r="L293" t="inlineStr">
        <is>
          <t>KOTA PEKANBARU</t>
        </is>
      </c>
      <c r="M293" t="n">
        <v>1008433820</v>
      </c>
      <c r="N293" t="n">
        <v>14318452</v>
      </c>
      <c r="O293">
        <f>HYPERLINK("https://shopee.co.id/api/v4/item/get?itemid=1008433820&amp;shopid=14318452", "Citra Sabun Mandi Cair Bengkoang Natural Glow 400Ml -Sabun Glow, Sabun Natural, Sabun Natural Glow")</f>
        <v/>
      </c>
      <c r="P293" t="n">
        <v>440</v>
      </c>
      <c r="Q293" t="n">
        <v>3</v>
      </c>
      <c r="R293" t="n">
        <v>4.906316536550746</v>
      </c>
      <c r="S293" t="n">
        <v>24</v>
      </c>
      <c r="T293" t="n">
        <v>10</v>
      </c>
      <c r="U293" t="n">
        <v>75</v>
      </c>
      <c r="V293" t="n">
        <v>516</v>
      </c>
      <c r="W293" t="n">
        <v>7829</v>
      </c>
    </row>
    <row r="294">
      <c r="A294" t="inlineStr">
        <is>
          <t>Zwitsal Natural Baby Bath With Minyak Telon 250 ml</t>
        </is>
      </c>
      <c r="B294" t="inlineStr">
        <is>
          <t>0</t>
        </is>
      </c>
      <c r="C294" t="inlineStr">
        <is>
          <t>17%</t>
        </is>
      </c>
      <c r="D294" t="n">
        <v>26000</v>
      </c>
      <c r="E294" t="n">
        <v>31300</v>
      </c>
      <c r="F294" t="n">
        <v>26000</v>
      </c>
      <c r="G294" t="n">
        <v>31300</v>
      </c>
      <c r="H294" t="n">
        <v>26000</v>
      </c>
      <c r="I294" t="n">
        <v>31300</v>
      </c>
      <c r="J294" t="b">
        <v>1</v>
      </c>
      <c r="K294" t="inlineStr">
        <is>
          <t>Unilever Indonesia Official Shop</t>
        </is>
      </c>
      <c r="L294" t="inlineStr">
        <is>
          <t>KOTA SEMARANG</t>
        </is>
      </c>
      <c r="M294" t="n">
        <v>1026005031</v>
      </c>
      <c r="N294" t="n">
        <v>14318452</v>
      </c>
      <c r="O294">
        <f>HYPERLINK("https://shopee.co.id/api/v4/item/get?itemid=1026005031&amp;shopid=14318452", "Zwitsal Natural Baby Bath With Minyak Telon 250 ml")</f>
        <v/>
      </c>
      <c r="P294" t="n">
        <v>270</v>
      </c>
      <c r="Q294" t="n">
        <v>253</v>
      </c>
      <c r="R294" t="n">
        <v>4.926047603084143</v>
      </c>
      <c r="S294" t="n">
        <v>32</v>
      </c>
      <c r="T294" t="n">
        <v>25</v>
      </c>
      <c r="U294" t="n">
        <v>97</v>
      </c>
      <c r="V294" t="n">
        <v>710</v>
      </c>
      <c r="W294" t="n">
        <v>14057</v>
      </c>
    </row>
    <row r="295">
      <c r="A295" t="inlineStr">
        <is>
          <t>Citra Hand Body Lotion Pearly Glow UV 380ml Twin Pack</t>
        </is>
      </c>
      <c r="B295" t="inlineStr">
        <is>
          <t>Citra</t>
        </is>
      </c>
      <c r="C295" t="inlineStr">
        <is>
          <t>1%</t>
        </is>
      </c>
      <c r="D295" t="n">
        <v>79600</v>
      </c>
      <c r="E295" t="n">
        <v>80400</v>
      </c>
      <c r="F295" t="n">
        <v>79600</v>
      </c>
      <c r="G295" t="n">
        <v>80400</v>
      </c>
      <c r="H295" t="n">
        <v>79600</v>
      </c>
      <c r="I295" t="n">
        <v>80400</v>
      </c>
      <c r="J295" t="b">
        <v>1</v>
      </c>
      <c r="K295" t="inlineStr">
        <is>
          <t>Unilever Indonesia Official Shop</t>
        </is>
      </c>
      <c r="L295" t="inlineStr">
        <is>
          <t>KOTA BEKASI</t>
        </is>
      </c>
      <c r="M295" t="n">
        <v>3831041277</v>
      </c>
      <c r="N295" t="n">
        <v>14318452</v>
      </c>
      <c r="O295">
        <f>HYPERLINK("https://shopee.co.id/api/v4/item/get?itemid=3831041277&amp;shopid=14318452", "Citra Hand Body Lotion Pearly Glow UV 380ml Twin Pack")</f>
        <v/>
      </c>
      <c r="P295" t="n">
        <v>123</v>
      </c>
      <c r="Q295" t="n">
        <v>1086</v>
      </c>
      <c r="R295" t="n">
        <v>4.918413855970829</v>
      </c>
      <c r="S295" t="n">
        <v>18</v>
      </c>
      <c r="T295" t="n">
        <v>7</v>
      </c>
      <c r="U295" t="n">
        <v>34</v>
      </c>
      <c r="V295" t="n">
        <v>201</v>
      </c>
      <c r="W295" t="n">
        <v>4129</v>
      </c>
    </row>
    <row r="296">
      <c r="A296" t="inlineStr">
        <is>
          <t>Pond's Juice Collection Cleanser Watermelon Extract 90 gr</t>
        </is>
      </c>
      <c r="B296" t="inlineStr"/>
      <c r="C296" t="inlineStr">
        <is>
          <t>16%</t>
        </is>
      </c>
      <c r="D296" t="n">
        <v>28300</v>
      </c>
      <c r="E296" t="n">
        <v>33600</v>
      </c>
      <c r="F296" t="n">
        <v>28300</v>
      </c>
      <c r="G296" t="n">
        <v>33600</v>
      </c>
      <c r="H296" t="n">
        <v>28300</v>
      </c>
      <c r="I296" t="n">
        <v>33600</v>
      </c>
      <c r="J296" t="b">
        <v>1</v>
      </c>
      <c r="K296" t="inlineStr">
        <is>
          <t>Unilever Indonesia Official Shop</t>
        </is>
      </c>
      <c r="L296" t="inlineStr">
        <is>
          <t>KOTA BEKASI</t>
        </is>
      </c>
      <c r="M296" t="n">
        <v>6517483615</v>
      </c>
      <c r="N296" t="n">
        <v>14318452</v>
      </c>
      <c r="O296">
        <f>HYPERLINK("https://shopee.co.id/api/v4/item/get?itemid=6517483615&amp;shopid=14318452", "Pond's Juice Collection Cleanser Watermelon Extract 90 gr")</f>
        <v/>
      </c>
      <c r="P296" t="n">
        <v>194</v>
      </c>
      <c r="Q296" t="n">
        <v>414</v>
      </c>
      <c r="R296" t="n">
        <v>4.933355246938943</v>
      </c>
      <c r="S296" t="n">
        <v>22</v>
      </c>
      <c r="T296" t="n">
        <v>13</v>
      </c>
      <c r="U296" t="n">
        <v>67</v>
      </c>
      <c r="V296" t="n">
        <v>561</v>
      </c>
      <c r="W296" t="n">
        <v>11509</v>
      </c>
    </row>
    <row r="297">
      <c r="A297" t="inlineStr">
        <is>
          <t>Lifebuoy Body Wash Refill Lemon Fresh Antibakteri 825ml Twin Pack</t>
        </is>
      </c>
      <c r="B297" t="inlineStr">
        <is>
          <t>Lifebuoy</t>
        </is>
      </c>
      <c r="C297" t="inlineStr">
        <is>
          <t>24%</t>
        </is>
      </c>
      <c r="D297" t="n">
        <v>85600</v>
      </c>
      <c r="E297" t="n">
        <v>112200</v>
      </c>
      <c r="F297" t="n">
        <v>85600</v>
      </c>
      <c r="G297" t="n">
        <v>112200</v>
      </c>
      <c r="H297" t="n">
        <v>85600</v>
      </c>
      <c r="I297" t="n">
        <v>112200</v>
      </c>
      <c r="J297" t="b">
        <v>1</v>
      </c>
      <c r="K297" t="inlineStr">
        <is>
          <t>Unilever Indonesia Official Shop</t>
        </is>
      </c>
      <c r="L297" t="inlineStr">
        <is>
          <t>KOTA BEKASI</t>
        </is>
      </c>
      <c r="M297" t="n">
        <v>6531330753</v>
      </c>
      <c r="N297" t="n">
        <v>14318452</v>
      </c>
      <c r="O297">
        <f>HYPERLINK("https://shopee.co.id/api/v4/item/get?itemid=6531330753&amp;shopid=14318452", "Lifebuoy Body Wash Refill Lemon Fresh Antibakteri 825ml Twin Pack")</f>
        <v/>
      </c>
      <c r="P297" t="n">
        <v>424</v>
      </c>
      <c r="Q297" t="n">
        <v>3020</v>
      </c>
      <c r="R297" t="n">
        <v>4.939066867340357</v>
      </c>
      <c r="S297" t="n">
        <v>71</v>
      </c>
      <c r="T297" t="n">
        <v>33</v>
      </c>
      <c r="U297" t="n">
        <v>132</v>
      </c>
      <c r="V297" t="n">
        <v>811</v>
      </c>
      <c r="W297" t="n">
        <v>22223</v>
      </c>
    </row>
    <row r="298">
      <c r="A298" t="inlineStr">
        <is>
          <t>Ponds Age Miracle Day Cream Moisturizer Anti Aging+Glowing With Retinol &amp; Spf18 20G</t>
        </is>
      </c>
      <c r="B298" t="inlineStr">
        <is>
          <t>Pond's</t>
        </is>
      </c>
      <c r="C298" t="inlineStr">
        <is>
          <t>15%</t>
        </is>
      </c>
      <c r="D298" t="n">
        <v>67900</v>
      </c>
      <c r="E298" t="n">
        <v>79700</v>
      </c>
      <c r="F298" t="n">
        <v>67900</v>
      </c>
      <c r="G298" t="n">
        <v>79700</v>
      </c>
      <c r="H298" t="n">
        <v>67900</v>
      </c>
      <c r="I298" t="n">
        <v>79700</v>
      </c>
      <c r="J298" t="b">
        <v>1</v>
      </c>
      <c r="K298" t="inlineStr">
        <is>
          <t>Unilever Indonesia Official Shop</t>
        </is>
      </c>
      <c r="L298" t="inlineStr">
        <is>
          <t>KOTA BEKASI</t>
        </is>
      </c>
      <c r="M298" t="n">
        <v>986564278</v>
      </c>
      <c r="N298" t="n">
        <v>14318452</v>
      </c>
      <c r="O298">
        <f>HYPERLINK("https://shopee.co.id/api/v4/item/get?itemid=986564278&amp;shopid=14318452", "Ponds Age Miracle Day Cream Moisturizer Anti Aging+Glowing With Retinol &amp; Spf18 20G")</f>
        <v/>
      </c>
      <c r="P298" t="n">
        <v>638</v>
      </c>
      <c r="Q298" t="n">
        <v>824</v>
      </c>
      <c r="R298" t="n">
        <v>4.921823744056614</v>
      </c>
      <c r="S298" t="n">
        <v>47</v>
      </c>
      <c r="T298" t="n">
        <v>21</v>
      </c>
      <c r="U298" t="n">
        <v>164</v>
      </c>
      <c r="V298" t="n">
        <v>1545</v>
      </c>
      <c r="W298" t="n">
        <v>25366</v>
      </c>
    </row>
    <row r="299">
      <c r="A299" t="inlineStr">
        <is>
          <t>Ponds Facial Scrub Clear Solution 100G Pencegah Jerawat for Oily Skin with Herbal Clay</t>
        </is>
      </c>
      <c r="B299" t="inlineStr">
        <is>
          <t>Pond's</t>
        </is>
      </c>
      <c r="C299" t="inlineStr">
        <is>
          <t>13%</t>
        </is>
      </c>
      <c r="D299" t="n">
        <v>35100</v>
      </c>
      <c r="E299" t="n">
        <v>40300</v>
      </c>
      <c r="F299" t="n">
        <v>35100</v>
      </c>
      <c r="G299" t="n">
        <v>40300</v>
      </c>
      <c r="H299" t="n">
        <v>35100</v>
      </c>
      <c r="I299" t="n">
        <v>40300</v>
      </c>
      <c r="J299" t="b">
        <v>1</v>
      </c>
      <c r="K299" t="inlineStr">
        <is>
          <t>Unilever Indonesia Official Shop</t>
        </is>
      </c>
      <c r="L299" t="inlineStr">
        <is>
          <t>KOTA BEKASI</t>
        </is>
      </c>
      <c r="M299" t="n">
        <v>1040533538</v>
      </c>
      <c r="N299" t="n">
        <v>14318452</v>
      </c>
      <c r="O299">
        <f>HYPERLINK("https://shopee.co.id/api/v4/item/get?itemid=1040533538&amp;shopid=14318452", "Ponds Facial Scrub Clear Solution 100G Pencegah Jerawat for Oily Skin with Herbal Clay")</f>
        <v/>
      </c>
      <c r="P299" t="n">
        <v>601</v>
      </c>
      <c r="Q299" t="n">
        <v>682</v>
      </c>
      <c r="R299" t="n">
        <v>4.933635153129161</v>
      </c>
      <c r="S299" t="n">
        <v>23</v>
      </c>
      <c r="T299" t="n">
        <v>16</v>
      </c>
      <c r="U299" t="n">
        <v>102</v>
      </c>
      <c r="V299" t="n">
        <v>906</v>
      </c>
      <c r="W299" t="n">
        <v>17729</v>
      </c>
    </row>
    <row r="300">
      <c r="A300" t="inlineStr">
        <is>
          <t>CITRA BENGKOANG GREEN TEA BODY LOTION NATURAL GLOW UV 380ML</t>
        </is>
      </c>
      <c r="B300" t="inlineStr">
        <is>
          <t>Citra</t>
        </is>
      </c>
      <c r="C300" t="inlineStr">
        <is>
          <t>2%</t>
        </is>
      </c>
      <c r="D300" t="n">
        <v>42800</v>
      </c>
      <c r="E300" t="n">
        <v>43800</v>
      </c>
      <c r="F300" t="n">
        <v>42800</v>
      </c>
      <c r="G300" t="n">
        <v>43800</v>
      </c>
      <c r="H300" t="n">
        <v>42800</v>
      </c>
      <c r="I300" t="n">
        <v>43800</v>
      </c>
      <c r="J300" t="b">
        <v>1</v>
      </c>
      <c r="K300" t="inlineStr">
        <is>
          <t>Unilever Indonesia Official Shop</t>
        </is>
      </c>
      <c r="L300" t="inlineStr">
        <is>
          <t>KOTA BEKASI</t>
        </is>
      </c>
      <c r="M300" t="n">
        <v>986461966</v>
      </c>
      <c r="N300" t="n">
        <v>14318452</v>
      </c>
      <c r="O300">
        <f>HYPERLINK("https://shopee.co.id/api/v4/item/get?itemid=986461966&amp;shopid=14318452", "CITRA BENGKOANG GREEN TEA BODY LOTION NATURAL GLOW UV 380ML")</f>
        <v/>
      </c>
      <c r="P300" t="n">
        <v>425</v>
      </c>
      <c r="Q300" t="n">
        <v>2518</v>
      </c>
      <c r="R300" t="n">
        <v>4.92012103977542</v>
      </c>
      <c r="S300" t="n">
        <v>49</v>
      </c>
      <c r="T300" t="n">
        <v>50</v>
      </c>
      <c r="U300" t="n">
        <v>218</v>
      </c>
      <c r="V300" t="n">
        <v>1422</v>
      </c>
      <c r="W300" t="n">
        <v>25694</v>
      </c>
    </row>
    <row r="301">
      <c r="A301" t="inlineStr">
        <is>
          <t>Pepsodent Mouthwash Expert Protection Herbal Natural 300 ml</t>
        </is>
      </c>
      <c r="B301" t="inlineStr">
        <is>
          <t>0</t>
        </is>
      </c>
      <c r="C301" t="inlineStr">
        <is>
          <t>22%</t>
        </is>
      </c>
      <c r="D301" t="n">
        <v>24600</v>
      </c>
      <c r="E301" t="n">
        <v>31500</v>
      </c>
      <c r="F301" t="n">
        <v>24600</v>
      </c>
      <c r="G301" t="n">
        <v>31500</v>
      </c>
      <c r="H301" t="n">
        <v>24600</v>
      </c>
      <c r="I301" t="n">
        <v>31500</v>
      </c>
      <c r="J301" t="b">
        <v>1</v>
      </c>
      <c r="K301" t="inlineStr">
        <is>
          <t>Unilever Indonesia Official Shop</t>
        </is>
      </c>
      <c r="L301" t="inlineStr">
        <is>
          <t>KOTA BEKASI</t>
        </is>
      </c>
      <c r="M301" t="n">
        <v>127331902</v>
      </c>
      <c r="N301" t="n">
        <v>14318452</v>
      </c>
      <c r="O301">
        <f>HYPERLINK("https://shopee.co.id/api/v4/item/get?itemid=127331902&amp;shopid=14318452", "Pepsodent Mouthwash Expert Protection Herbal Natural 300 ml")</f>
        <v/>
      </c>
      <c r="P301" t="n">
        <v>418</v>
      </c>
      <c r="Q301" t="n">
        <v>213</v>
      </c>
      <c r="R301" t="n">
        <v>4.925466572171037</v>
      </c>
      <c r="S301" t="n">
        <v>16</v>
      </c>
      <c r="T301" t="n">
        <v>8</v>
      </c>
      <c r="U301" t="n">
        <v>62</v>
      </c>
      <c r="V301" t="n">
        <v>423</v>
      </c>
      <c r="W301" t="n">
        <v>7958</v>
      </c>
    </row>
    <row r="302">
      <c r="A302" t="inlineStr">
        <is>
          <t>Ponds Age Miracle Night Cream Moisturizer Anti Aging+Glowing 10G Twin Pack</t>
        </is>
      </c>
      <c r="B302" t="inlineStr">
        <is>
          <t>Pond's</t>
        </is>
      </c>
      <c r="C302" t="inlineStr">
        <is>
          <t>15%</t>
        </is>
      </c>
      <c r="D302" t="n">
        <v>72000</v>
      </c>
      <c r="E302" t="n">
        <v>84500</v>
      </c>
      <c r="F302" t="n">
        <v>72000</v>
      </c>
      <c r="G302" t="n">
        <v>84500</v>
      </c>
      <c r="H302" t="n">
        <v>72000</v>
      </c>
      <c r="I302" t="n">
        <v>84500</v>
      </c>
      <c r="J302" t="b">
        <v>1</v>
      </c>
      <c r="K302" t="inlineStr">
        <is>
          <t>Unilever Indonesia Official Shop</t>
        </is>
      </c>
      <c r="L302" t="inlineStr">
        <is>
          <t>KOTA BEKASI</t>
        </is>
      </c>
      <c r="M302" t="n">
        <v>3931463224</v>
      </c>
      <c r="N302" t="n">
        <v>14318452</v>
      </c>
      <c r="O302">
        <f>HYPERLINK("https://shopee.co.id/api/v4/item/get?itemid=3931463224&amp;shopid=14318452", "Ponds Age Miracle Night Cream Moisturizer Anti Aging+Glowing 10G Twin Pack")</f>
        <v/>
      </c>
      <c r="P302" t="n">
        <v>306</v>
      </c>
      <c r="Q302" t="n">
        <v>1939</v>
      </c>
      <c r="R302" t="n">
        <v>4.926541159099298</v>
      </c>
      <c r="S302" t="n">
        <v>10</v>
      </c>
      <c r="T302" t="n">
        <v>9</v>
      </c>
      <c r="U302" t="n">
        <v>25</v>
      </c>
      <c r="V302" t="n">
        <v>284</v>
      </c>
      <c r="W302" t="n">
        <v>5095</v>
      </c>
    </row>
    <row r="303">
      <c r="A303" t="inlineStr">
        <is>
          <t>Citra Pearly Glow Brightening Facial Foam Face Wash Sabun Cuci Muka Pencerah 100G</t>
        </is>
      </c>
      <c r="B303" t="inlineStr">
        <is>
          <t>None</t>
        </is>
      </c>
      <c r="C303" t="inlineStr">
        <is>
          <t>2%</t>
        </is>
      </c>
      <c r="D303" t="n">
        <v>35300</v>
      </c>
      <c r="E303" t="n">
        <v>36100</v>
      </c>
      <c r="F303" t="n">
        <v>35300</v>
      </c>
      <c r="G303" t="n">
        <v>36100</v>
      </c>
      <c r="H303" t="n">
        <v>35300</v>
      </c>
      <c r="I303" t="n">
        <v>36100</v>
      </c>
      <c r="J303" t="b">
        <v>1</v>
      </c>
      <c r="K303" t="inlineStr">
        <is>
          <t>Unilever Indonesia Official Shop</t>
        </is>
      </c>
      <c r="L303" t="inlineStr">
        <is>
          <t>KOTA BEKASI</t>
        </is>
      </c>
      <c r="M303" t="n">
        <v>6531996671</v>
      </c>
      <c r="N303" t="n">
        <v>14318452</v>
      </c>
      <c r="O303">
        <f>HYPERLINK("https://shopee.co.id/api/v4/item/get?itemid=6531996671&amp;shopid=14318452", "Citra Pearly Glow Brightening Facial Foam Face Wash Sabun Cuci Muka Pencerah 100G")</f>
        <v/>
      </c>
      <c r="P303" t="n">
        <v>561</v>
      </c>
      <c r="Q303" t="n">
        <v>795</v>
      </c>
      <c r="R303" t="n">
        <v>4.913582286847324</v>
      </c>
      <c r="S303" t="n">
        <v>9</v>
      </c>
      <c r="T303" t="n">
        <v>6</v>
      </c>
      <c r="U303" t="n">
        <v>44</v>
      </c>
      <c r="V303" t="n">
        <v>387</v>
      </c>
      <c r="W303" t="n">
        <v>5608</v>
      </c>
    </row>
    <row r="304">
      <c r="A304" t="inlineStr">
        <is>
          <t>Lux Botanicals Body Wash Refill Soft Rose Kulit Lembut 400ml</t>
        </is>
      </c>
      <c r="B304" t="inlineStr">
        <is>
          <t>LUX</t>
        </is>
      </c>
      <c r="C304" t="inlineStr"/>
      <c r="D304" t="n">
        <v>29500</v>
      </c>
      <c r="E304" t="n">
        <v>0</v>
      </c>
      <c r="F304" t="n">
        <v>29500</v>
      </c>
      <c r="G304" t="n">
        <v>-1e-05</v>
      </c>
      <c r="H304" t="n">
        <v>29500</v>
      </c>
      <c r="I304" t="n">
        <v>-1e-05</v>
      </c>
      <c r="J304" t="b">
        <v>1</v>
      </c>
      <c r="K304" t="inlineStr">
        <is>
          <t>Unilever Indonesia Official Shop</t>
        </is>
      </c>
      <c r="L304" t="inlineStr">
        <is>
          <t>KOTA BEKASI</t>
        </is>
      </c>
      <c r="M304" t="n">
        <v>127014706</v>
      </c>
      <c r="N304" t="n">
        <v>14318452</v>
      </c>
      <c r="O304">
        <f>HYPERLINK("https://shopee.co.id/api/v4/item/get?itemid=127014706&amp;shopid=14318452", "Lux Botanicals Body Wash Refill Soft Rose Kulit Lembut 400ml")</f>
        <v/>
      </c>
      <c r="P304" t="n">
        <v>343</v>
      </c>
      <c r="Q304" t="n">
        <v>492</v>
      </c>
      <c r="R304" t="n">
        <v>4.932090856144438</v>
      </c>
      <c r="S304" t="n">
        <v>17</v>
      </c>
      <c r="T304" t="n">
        <v>8</v>
      </c>
      <c r="U304" t="n">
        <v>57</v>
      </c>
      <c r="V304" t="n">
        <v>384</v>
      </c>
      <c r="W304" t="n">
        <v>8121</v>
      </c>
    </row>
    <row r="305">
      <c r="A305" t="inlineStr">
        <is>
          <t>CLEAR Men Cool Sport Menthol Shampoo 160 ml</t>
        </is>
      </c>
      <c r="B305" t="inlineStr">
        <is>
          <t>0</t>
        </is>
      </c>
      <c r="C305" t="inlineStr">
        <is>
          <t>17%</t>
        </is>
      </c>
      <c r="D305" t="n">
        <v>30200</v>
      </c>
      <c r="E305" t="n">
        <v>36200</v>
      </c>
      <c r="F305" t="n">
        <v>30200</v>
      </c>
      <c r="G305" t="n">
        <v>36200</v>
      </c>
      <c r="H305" t="n">
        <v>30200</v>
      </c>
      <c r="I305" t="n">
        <v>36200</v>
      </c>
      <c r="J305" t="b">
        <v>1</v>
      </c>
      <c r="K305" t="inlineStr">
        <is>
          <t>Unilever Indonesia Official Shop</t>
        </is>
      </c>
      <c r="L305" t="inlineStr">
        <is>
          <t>KOTA BEKASI</t>
        </is>
      </c>
      <c r="M305" t="n">
        <v>1465737761</v>
      </c>
      <c r="N305" t="n">
        <v>14318452</v>
      </c>
      <c r="O305">
        <f>HYPERLINK("https://shopee.co.id/api/v4/item/get?itemid=1465737761&amp;shopid=14318452", "CLEAR Men Cool Sport Menthol Shampoo 160 ml")</f>
        <v/>
      </c>
      <c r="P305" t="n">
        <v>438</v>
      </c>
      <c r="Q305" t="n">
        <v>547</v>
      </c>
      <c r="R305" t="n">
        <v>4.912724898432966</v>
      </c>
      <c r="S305" t="n">
        <v>43</v>
      </c>
      <c r="T305" t="n">
        <v>27</v>
      </c>
      <c r="U305" t="n">
        <v>130</v>
      </c>
      <c r="V305" t="n">
        <v>700</v>
      </c>
      <c r="W305" t="n">
        <v>12887</v>
      </c>
    </row>
    <row r="306">
      <c r="A306" t="inlineStr">
        <is>
          <t>Vaseline Lotion Intensive Care Aloe Soothe 400ml Multi Pack</t>
        </is>
      </c>
      <c r="B306" t="inlineStr">
        <is>
          <t>Vaseline</t>
        </is>
      </c>
      <c r="C306" t="inlineStr">
        <is>
          <t>18%</t>
        </is>
      </c>
      <c r="D306" t="n">
        <v>156600</v>
      </c>
      <c r="E306" t="n">
        <v>190600</v>
      </c>
      <c r="F306" t="n">
        <v>156600</v>
      </c>
      <c r="G306" t="n">
        <v>190600</v>
      </c>
      <c r="H306" t="n">
        <v>156600</v>
      </c>
      <c r="I306" t="n">
        <v>190600</v>
      </c>
      <c r="J306" t="b">
        <v>1</v>
      </c>
      <c r="K306" t="inlineStr">
        <is>
          <t>Unilever Indonesia Official Shop</t>
        </is>
      </c>
      <c r="L306" t="inlineStr">
        <is>
          <t>KOTA BEKASI</t>
        </is>
      </c>
      <c r="M306" t="n">
        <v>7931817126</v>
      </c>
      <c r="N306" t="n">
        <v>14318452</v>
      </c>
      <c r="O306">
        <f>HYPERLINK("https://shopee.co.id/api/v4/item/get?itemid=7931817126&amp;shopid=14318452", "Vaseline Lotion Intensive Care Aloe Soothe 400ml Multi Pack")</f>
        <v/>
      </c>
      <c r="P306" t="n">
        <v>255</v>
      </c>
      <c r="Q306" t="n">
        <v>695</v>
      </c>
      <c r="R306" t="n">
        <v>4.909896602658788</v>
      </c>
      <c r="S306" t="n">
        <v>12</v>
      </c>
      <c r="T306" t="n">
        <v>10</v>
      </c>
      <c r="U306" t="n">
        <v>26</v>
      </c>
      <c r="V306" t="n">
        <v>121</v>
      </c>
      <c r="W306" t="n">
        <v>2541</v>
      </c>
    </row>
    <row r="307">
      <c r="A307" t="inlineStr">
        <is>
          <t>Sahaja Detergent Cair Konsentrat Yasmin 630+70Ml -Deterjen Pewangi Halal, Liquid Detergent</t>
        </is>
      </c>
      <c r="B307" t="inlineStr">
        <is>
          <t>None</t>
        </is>
      </c>
      <c r="C307" t="inlineStr">
        <is>
          <t>8%</t>
        </is>
      </c>
      <c r="D307" t="n">
        <v>14500</v>
      </c>
      <c r="E307" t="n">
        <v>15700</v>
      </c>
      <c r="F307" t="n">
        <v>14500</v>
      </c>
      <c r="G307" t="n">
        <v>15700</v>
      </c>
      <c r="H307" t="n">
        <v>14500</v>
      </c>
      <c r="I307" t="n">
        <v>15700</v>
      </c>
      <c r="J307" t="b">
        <v>1</v>
      </c>
      <c r="K307" t="inlineStr">
        <is>
          <t>Unilever Indonesia Official Shop</t>
        </is>
      </c>
      <c r="L307" t="inlineStr">
        <is>
          <t>KOTA BEKASI</t>
        </is>
      </c>
      <c r="M307" t="n">
        <v>7360554297</v>
      </c>
      <c r="N307" t="n">
        <v>14318452</v>
      </c>
      <c r="O307">
        <f>HYPERLINK("https://shopee.co.id/api/v4/item/get?itemid=7360554297&amp;shopid=14318452", "Sahaja Detergent Cair Konsentrat Yasmin 630+70Ml -Deterjen Pewangi Halal, Liquid Detergent")</f>
        <v/>
      </c>
      <c r="P307" t="n">
        <v>588</v>
      </c>
      <c r="Q307" t="n">
        <v>1158</v>
      </c>
      <c r="R307" t="n">
        <v>4.93999047467852</v>
      </c>
      <c r="S307" t="n">
        <v>17</v>
      </c>
      <c r="T307" t="n">
        <v>9</v>
      </c>
      <c r="U307" t="n">
        <v>62</v>
      </c>
      <c r="V307" t="n">
        <v>548</v>
      </c>
      <c r="W307" t="n">
        <v>11978</v>
      </c>
    </row>
    <row r="308">
      <c r="A308" t="inlineStr">
        <is>
          <t>Zwitsal Classic Baby Cologne Floral Kisses 100 ml - Twin Pack</t>
        </is>
      </c>
      <c r="B308" t="inlineStr">
        <is>
          <t>Zwitsal</t>
        </is>
      </c>
      <c r="C308" t="inlineStr">
        <is>
          <t>19%</t>
        </is>
      </c>
      <c r="D308" t="n">
        <v>37400</v>
      </c>
      <c r="E308" t="n">
        <v>45900</v>
      </c>
      <c r="F308" t="n">
        <v>37400</v>
      </c>
      <c r="G308" t="n">
        <v>45900</v>
      </c>
      <c r="H308" t="n">
        <v>37400</v>
      </c>
      <c r="I308" t="n">
        <v>45900</v>
      </c>
      <c r="J308" t="b">
        <v>1</v>
      </c>
      <c r="K308" t="inlineStr">
        <is>
          <t>Unilever Indonesia Official Shop</t>
        </is>
      </c>
      <c r="L308" t="inlineStr">
        <is>
          <t>KOTA BEKASI</t>
        </is>
      </c>
      <c r="M308" t="n">
        <v>5031200945</v>
      </c>
      <c r="N308" t="n">
        <v>14318452</v>
      </c>
      <c r="O308">
        <f>HYPERLINK("https://shopee.co.id/api/v4/item/get?itemid=5031200945&amp;shopid=14318452", "Zwitsal Classic Baby Cologne Floral Kisses 100 ml - Twin Pack")</f>
        <v/>
      </c>
      <c r="P308" t="n">
        <v>213</v>
      </c>
      <c r="Q308" t="n">
        <v>306</v>
      </c>
      <c r="R308" t="n">
        <v>4.947738386308068</v>
      </c>
      <c r="S308" t="n">
        <v>5</v>
      </c>
      <c r="T308" t="n">
        <v>4</v>
      </c>
      <c r="U308" t="n">
        <v>15</v>
      </c>
      <c r="V308" t="n">
        <v>113</v>
      </c>
      <c r="W308" t="n">
        <v>3136</v>
      </c>
    </row>
    <row r="309">
      <c r="A309" t="inlineStr">
        <is>
          <t>Rinso Molto Deterjen Bubuk Detergent Perfume Essence Proteksi Higienis &amp; Antibau 1.8Kgx2</t>
        </is>
      </c>
      <c r="B309" t="inlineStr">
        <is>
          <t>Rinso</t>
        </is>
      </c>
      <c r="C309" t="inlineStr">
        <is>
          <t>24%</t>
        </is>
      </c>
      <c r="D309" t="n">
        <v>105800</v>
      </c>
      <c r="E309" t="n">
        <v>140000</v>
      </c>
      <c r="F309" t="n">
        <v>105800</v>
      </c>
      <c r="G309" t="n">
        <v>140000</v>
      </c>
      <c r="H309" t="n">
        <v>105800</v>
      </c>
      <c r="I309" t="n">
        <v>140000</v>
      </c>
      <c r="J309" t="b">
        <v>1</v>
      </c>
      <c r="K309" t="inlineStr">
        <is>
          <t>Unilever Indonesia Official Shop</t>
        </is>
      </c>
      <c r="L309" t="inlineStr">
        <is>
          <t>KOTA BEKASI</t>
        </is>
      </c>
      <c r="M309" t="n">
        <v>5331666175</v>
      </c>
      <c r="N309" t="n">
        <v>14318452</v>
      </c>
      <c r="O309">
        <f>HYPERLINK("https://shopee.co.id/api/v4/item/get?itemid=5331666175&amp;shopid=14318452", "Rinso Molto Deterjen Bubuk Detergent Perfume Essence Proteksi Higienis &amp; Antibau 1.8Kgx2")</f>
        <v/>
      </c>
      <c r="P309" t="n">
        <v>312</v>
      </c>
      <c r="Q309" t="n">
        <v>1533</v>
      </c>
      <c r="R309" t="n">
        <v>4.942857142857143</v>
      </c>
      <c r="S309" t="n">
        <v>6</v>
      </c>
      <c r="T309" t="n">
        <v>4</v>
      </c>
      <c r="U309" t="n">
        <v>15</v>
      </c>
      <c r="V309" t="n">
        <v>154</v>
      </c>
      <c r="W309" t="n">
        <v>3671</v>
      </c>
    </row>
    <row r="310">
      <c r="A310" t="inlineStr">
        <is>
          <t>Pepsodent Pasta Gigi Compelete 8 Siwak Anticavity And Fresh Halal Natural 150+25G</t>
        </is>
      </c>
      <c r="B310" t="inlineStr">
        <is>
          <t>Pepsodent Action 123</t>
        </is>
      </c>
      <c r="C310" t="inlineStr">
        <is>
          <t>20%</t>
        </is>
      </c>
      <c r="D310" t="n">
        <v>14900</v>
      </c>
      <c r="E310" t="n">
        <v>18700</v>
      </c>
      <c r="F310" t="n">
        <v>14900</v>
      </c>
      <c r="G310" t="n">
        <v>18700</v>
      </c>
      <c r="H310" t="n">
        <v>14900</v>
      </c>
      <c r="I310" t="n">
        <v>18700</v>
      </c>
      <c r="J310" t="b">
        <v>1</v>
      </c>
      <c r="K310" t="inlineStr">
        <is>
          <t>Unilever Indonesia Official Shop</t>
        </is>
      </c>
      <c r="L310" t="inlineStr">
        <is>
          <t>KOTA SEMARANG</t>
        </is>
      </c>
      <c r="M310" t="n">
        <v>4911482451</v>
      </c>
      <c r="N310" t="n">
        <v>14318452</v>
      </c>
      <c r="O310">
        <f>HYPERLINK("https://shopee.co.id/api/v4/item/get?itemid=4911482451&amp;shopid=14318452", "Pepsodent Pasta Gigi Compelete 8 Siwak Anticavity And Fresh Halal Natural 150+25G")</f>
        <v/>
      </c>
      <c r="P310" t="n">
        <v>361</v>
      </c>
      <c r="Q310" t="n">
        <v>546</v>
      </c>
      <c r="R310" t="n">
        <v>4.93433995363699</v>
      </c>
      <c r="S310" t="n">
        <v>30</v>
      </c>
      <c r="T310" t="n">
        <v>16</v>
      </c>
      <c r="U310" t="n">
        <v>81</v>
      </c>
      <c r="V310" t="n">
        <v>732</v>
      </c>
      <c r="W310" t="n">
        <v>15106</v>
      </c>
    </row>
    <row r="311">
      <c r="A311" t="inlineStr">
        <is>
          <t>Rinso Anti Noda Deterjen Bubuk Classic Fresh 1.2 Kg - Deterjen Anti Noda, Detergen Pewangi</t>
        </is>
      </c>
      <c r="B311" t="inlineStr">
        <is>
          <t>0</t>
        </is>
      </c>
      <c r="C311" t="inlineStr">
        <is>
          <t>13%</t>
        </is>
      </c>
      <c r="D311" t="n">
        <v>39200</v>
      </c>
      <c r="E311" t="n">
        <v>45300</v>
      </c>
      <c r="F311" t="n">
        <v>39200</v>
      </c>
      <c r="G311" t="n">
        <v>45300</v>
      </c>
      <c r="H311" t="n">
        <v>39200</v>
      </c>
      <c r="I311" t="n">
        <v>45300</v>
      </c>
      <c r="J311" t="b">
        <v>1</v>
      </c>
      <c r="K311" t="inlineStr">
        <is>
          <t>Unilever Indonesia Official Shop</t>
        </is>
      </c>
      <c r="L311" t="inlineStr">
        <is>
          <t>KOTA BEKASI</t>
        </is>
      </c>
      <c r="M311" t="n">
        <v>1824060973</v>
      </c>
      <c r="N311" t="n">
        <v>14318452</v>
      </c>
      <c r="O311">
        <f>HYPERLINK("https://shopee.co.id/api/v4/item/get?itemid=1824060973&amp;shopid=14318452", "Rinso Anti Noda Deterjen Bubuk Classic Fresh 1.2 Kg - Deterjen Anti Noda, Detergen Pewangi")</f>
        <v/>
      </c>
      <c r="P311" t="n">
        <v>283</v>
      </c>
      <c r="Q311" t="n">
        <v>510</v>
      </c>
      <c r="R311" t="n">
        <v>4.918779152301765</v>
      </c>
      <c r="S311" t="n">
        <v>31</v>
      </c>
      <c r="T311" t="n">
        <v>18</v>
      </c>
      <c r="U311" t="n">
        <v>70</v>
      </c>
      <c r="V311" t="n">
        <v>489</v>
      </c>
      <c r="W311" t="n">
        <v>9258</v>
      </c>
    </row>
    <row r="312">
      <c r="A312" t="inlineStr">
        <is>
          <t>Rexona Men Deodorant Roll On Antiperspirant Sport Defense 72 Jam Kesegaran 45Ml</t>
        </is>
      </c>
      <c r="B312" t="inlineStr">
        <is>
          <t>0</t>
        </is>
      </c>
      <c r="C312" t="inlineStr">
        <is>
          <t>1%</t>
        </is>
      </c>
      <c r="D312" t="n">
        <v>19500</v>
      </c>
      <c r="E312" t="n">
        <v>19600</v>
      </c>
      <c r="F312" t="n">
        <v>19500</v>
      </c>
      <c r="G312" t="n">
        <v>19600</v>
      </c>
      <c r="H312" t="n">
        <v>19500</v>
      </c>
      <c r="I312" t="n">
        <v>19600</v>
      </c>
      <c r="J312" t="b">
        <v>1</v>
      </c>
      <c r="K312" t="inlineStr">
        <is>
          <t>Unilever Indonesia Official Shop</t>
        </is>
      </c>
      <c r="L312" t="inlineStr">
        <is>
          <t>KOTA BEKASI</t>
        </is>
      </c>
      <c r="M312" t="n">
        <v>2219266895</v>
      </c>
      <c r="N312" t="n">
        <v>14318452</v>
      </c>
      <c r="O312">
        <f>HYPERLINK("https://shopee.co.id/api/v4/item/get?itemid=2219266895&amp;shopid=14318452", "Rexona Men Deodorant Roll On Antiperspirant Sport Defense 72 Jam Kesegaran 45Ml")</f>
        <v/>
      </c>
      <c r="P312" t="n">
        <v>690</v>
      </c>
      <c r="Q312" t="n">
        <v>3406</v>
      </c>
      <c r="R312" t="n">
        <v>4.922186852609772</v>
      </c>
      <c r="S312" t="n">
        <v>55</v>
      </c>
      <c r="T312" t="n">
        <v>21</v>
      </c>
      <c r="U312" t="n">
        <v>127</v>
      </c>
      <c r="V312" t="n">
        <v>1014</v>
      </c>
      <c r="W312" t="n">
        <v>18577</v>
      </c>
    </row>
    <row r="313">
      <c r="A313" t="inlineStr">
        <is>
          <t>Dove Deodorant Go Fresh Pomegranate Roll On 40ml Twin Pack</t>
        </is>
      </c>
      <c r="B313" t="inlineStr">
        <is>
          <t>Rexona</t>
        </is>
      </c>
      <c r="C313" t="inlineStr">
        <is>
          <t>23%</t>
        </is>
      </c>
      <c r="D313" t="n">
        <v>34000</v>
      </c>
      <c r="E313" t="n">
        <v>44100</v>
      </c>
      <c r="F313" t="n">
        <v>34000</v>
      </c>
      <c r="G313" t="n">
        <v>44100</v>
      </c>
      <c r="H313" t="n">
        <v>34000</v>
      </c>
      <c r="I313" t="n">
        <v>44100</v>
      </c>
      <c r="J313" t="b">
        <v>1</v>
      </c>
      <c r="K313" t="inlineStr">
        <is>
          <t>Unilever Indonesia Official Shop</t>
        </is>
      </c>
      <c r="L313" t="inlineStr">
        <is>
          <t>KOTA BEKASI</t>
        </is>
      </c>
      <c r="M313" t="n">
        <v>7331326811</v>
      </c>
      <c r="N313" t="n">
        <v>14318452</v>
      </c>
      <c r="O313">
        <f>HYPERLINK("https://shopee.co.id/api/v4/item/get?itemid=7331326811&amp;shopid=14318452", "Dove Deodorant Go Fresh Pomegranate Roll On 40ml Twin Pack")</f>
        <v/>
      </c>
      <c r="P313" t="n">
        <v>176</v>
      </c>
      <c r="Q313" t="n">
        <v>243</v>
      </c>
      <c r="R313" t="n">
        <v>4.930288461538462</v>
      </c>
      <c r="S313" t="n">
        <v>7</v>
      </c>
      <c r="T313" t="n">
        <v>3</v>
      </c>
      <c r="U313" t="n">
        <v>8</v>
      </c>
      <c r="V313" t="n">
        <v>69</v>
      </c>
      <c r="W313" t="n">
        <v>1579</v>
      </c>
    </row>
    <row r="314">
      <c r="A314" t="inlineStr">
        <is>
          <t>Rinso Molto Detergen Bubuk Japanese Peach 1.2Kg</t>
        </is>
      </c>
      <c r="B314" t="inlineStr"/>
      <c r="C314" t="inlineStr">
        <is>
          <t>13%</t>
        </is>
      </c>
      <c r="D314" t="n">
        <v>39200</v>
      </c>
      <c r="E314" t="n">
        <v>45300</v>
      </c>
      <c r="F314" t="n">
        <v>39200</v>
      </c>
      <c r="G314" t="n">
        <v>45300</v>
      </c>
      <c r="H314" t="n">
        <v>39200</v>
      </c>
      <c r="I314" t="n">
        <v>45300</v>
      </c>
      <c r="J314" t="b">
        <v>1</v>
      </c>
      <c r="K314" t="inlineStr">
        <is>
          <t>Unilever Indonesia Official Shop</t>
        </is>
      </c>
      <c r="L314" t="inlineStr">
        <is>
          <t>KOTA BEKASI</t>
        </is>
      </c>
      <c r="M314" t="n">
        <v>9742465165</v>
      </c>
      <c r="N314" t="n">
        <v>14318452</v>
      </c>
      <c r="O314">
        <f>HYPERLINK("https://shopee.co.id/api/v4/item/get?itemid=9742465165&amp;shopid=14318452", "Rinso Molto Detergen Bubuk Japanese Peach 1.2Kg")</f>
        <v/>
      </c>
      <c r="P314" t="n">
        <v>425</v>
      </c>
      <c r="Q314" t="n">
        <v>318</v>
      </c>
      <c r="R314" t="n">
        <v>4.942986122721953</v>
      </c>
      <c r="S314" t="n">
        <v>9</v>
      </c>
      <c r="T314" t="n">
        <v>12</v>
      </c>
      <c r="U314" t="n">
        <v>22</v>
      </c>
      <c r="V314" t="n">
        <v>234</v>
      </c>
      <c r="W314" t="n">
        <v>5707</v>
      </c>
    </row>
    <row r="315">
      <c r="A315" t="inlineStr">
        <is>
          <t>Lux Botanicals Body Wash Refill Velvet Jasmine Kulit Halus 825ml</t>
        </is>
      </c>
      <c r="B315" t="inlineStr">
        <is>
          <t>LUX</t>
        </is>
      </c>
      <c r="C315" t="inlineStr">
        <is>
          <t>26%</t>
        </is>
      </c>
      <c r="D315" t="n">
        <v>36800</v>
      </c>
      <c r="E315" t="n">
        <v>49500</v>
      </c>
      <c r="F315" t="n">
        <v>36800</v>
      </c>
      <c r="G315" t="n">
        <v>49500</v>
      </c>
      <c r="H315" t="n">
        <v>36800</v>
      </c>
      <c r="I315" t="n">
        <v>49500</v>
      </c>
      <c r="J315" t="b">
        <v>1</v>
      </c>
      <c r="K315" t="inlineStr">
        <is>
          <t>Unilever Indonesia Official Shop</t>
        </is>
      </c>
      <c r="L315" t="inlineStr">
        <is>
          <t>KOTA BEKASI</t>
        </is>
      </c>
      <c r="M315" t="n">
        <v>4418773202</v>
      </c>
      <c r="N315" t="n">
        <v>14318452</v>
      </c>
      <c r="O315">
        <f>HYPERLINK("https://shopee.co.id/api/v4/item/get?itemid=4418773202&amp;shopid=14318452", "Lux Botanicals Body Wash Refill Velvet Jasmine Kulit Halus 825ml")</f>
        <v/>
      </c>
      <c r="P315" t="n">
        <v>1817</v>
      </c>
      <c r="Q315" t="n">
        <v>309</v>
      </c>
      <c r="R315" t="n">
        <v>4.945592110856074</v>
      </c>
      <c r="S315" t="n">
        <v>54</v>
      </c>
      <c r="T315" t="n">
        <v>31</v>
      </c>
      <c r="U315" t="n">
        <v>131</v>
      </c>
      <c r="V315" t="n">
        <v>1373</v>
      </c>
      <c r="W315" t="n">
        <v>33733</v>
      </c>
    </row>
    <row r="316">
      <c r="A316" t="inlineStr">
        <is>
          <t>Molto Pelembut Dan Pewangi Pakaian Blue 780ml</t>
        </is>
      </c>
      <c r="B316" t="inlineStr">
        <is>
          <t>Molto</t>
        </is>
      </c>
      <c r="C316" t="inlineStr">
        <is>
          <t>8%</t>
        </is>
      </c>
      <c r="D316" t="n">
        <v>15400</v>
      </c>
      <c r="E316" t="n">
        <v>16700</v>
      </c>
      <c r="F316" t="n">
        <v>15400</v>
      </c>
      <c r="G316" t="n">
        <v>16700</v>
      </c>
      <c r="H316" t="n">
        <v>15400</v>
      </c>
      <c r="I316" t="n">
        <v>16700</v>
      </c>
      <c r="J316" t="b">
        <v>1</v>
      </c>
      <c r="K316" t="inlineStr">
        <is>
          <t>Unilever Indonesia Official Shop</t>
        </is>
      </c>
      <c r="L316" t="inlineStr">
        <is>
          <t>KOTA BEKASI</t>
        </is>
      </c>
      <c r="M316" t="n">
        <v>1041656659</v>
      </c>
      <c r="N316" t="n">
        <v>14318452</v>
      </c>
      <c r="O316">
        <f>HYPERLINK("https://shopee.co.id/api/v4/item/get?itemid=1041656659&amp;shopid=14318452", "Molto Pelembut Dan Pewangi Pakaian Blue 780ml")</f>
        <v/>
      </c>
      <c r="P316" t="n">
        <v>224</v>
      </c>
      <c r="Q316" t="n">
        <v>657</v>
      </c>
      <c r="R316" t="n">
        <v>4.927959830866808</v>
      </c>
      <c r="S316" t="n">
        <v>48</v>
      </c>
      <c r="T316" t="n">
        <v>25</v>
      </c>
      <c r="U316" t="n">
        <v>112</v>
      </c>
      <c r="V316" t="n">
        <v>873</v>
      </c>
      <c r="W316" t="n">
        <v>17863</v>
      </c>
    </row>
    <row r="317">
      <c r="A317" t="inlineStr">
        <is>
          <t>Pepsodent Pasta Gigi Complete 8 Center Fresh Toothpaste 160g</t>
        </is>
      </c>
      <c r="B317" t="inlineStr">
        <is>
          <t>0</t>
        </is>
      </c>
      <c r="C317" t="inlineStr">
        <is>
          <t>20%</t>
        </is>
      </c>
      <c r="D317" t="n">
        <v>20000</v>
      </c>
      <c r="E317" t="n">
        <v>25100</v>
      </c>
      <c r="F317" t="n">
        <v>20000</v>
      </c>
      <c r="G317" t="n">
        <v>25100</v>
      </c>
      <c r="H317" t="n">
        <v>20000</v>
      </c>
      <c r="I317" t="n">
        <v>25100</v>
      </c>
      <c r="J317" t="b">
        <v>1</v>
      </c>
      <c r="K317" t="inlineStr">
        <is>
          <t>Unilever Indonesia Official Shop</t>
        </is>
      </c>
      <c r="L317" t="inlineStr">
        <is>
          <t>KOTA BEKASI</t>
        </is>
      </c>
      <c r="M317" t="n">
        <v>127358049</v>
      </c>
      <c r="N317" t="n">
        <v>14318452</v>
      </c>
      <c r="O317">
        <f>HYPERLINK("https://shopee.co.id/api/v4/item/get?itemid=127358049&amp;shopid=14318452", "Pepsodent Pasta Gigi Complete 8 Center Fresh Toothpaste 160g")</f>
        <v/>
      </c>
      <c r="P317" t="n">
        <v>946</v>
      </c>
      <c r="Q317" t="n">
        <v>1727</v>
      </c>
      <c r="R317" t="n">
        <v>4.932582798795654</v>
      </c>
      <c r="S317" t="n">
        <v>39</v>
      </c>
      <c r="T317" t="n">
        <v>18</v>
      </c>
      <c r="U317" t="n">
        <v>69</v>
      </c>
      <c r="V317" t="n">
        <v>686</v>
      </c>
      <c r="W317" t="n">
        <v>14467</v>
      </c>
    </row>
    <row r="318">
      <c r="A318" t="inlineStr">
        <is>
          <t>Molto Pure Pewangi Pakaian Bayi, Pelembut Baju Bayi Konsentrat 4X Lebih Lembut 1.6L</t>
        </is>
      </c>
      <c r="B318" t="inlineStr">
        <is>
          <t>None</t>
        </is>
      </c>
      <c r="C318" t="inlineStr">
        <is>
          <t>30%</t>
        </is>
      </c>
      <c r="D318" t="n">
        <v>50500</v>
      </c>
      <c r="E318" t="n">
        <v>72200</v>
      </c>
      <c r="F318" t="n">
        <v>50500</v>
      </c>
      <c r="G318" t="n">
        <v>72200</v>
      </c>
      <c r="H318" t="n">
        <v>50500</v>
      </c>
      <c r="I318" t="n">
        <v>72200</v>
      </c>
      <c r="J318" t="b">
        <v>0</v>
      </c>
      <c r="K318" t="inlineStr">
        <is>
          <t>Unilever Indonesia Official Shop</t>
        </is>
      </c>
      <c r="L318" t="inlineStr">
        <is>
          <t>KOTA BEKASI</t>
        </is>
      </c>
      <c r="M318" t="n">
        <v>4779488863</v>
      </c>
      <c r="N318" t="n">
        <v>14318452</v>
      </c>
      <c r="O318">
        <f>HYPERLINK("https://shopee.co.id/api/v4/item/get?itemid=4779488863&amp;shopid=14318452", "Molto Pure Pewangi Pakaian Bayi, Pelembut Baju Bayi Konsentrat 4X Lebih Lembut 1.6L")</f>
        <v/>
      </c>
      <c r="P318" t="n">
        <v>594</v>
      </c>
      <c r="Q318" t="n">
        <v>1351</v>
      </c>
      <c r="R318" t="n">
        <v>4.927835051546392</v>
      </c>
      <c r="S318" t="n">
        <v>18</v>
      </c>
      <c r="T318" t="n">
        <v>8</v>
      </c>
      <c r="U318" t="n">
        <v>26</v>
      </c>
      <c r="V318" t="n">
        <v>104</v>
      </c>
      <c r="W318" t="n">
        <v>3246</v>
      </c>
    </row>
    <row r="319">
      <c r="A319" t="inlineStr">
        <is>
          <t>Ponds Clear Solution Facial Scrub 100gr Twin Pack</t>
        </is>
      </c>
      <c r="B319" t="inlineStr">
        <is>
          <t>Pond's</t>
        </is>
      </c>
      <c r="C319" t="inlineStr">
        <is>
          <t>14%</t>
        </is>
      </c>
      <c r="D319" t="n">
        <v>65400</v>
      </c>
      <c r="E319" t="n">
        <v>76000</v>
      </c>
      <c r="F319" t="n">
        <v>65400</v>
      </c>
      <c r="G319" t="n">
        <v>76000</v>
      </c>
      <c r="H319" t="n">
        <v>65400</v>
      </c>
      <c r="I319" t="n">
        <v>76000</v>
      </c>
      <c r="J319" t="b">
        <v>1</v>
      </c>
      <c r="K319" t="inlineStr">
        <is>
          <t>Unilever Indonesia Official Shop</t>
        </is>
      </c>
      <c r="L319" t="inlineStr">
        <is>
          <t>KOTA BEKASI</t>
        </is>
      </c>
      <c r="M319" t="n">
        <v>7031356230</v>
      </c>
      <c r="N319" t="n">
        <v>14318452</v>
      </c>
      <c r="O319">
        <f>HYPERLINK("https://shopee.co.id/api/v4/item/get?itemid=7031356230&amp;shopid=14318452", "Ponds Clear Solution Facial Scrub 100gr Twin Pack")</f>
        <v/>
      </c>
      <c r="P319" t="n">
        <v>377</v>
      </c>
      <c r="Q319" t="n">
        <v>338</v>
      </c>
      <c r="R319" t="n">
        <v>4.941922994192299</v>
      </c>
      <c r="S319" t="n">
        <v>9</v>
      </c>
      <c r="T319" t="n">
        <v>2</v>
      </c>
      <c r="U319" t="n">
        <v>22</v>
      </c>
      <c r="V319" t="n">
        <v>187</v>
      </c>
      <c r="W319" t="n">
        <v>4430</v>
      </c>
    </row>
    <row r="320">
      <c r="A320" t="inlineStr">
        <is>
          <t>Lux Botanicals Body Wash Refill Sakura Bloom Kulit Glowing 400ml</t>
        </is>
      </c>
      <c r="B320" t="inlineStr">
        <is>
          <t>LUX</t>
        </is>
      </c>
      <c r="C320" t="inlineStr">
        <is>
          <t>24%</t>
        </is>
      </c>
      <c r="D320" t="n">
        <v>22500</v>
      </c>
      <c r="E320" t="n">
        <v>29500</v>
      </c>
      <c r="F320" t="n">
        <v>22500</v>
      </c>
      <c r="G320" t="n">
        <v>29500</v>
      </c>
      <c r="H320" t="n">
        <v>22500</v>
      </c>
      <c r="I320" t="n">
        <v>29500</v>
      </c>
      <c r="J320" t="b">
        <v>1</v>
      </c>
      <c r="K320" t="inlineStr">
        <is>
          <t>Unilever Indonesia Official Shop</t>
        </is>
      </c>
      <c r="L320" t="inlineStr">
        <is>
          <t>KOTA SURABAYA</t>
        </is>
      </c>
      <c r="M320" t="n">
        <v>471261078</v>
      </c>
      <c r="N320" t="n">
        <v>14318452</v>
      </c>
      <c r="O320">
        <f>HYPERLINK("https://shopee.co.id/api/v4/item/get?itemid=471261078&amp;shopid=14318452", "Lux Botanicals Body Wash Refill Sakura Bloom Kulit Glowing 400ml")</f>
        <v/>
      </c>
      <c r="P320" t="n">
        <v>102</v>
      </c>
      <c r="Q320" t="n">
        <v>6</v>
      </c>
      <c r="R320" t="n">
        <v>4.931782307322765</v>
      </c>
      <c r="S320" t="n">
        <v>26</v>
      </c>
      <c r="T320" t="n">
        <v>17</v>
      </c>
      <c r="U320" t="n">
        <v>83</v>
      </c>
      <c r="V320" t="n">
        <v>683</v>
      </c>
      <c r="W320" t="n">
        <v>13765</v>
      </c>
    </row>
    <row r="321">
      <c r="A321" t="inlineStr">
        <is>
          <t>Bango Kecap Manis Soy Sauce Refill Terbuat Dari 4 Bahan Alami Berkualitas 520Mlx2</t>
        </is>
      </c>
      <c r="B321" t="inlineStr">
        <is>
          <t>Bango</t>
        </is>
      </c>
      <c r="C321" t="inlineStr">
        <is>
          <t>25%</t>
        </is>
      </c>
      <c r="D321" t="n">
        <v>40000</v>
      </c>
      <c r="E321" t="n">
        <v>53400</v>
      </c>
      <c r="F321" t="n">
        <v>40000</v>
      </c>
      <c r="G321" t="n">
        <v>53400</v>
      </c>
      <c r="H321" t="n">
        <v>40000</v>
      </c>
      <c r="I321" t="n">
        <v>53400</v>
      </c>
      <c r="J321" t="b">
        <v>1</v>
      </c>
      <c r="K321" t="inlineStr">
        <is>
          <t>Unilever Indonesia Official Shop</t>
        </is>
      </c>
      <c r="L321" t="inlineStr">
        <is>
          <t>KAB. BANYUASIN</t>
        </is>
      </c>
      <c r="M321" t="n">
        <v>7331718464</v>
      </c>
      <c r="N321" t="n">
        <v>14318452</v>
      </c>
      <c r="O321">
        <f>HYPERLINK("https://shopee.co.id/api/v4/item/get?itemid=7331718464&amp;shopid=14318452", "Bango Kecap Manis Soy Sauce Refill Terbuat Dari 4 Bahan Alami Berkualitas 520Mlx2")</f>
        <v/>
      </c>
      <c r="P321" t="n">
        <v>5471</v>
      </c>
      <c r="Q321" t="n">
        <v>478</v>
      </c>
      <c r="R321" t="n">
        <v>4.946402968710466</v>
      </c>
      <c r="S321" t="n">
        <v>55</v>
      </c>
      <c r="T321" t="n">
        <v>28</v>
      </c>
      <c r="U321" t="n">
        <v>104</v>
      </c>
      <c r="V321" t="n">
        <v>796</v>
      </c>
      <c r="W321" t="n">
        <v>22919</v>
      </c>
    </row>
    <row r="322">
      <c r="A322" t="inlineStr">
        <is>
          <t>Citra Green Tea Anti Acne Facial Foam 100gr &amp; Face Moisturizer 40gr</t>
        </is>
      </c>
      <c r="B322" t="inlineStr">
        <is>
          <t>Citra</t>
        </is>
      </c>
      <c r="C322" t="inlineStr">
        <is>
          <t>1%</t>
        </is>
      </c>
      <c r="D322" t="n">
        <v>78200</v>
      </c>
      <c r="E322" t="n">
        <v>78900</v>
      </c>
      <c r="F322" t="n">
        <v>78200</v>
      </c>
      <c r="G322" t="n">
        <v>78900</v>
      </c>
      <c r="H322" t="n">
        <v>78200</v>
      </c>
      <c r="I322" t="n">
        <v>78900</v>
      </c>
      <c r="J322" t="b">
        <v>1</v>
      </c>
      <c r="K322" t="inlineStr">
        <is>
          <t>Unilever Indonesia Official Shop</t>
        </is>
      </c>
      <c r="L322" t="inlineStr">
        <is>
          <t>KOTA BEKASI</t>
        </is>
      </c>
      <c r="M322" t="n">
        <v>4830965729</v>
      </c>
      <c r="N322" t="n">
        <v>14318452</v>
      </c>
      <c r="O322">
        <f>HYPERLINK("https://shopee.co.id/api/v4/item/get?itemid=4830965729&amp;shopid=14318452", "Citra Green Tea Anti Acne Facial Foam 100gr &amp; Face Moisturizer 40gr")</f>
        <v/>
      </c>
      <c r="P322" t="n">
        <v>384</v>
      </c>
      <c r="Q322" t="n">
        <v>928</v>
      </c>
      <c r="R322" t="n">
        <v>4.901825499496909</v>
      </c>
      <c r="S322" t="n">
        <v>18</v>
      </c>
      <c r="T322" t="n">
        <v>11</v>
      </c>
      <c r="U322" t="n">
        <v>59</v>
      </c>
      <c r="V322" t="n">
        <v>466</v>
      </c>
      <c r="W322" t="n">
        <v>6405</v>
      </c>
    </row>
    <row r="323">
      <c r="A323" t="inlineStr">
        <is>
          <t>Lifebuoy SHAMPO Perawatan Rambut Kuat Berkilau dengan MilkNutriStrong &amp; Habbatussauda Pump 680ML</t>
        </is>
      </c>
      <c r="B323" t="inlineStr">
        <is>
          <t>Lifebuoy</t>
        </is>
      </c>
      <c r="C323" t="inlineStr">
        <is>
          <t>1%</t>
        </is>
      </c>
      <c r="D323" t="n">
        <v>61200</v>
      </c>
      <c r="E323" t="n">
        <v>61800</v>
      </c>
      <c r="F323" t="n">
        <v>61200</v>
      </c>
      <c r="G323" t="n">
        <v>61800</v>
      </c>
      <c r="H323" t="n">
        <v>61200</v>
      </c>
      <c r="I323" t="n">
        <v>61800</v>
      </c>
      <c r="J323" t="b">
        <v>1</v>
      </c>
      <c r="K323" t="inlineStr">
        <is>
          <t>Unilever Indonesia Official Shop</t>
        </is>
      </c>
      <c r="L323" t="inlineStr">
        <is>
          <t>KOTA BEKASI</t>
        </is>
      </c>
      <c r="M323" t="n">
        <v>639917256</v>
      </c>
      <c r="N323" t="n">
        <v>14318452</v>
      </c>
      <c r="O323">
        <f>HYPERLINK("https://shopee.co.id/api/v4/item/get?itemid=639917256&amp;shopid=14318452", "Lifebuoy SHAMPO Perawatan Rambut Kuat Berkilau dengan MilkNutriStrong &amp; Habbatussauda Pump 680ML")</f>
        <v/>
      </c>
      <c r="P323" t="n">
        <v>478</v>
      </c>
      <c r="Q323" t="n">
        <v>2245</v>
      </c>
      <c r="R323" t="n">
        <v>4.939629785443837</v>
      </c>
      <c r="S323" t="n">
        <v>52</v>
      </c>
      <c r="T323" t="n">
        <v>36</v>
      </c>
      <c r="U323" t="n">
        <v>105</v>
      </c>
      <c r="V323" t="n">
        <v>932</v>
      </c>
      <c r="W323" t="n">
        <v>22651</v>
      </c>
    </row>
    <row r="324">
      <c r="A324" t="inlineStr">
        <is>
          <t>Lifebuoy Body Wash Refill Total 10 Antibakteri 825ml Twin Pack</t>
        </is>
      </c>
      <c r="B324" t="inlineStr">
        <is>
          <t>Lifebuoy</t>
        </is>
      </c>
      <c r="C324" t="inlineStr">
        <is>
          <t>27%</t>
        </is>
      </c>
      <c r="D324" t="n">
        <v>81200</v>
      </c>
      <c r="E324" t="n">
        <v>111200</v>
      </c>
      <c r="F324" t="n">
        <v>81200</v>
      </c>
      <c r="G324" t="n">
        <v>111200</v>
      </c>
      <c r="H324" t="n">
        <v>81200</v>
      </c>
      <c r="I324" t="n">
        <v>111200</v>
      </c>
      <c r="J324" t="b">
        <v>1</v>
      </c>
      <c r="K324" t="inlineStr">
        <is>
          <t>Unilever Indonesia Official Shop</t>
        </is>
      </c>
      <c r="L324" t="inlineStr">
        <is>
          <t>KOTA BEKASI</t>
        </is>
      </c>
      <c r="M324" t="n">
        <v>5231337204</v>
      </c>
      <c r="N324" t="n">
        <v>14318452</v>
      </c>
      <c r="O324">
        <f>HYPERLINK("https://shopee.co.id/api/v4/item/get?itemid=5231337204&amp;shopid=14318452", "Lifebuoy Body Wash Refill Total 10 Antibakteri 825ml Twin Pack")</f>
        <v/>
      </c>
      <c r="P324" t="n">
        <v>438</v>
      </c>
      <c r="Q324" t="n">
        <v>4026</v>
      </c>
      <c r="R324" t="n">
        <v>4.940921940806554</v>
      </c>
      <c r="S324" t="n">
        <v>44</v>
      </c>
      <c r="T324" t="n">
        <v>23</v>
      </c>
      <c r="U324" t="n">
        <v>103</v>
      </c>
      <c r="V324" t="n">
        <v>590</v>
      </c>
      <c r="W324" t="n">
        <v>16585</v>
      </c>
    </row>
    <row r="325">
      <c r="A325" t="inlineStr">
        <is>
          <t>Citra Sabun Mandi Lulur Natural Glow Bengkoang 70 gr x2</t>
        </is>
      </c>
      <c r="B325" t="inlineStr">
        <is>
          <t>0</t>
        </is>
      </c>
      <c r="C325" t="inlineStr">
        <is>
          <t>4%</t>
        </is>
      </c>
      <c r="D325" t="n">
        <v>6800</v>
      </c>
      <c r="E325" t="n">
        <v>7100</v>
      </c>
      <c r="F325" t="n">
        <v>6800</v>
      </c>
      <c r="G325" t="n">
        <v>7100</v>
      </c>
      <c r="H325" t="n">
        <v>6800</v>
      </c>
      <c r="I325" t="n">
        <v>7100</v>
      </c>
      <c r="J325" t="b">
        <v>0</v>
      </c>
      <c r="K325" t="inlineStr">
        <is>
          <t>Unilever Indonesia Official Shop</t>
        </is>
      </c>
      <c r="L325" t="inlineStr">
        <is>
          <t>KOTA BEKASI</t>
        </is>
      </c>
      <c r="M325" t="n">
        <v>5678781268</v>
      </c>
      <c r="N325" t="n">
        <v>14318452</v>
      </c>
      <c r="O325">
        <f>HYPERLINK("https://shopee.co.id/api/v4/item/get?itemid=5678781268&amp;shopid=14318452", "Citra Sabun Mandi Lulur Natural Glow Bengkoang 70 gr x2")</f>
        <v/>
      </c>
      <c r="P325" t="n">
        <v>181</v>
      </c>
      <c r="Q325" t="n">
        <v>3945</v>
      </c>
      <c r="R325" t="n">
        <v>4.933849226160759</v>
      </c>
      <c r="S325" t="n">
        <v>10</v>
      </c>
      <c r="T325" t="n">
        <v>5</v>
      </c>
      <c r="U325" t="n">
        <v>22</v>
      </c>
      <c r="V325" t="n">
        <v>169</v>
      </c>
      <c r="W325" t="n">
        <v>3801</v>
      </c>
    </row>
    <row r="326">
      <c r="A326" t="inlineStr">
        <is>
          <t>Vaseline Serum Healthy Bright SPF30 Pa+++ 180Ml</t>
        </is>
      </c>
      <c r="B326" t="inlineStr">
        <is>
          <t>Vaseline</t>
        </is>
      </c>
      <c r="C326" t="inlineStr">
        <is>
          <t>11%</t>
        </is>
      </c>
      <c r="D326" t="n">
        <v>48200</v>
      </c>
      <c r="E326" t="n">
        <v>54200</v>
      </c>
      <c r="F326" t="n">
        <v>48200</v>
      </c>
      <c r="G326" t="n">
        <v>54200</v>
      </c>
      <c r="H326" t="n">
        <v>48200</v>
      </c>
      <c r="I326" t="n">
        <v>54200</v>
      </c>
      <c r="J326" t="b">
        <v>1</v>
      </c>
      <c r="K326" t="inlineStr">
        <is>
          <t>Unilever Indonesia Official Shop</t>
        </is>
      </c>
      <c r="L326" t="inlineStr">
        <is>
          <t>KOTA BEKASI</t>
        </is>
      </c>
      <c r="M326" t="n">
        <v>6460789012</v>
      </c>
      <c r="N326" t="n">
        <v>14318452</v>
      </c>
      <c r="O326">
        <f>HYPERLINK("https://shopee.co.id/api/v4/item/get?itemid=6460789012&amp;shopid=14318452", "Vaseline Serum Healthy Bright SPF30 Pa+++ 180Ml")</f>
        <v/>
      </c>
      <c r="P326" t="n">
        <v>796</v>
      </c>
      <c r="Q326" t="n">
        <v>2021</v>
      </c>
      <c r="R326" t="n">
        <v>4.882495457298607</v>
      </c>
      <c r="S326" t="n">
        <v>54</v>
      </c>
      <c r="T326" t="n">
        <v>34</v>
      </c>
      <c r="U326" t="n">
        <v>112</v>
      </c>
      <c r="V326" t="n">
        <v>628</v>
      </c>
      <c r="W326" t="n">
        <v>9080</v>
      </c>
    </row>
    <row r="327">
      <c r="A327" t="inlineStr">
        <is>
          <t>Royco Bumbu Penyedap Makanan Rasa Kaldu Sapi 220G</t>
        </is>
      </c>
      <c r="B327" t="inlineStr">
        <is>
          <t>Royco</t>
        </is>
      </c>
      <c r="C327" t="inlineStr">
        <is>
          <t>55%</t>
        </is>
      </c>
      <c r="D327" t="n">
        <v>8800</v>
      </c>
      <c r="E327" t="n">
        <v>19700</v>
      </c>
      <c r="F327" t="n">
        <v>8800</v>
      </c>
      <c r="G327" t="n">
        <v>19700</v>
      </c>
      <c r="H327" t="n">
        <v>8800</v>
      </c>
      <c r="I327" t="n">
        <v>19700</v>
      </c>
      <c r="J327" t="b">
        <v>1</v>
      </c>
      <c r="K327" t="inlineStr">
        <is>
          <t>Unilever Indonesia Official Shop</t>
        </is>
      </c>
      <c r="L327" t="inlineStr">
        <is>
          <t>KOTA BEKASI</t>
        </is>
      </c>
      <c r="M327" t="n">
        <v>4057889703</v>
      </c>
      <c r="N327" t="n">
        <v>14318452</v>
      </c>
      <c r="O327">
        <f>HYPERLINK("https://shopee.co.id/api/v4/item/get?itemid=4057889703&amp;shopid=14318452", "Royco Bumbu Penyedap Makanan Rasa Kaldu Sapi 220G")</f>
        <v/>
      </c>
      <c r="P327" t="n">
        <v>1165</v>
      </c>
      <c r="Q327" t="n">
        <v>3027</v>
      </c>
      <c r="R327" t="n">
        <v>4.937745483110762</v>
      </c>
      <c r="S327" t="n">
        <v>8</v>
      </c>
      <c r="T327" t="n">
        <v>8</v>
      </c>
      <c r="U327" t="n">
        <v>26</v>
      </c>
      <c r="V327" t="n">
        <v>212</v>
      </c>
      <c r="W327" t="n">
        <v>4839</v>
      </c>
    </row>
    <row r="328">
      <c r="A328" t="inlineStr">
        <is>
          <t>Close Up Pasta Gigi White Attraction Natural Smile 100G - Pasta Gigi Pemutih Lemon</t>
        </is>
      </c>
      <c r="B328" t="inlineStr"/>
      <c r="C328" t="inlineStr">
        <is>
          <t>26%</t>
        </is>
      </c>
      <c r="D328" t="n">
        <v>15000</v>
      </c>
      <c r="E328" t="n">
        <v>20200</v>
      </c>
      <c r="F328" t="n">
        <v>15000</v>
      </c>
      <c r="G328" t="n">
        <v>20200</v>
      </c>
      <c r="H328" t="n">
        <v>15000</v>
      </c>
      <c r="I328" t="n">
        <v>20200</v>
      </c>
      <c r="J328" t="b">
        <v>1</v>
      </c>
      <c r="K328" t="inlineStr">
        <is>
          <t>Unilever Indonesia Official Shop</t>
        </is>
      </c>
      <c r="L328" t="inlineStr">
        <is>
          <t>KOTA BEKASI</t>
        </is>
      </c>
      <c r="M328" t="n">
        <v>7931996125</v>
      </c>
      <c r="N328" t="n">
        <v>14318452</v>
      </c>
      <c r="O328">
        <f>HYPERLINK("https://shopee.co.id/api/v4/item/get?itemid=7931996125&amp;shopid=14318452", "Close Up Pasta Gigi White Attraction Natural Smile 100G - Pasta Gigi Pemutih Lemon")</f>
        <v/>
      </c>
      <c r="P328" t="n">
        <v>1055</v>
      </c>
      <c r="Q328" t="n">
        <v>78</v>
      </c>
      <c r="R328" t="n">
        <v>4.924750447914001</v>
      </c>
      <c r="S328" t="n">
        <v>27</v>
      </c>
      <c r="T328" t="n">
        <v>13</v>
      </c>
      <c r="U328" t="n">
        <v>85</v>
      </c>
      <c r="V328" t="n">
        <v>876</v>
      </c>
      <c r="W328" t="n">
        <v>14632</v>
      </c>
    </row>
    <row r="329">
      <c r="A329" t="inlineStr">
        <is>
          <t>Pond's Bright Beauty Day Cream for All Skin Type 40gr Twinpack</t>
        </is>
      </c>
      <c r="B329" t="inlineStr">
        <is>
          <t>Pond's</t>
        </is>
      </c>
      <c r="C329" t="inlineStr">
        <is>
          <t>15%</t>
        </is>
      </c>
      <c r="D329" t="n">
        <v>91500</v>
      </c>
      <c r="E329" t="n">
        <v>107700</v>
      </c>
      <c r="F329" t="n">
        <v>91500</v>
      </c>
      <c r="G329" t="n">
        <v>107700</v>
      </c>
      <c r="H329" t="n">
        <v>91500</v>
      </c>
      <c r="I329" t="n">
        <v>107700</v>
      </c>
      <c r="J329" t="b">
        <v>1</v>
      </c>
      <c r="K329" t="inlineStr">
        <is>
          <t>Unilever Indonesia Official Shop</t>
        </is>
      </c>
      <c r="L329" t="inlineStr">
        <is>
          <t>KOTA BEKASI</t>
        </is>
      </c>
      <c r="M329" t="n">
        <v>7631357535</v>
      </c>
      <c r="N329" t="n">
        <v>14318452</v>
      </c>
      <c r="O329">
        <f>HYPERLINK("https://shopee.co.id/api/v4/item/get?itemid=7631357535&amp;shopid=14318452", "Pond's Bright Beauty Day Cream for All Skin Type 40gr Twinpack")</f>
        <v/>
      </c>
      <c r="P329" t="n">
        <v>236</v>
      </c>
      <c r="Q329" t="n">
        <v>665</v>
      </c>
      <c r="R329" t="n">
        <v>4.913464196848217</v>
      </c>
      <c r="S329" t="n">
        <v>8</v>
      </c>
      <c r="T329" t="n">
        <v>5</v>
      </c>
      <c r="U329" t="n">
        <v>31</v>
      </c>
      <c r="V329" t="n">
        <v>204</v>
      </c>
      <c r="W329" t="n">
        <v>3379</v>
      </c>
    </row>
    <row r="330">
      <c r="A330" t="inlineStr">
        <is>
          <t>Lifebuoy Sabun Cair Total 10 Refill 825ml (Paket Isi 4)</t>
        </is>
      </c>
      <c r="B330" t="inlineStr">
        <is>
          <t>Lifebuoy</t>
        </is>
      </c>
      <c r="C330" t="inlineStr">
        <is>
          <t>31%</t>
        </is>
      </c>
      <c r="D330" t="n">
        <v>154300</v>
      </c>
      <c r="E330" t="n">
        <v>222400</v>
      </c>
      <c r="F330" t="n">
        <v>154300</v>
      </c>
      <c r="G330" t="n">
        <v>222400</v>
      </c>
      <c r="H330" t="n">
        <v>154300</v>
      </c>
      <c r="I330" t="n">
        <v>222400</v>
      </c>
      <c r="J330" t="b">
        <v>1</v>
      </c>
      <c r="K330" t="inlineStr">
        <is>
          <t>Unilever Indonesia Official Shop</t>
        </is>
      </c>
      <c r="L330" t="inlineStr">
        <is>
          <t>KOTA BEKASI</t>
        </is>
      </c>
      <c r="M330" t="n">
        <v>7731379190</v>
      </c>
      <c r="N330" t="n">
        <v>14318452</v>
      </c>
      <c r="O330">
        <f>HYPERLINK("https://shopee.co.id/api/v4/item/get?itemid=7731379190&amp;shopid=14318452", "Lifebuoy Sabun Cair Total 10 Refill 825ml (Paket Isi 4)")</f>
        <v/>
      </c>
      <c r="P330" t="n">
        <v>365</v>
      </c>
      <c r="Q330" t="n">
        <v>2013</v>
      </c>
      <c r="R330" t="n">
        <v>4.911165302212158</v>
      </c>
      <c r="S330" t="n">
        <v>45</v>
      </c>
      <c r="T330" t="n">
        <v>23</v>
      </c>
      <c r="U330" t="n">
        <v>33</v>
      </c>
      <c r="V330" t="n">
        <v>210</v>
      </c>
      <c r="W330" t="n">
        <v>5436</v>
      </c>
    </row>
    <row r="331">
      <c r="A331" t="inlineStr">
        <is>
          <t>Pond's Bright Beauty Perfect Potion Essence for All Skin Type 50ml</t>
        </is>
      </c>
      <c r="B331" t="inlineStr"/>
      <c r="C331" t="inlineStr">
        <is>
          <t>10%</t>
        </is>
      </c>
      <c r="D331" t="n">
        <v>38700</v>
      </c>
      <c r="E331" t="n">
        <v>42800</v>
      </c>
      <c r="F331" t="n">
        <v>38700</v>
      </c>
      <c r="G331" t="n">
        <v>42800</v>
      </c>
      <c r="H331" t="n">
        <v>38700</v>
      </c>
      <c r="I331" t="n">
        <v>42800</v>
      </c>
      <c r="J331" t="b">
        <v>1</v>
      </c>
      <c r="K331" t="inlineStr">
        <is>
          <t>Unilever Indonesia Official Shop</t>
        </is>
      </c>
      <c r="L331" t="inlineStr">
        <is>
          <t>KOTA BEKASI</t>
        </is>
      </c>
      <c r="M331" t="n">
        <v>4660789514</v>
      </c>
      <c r="N331" t="n">
        <v>14318452</v>
      </c>
      <c r="O331">
        <f>HYPERLINK("https://shopee.co.id/api/v4/item/get?itemid=4660789514&amp;shopid=14318452", "Pond's Bright Beauty Perfect Potion Essence for All Skin Type 50ml")</f>
        <v/>
      </c>
      <c r="P331" t="n">
        <v>398</v>
      </c>
      <c r="Q331" t="n">
        <v>37</v>
      </c>
      <c r="R331" t="n">
        <v>4.908644838968686</v>
      </c>
      <c r="S331" t="n">
        <v>18</v>
      </c>
      <c r="T331" t="n">
        <v>13</v>
      </c>
      <c r="U331" t="n">
        <v>90</v>
      </c>
      <c r="V331" t="n">
        <v>745</v>
      </c>
      <c r="W331" t="n">
        <v>10347</v>
      </c>
    </row>
    <row r="332">
      <c r="A332" t="inlineStr">
        <is>
          <t>Sunlight Lime Botol 400Ml</t>
        </is>
      </c>
      <c r="B332" t="inlineStr">
        <is>
          <t>0</t>
        </is>
      </c>
      <c r="C332" t="inlineStr">
        <is>
          <t>11%</t>
        </is>
      </c>
      <c r="D332" t="n">
        <v>20200</v>
      </c>
      <c r="E332" t="n">
        <v>22700</v>
      </c>
      <c r="F332" t="n">
        <v>20200</v>
      </c>
      <c r="G332" t="n">
        <v>22700</v>
      </c>
      <c r="H332" t="n">
        <v>20200</v>
      </c>
      <c r="I332" t="n">
        <v>22700</v>
      </c>
      <c r="J332" t="b">
        <v>1</v>
      </c>
      <c r="K332" t="inlineStr">
        <is>
          <t>Unilever Indonesia Official Shop</t>
        </is>
      </c>
      <c r="L332" t="inlineStr">
        <is>
          <t>KOTA BEKASI</t>
        </is>
      </c>
      <c r="M332" t="n">
        <v>1921369116</v>
      </c>
      <c r="N332" t="n">
        <v>14318452</v>
      </c>
      <c r="O332">
        <f>HYPERLINK("https://shopee.co.id/api/v4/item/get?itemid=1921369116&amp;shopid=14318452", "Sunlight Lime Botol 400Ml")</f>
        <v/>
      </c>
      <c r="P332" t="n">
        <v>370</v>
      </c>
      <c r="Q332" t="n">
        <v>421</v>
      </c>
      <c r="R332" t="n">
        <v>4.915814977973568</v>
      </c>
      <c r="S332" t="n">
        <v>80</v>
      </c>
      <c r="T332" t="n">
        <v>30</v>
      </c>
      <c r="U332" t="n">
        <v>175</v>
      </c>
      <c r="V332" t="n">
        <v>1191</v>
      </c>
      <c r="W332" t="n">
        <v>21235</v>
      </c>
    </row>
    <row r="333">
      <c r="A333" t="inlineStr">
        <is>
          <t>Pepsodent Pasta Gigi Action 123 Nature Essentials Siwak Halal 65G</t>
        </is>
      </c>
      <c r="B333" t="inlineStr">
        <is>
          <t>Pepsodent</t>
        </is>
      </c>
      <c r="C333" t="inlineStr">
        <is>
          <t>10%</t>
        </is>
      </c>
      <c r="D333" t="n">
        <v>7400</v>
      </c>
      <c r="E333" t="n">
        <v>8200</v>
      </c>
      <c r="F333" t="n">
        <v>7400</v>
      </c>
      <c r="G333" t="n">
        <v>8200</v>
      </c>
      <c r="H333" t="n">
        <v>7400</v>
      </c>
      <c r="I333" t="n">
        <v>8200</v>
      </c>
      <c r="J333" t="b">
        <v>1</v>
      </c>
      <c r="K333" t="inlineStr">
        <is>
          <t>Unilever Indonesia Official Shop</t>
        </is>
      </c>
      <c r="L333" t="inlineStr">
        <is>
          <t>KOTA BEKASI</t>
        </is>
      </c>
      <c r="M333" t="n">
        <v>6111483553</v>
      </c>
      <c r="N333" t="n">
        <v>14318452</v>
      </c>
      <c r="O333">
        <f>HYPERLINK("https://shopee.co.id/api/v4/item/get?itemid=6111483553&amp;shopid=14318452", "Pepsodent Pasta Gigi Action 123 Nature Essentials Siwak Halal 65G")</f>
        <v/>
      </c>
      <c r="P333" t="n">
        <v>194</v>
      </c>
      <c r="Q333" t="n">
        <v>1356</v>
      </c>
      <c r="R333" t="n">
        <v>4.920738436841577</v>
      </c>
      <c r="S333" t="n">
        <v>22</v>
      </c>
      <c r="T333" t="n">
        <v>9</v>
      </c>
      <c r="U333" t="n">
        <v>63</v>
      </c>
      <c r="V333" t="n">
        <v>556</v>
      </c>
      <c r="W333" t="n">
        <v>9319</v>
      </c>
    </row>
    <row r="334">
      <c r="A334" t="inlineStr">
        <is>
          <t>Rexona Deodorant Dry Serum Natural Brightening Fresh Sakura 10X Pencerah Ketiak 50Mlx2</t>
        </is>
      </c>
      <c r="B334" t="inlineStr">
        <is>
          <t>0</t>
        </is>
      </c>
      <c r="C334" t="inlineStr">
        <is>
          <t>24%</t>
        </is>
      </c>
      <c r="D334" t="n">
        <v>32800</v>
      </c>
      <c r="E334" t="n">
        <v>43300</v>
      </c>
      <c r="F334" t="n">
        <v>32800</v>
      </c>
      <c r="G334" t="n">
        <v>43300</v>
      </c>
      <c r="H334" t="n">
        <v>32800</v>
      </c>
      <c r="I334" t="n">
        <v>43300</v>
      </c>
      <c r="J334" t="b">
        <v>1</v>
      </c>
      <c r="K334" t="inlineStr">
        <is>
          <t>Unilever Indonesia Official Shop</t>
        </is>
      </c>
      <c r="L334" t="inlineStr">
        <is>
          <t>KOTA BEKASI</t>
        </is>
      </c>
      <c r="M334" t="n">
        <v>4439360139</v>
      </c>
      <c r="N334" t="n">
        <v>14318452</v>
      </c>
      <c r="O334">
        <f>HYPERLINK("https://shopee.co.id/api/v4/item/get?itemid=4439360139&amp;shopid=14318452", "Rexona Deodorant Dry Serum Natural Brightening Fresh Sakura 10X Pencerah Ketiak 50Mlx2")</f>
        <v/>
      </c>
      <c r="P334" t="n">
        <v>1523</v>
      </c>
      <c r="Q334" t="n">
        <v>2808</v>
      </c>
      <c r="R334" t="n">
        <v>4.932530845621426</v>
      </c>
      <c r="S334" t="n">
        <v>27</v>
      </c>
      <c r="T334" t="n">
        <v>15</v>
      </c>
      <c r="U334" t="n">
        <v>96</v>
      </c>
      <c r="V334" t="n">
        <v>787</v>
      </c>
      <c r="W334" t="n">
        <v>15693</v>
      </c>
    </row>
    <row r="335">
      <c r="A335" t="inlineStr">
        <is>
          <t>Citra Hand and Body Lotion Sakura Glow UV 230ml</t>
        </is>
      </c>
      <c r="B335" t="inlineStr"/>
      <c r="C335" t="inlineStr">
        <is>
          <t>1%</t>
        </is>
      </c>
      <c r="D335" t="n">
        <v>28400</v>
      </c>
      <c r="E335" t="n">
        <v>28600</v>
      </c>
      <c r="F335" t="n">
        <v>28400</v>
      </c>
      <c r="G335" t="n">
        <v>28600</v>
      </c>
      <c r="H335" t="n">
        <v>28400</v>
      </c>
      <c r="I335" t="n">
        <v>28600</v>
      </c>
      <c r="J335" t="b">
        <v>1</v>
      </c>
      <c r="K335" t="inlineStr">
        <is>
          <t>Unilever Indonesia Official Shop</t>
        </is>
      </c>
      <c r="L335" t="inlineStr">
        <is>
          <t>KOTA BEKASI</t>
        </is>
      </c>
      <c r="M335" t="n">
        <v>7531997934</v>
      </c>
      <c r="N335" t="n">
        <v>14318452</v>
      </c>
      <c r="O335">
        <f>HYPERLINK("https://shopee.co.id/api/v4/item/get?itemid=7531997934&amp;shopid=14318452", "Citra Hand and Body Lotion Sakura Glow UV 230ml")</f>
        <v/>
      </c>
      <c r="P335" t="n">
        <v>191</v>
      </c>
      <c r="Q335" t="n">
        <v>461</v>
      </c>
      <c r="R335" t="n">
        <v>4.930740740740741</v>
      </c>
      <c r="S335" t="n">
        <v>1</v>
      </c>
      <c r="T335" t="n">
        <v>6</v>
      </c>
      <c r="U335" t="n">
        <v>11</v>
      </c>
      <c r="V335" t="n">
        <v>143</v>
      </c>
      <c r="W335" t="n">
        <v>2539</v>
      </c>
    </row>
    <row r="336">
      <c r="A336" t="inlineStr">
        <is>
          <t>Zwitsal Baby Bath &amp; Body Antibacterial 450 ml</t>
        </is>
      </c>
      <c r="B336" t="inlineStr">
        <is>
          <t>None</t>
        </is>
      </c>
      <c r="C336" t="inlineStr">
        <is>
          <t>11%</t>
        </is>
      </c>
      <c r="D336" t="n">
        <v>36800</v>
      </c>
      <c r="E336" t="n">
        <v>41500</v>
      </c>
      <c r="F336" t="n">
        <v>36800</v>
      </c>
      <c r="G336" t="n">
        <v>41500</v>
      </c>
      <c r="H336" t="n">
        <v>36800</v>
      </c>
      <c r="I336" t="n">
        <v>41500</v>
      </c>
      <c r="J336" t="b">
        <v>1</v>
      </c>
      <c r="K336" t="inlineStr">
        <is>
          <t>Unilever Indonesia Official Shop</t>
        </is>
      </c>
      <c r="L336" t="inlineStr">
        <is>
          <t>KOTA BEKASI</t>
        </is>
      </c>
      <c r="M336" t="n">
        <v>6562039837</v>
      </c>
      <c r="N336" t="n">
        <v>14318452</v>
      </c>
      <c r="O336">
        <f>HYPERLINK("https://shopee.co.id/api/v4/item/get?itemid=6562039837&amp;shopid=14318452", "Zwitsal Baby Bath &amp; Body Antibacterial 450 ml")</f>
        <v/>
      </c>
      <c r="P336" t="n">
        <v>127</v>
      </c>
      <c r="Q336" t="n">
        <v>335</v>
      </c>
      <c r="R336" t="n">
        <v>4.944972067039106</v>
      </c>
      <c r="S336" t="n">
        <v>4</v>
      </c>
      <c r="T336" t="n">
        <v>1</v>
      </c>
      <c r="U336" t="n">
        <v>20</v>
      </c>
      <c r="V336" t="n">
        <v>142</v>
      </c>
      <c r="W336" t="n">
        <v>3414</v>
      </c>
    </row>
    <row r="337">
      <c r="A337" t="inlineStr">
        <is>
          <t>Vaseline Multi Purpose Repairing Jelly Aloe 50 ml</t>
        </is>
      </c>
      <c r="B337" t="inlineStr">
        <is>
          <t>Vaseline</t>
        </is>
      </c>
      <c r="C337" t="inlineStr">
        <is>
          <t>12%</t>
        </is>
      </c>
      <c r="D337" t="n">
        <v>28500</v>
      </c>
      <c r="E337" t="n">
        <v>32500</v>
      </c>
      <c r="F337" t="n">
        <v>28500</v>
      </c>
      <c r="G337" t="n">
        <v>32500</v>
      </c>
      <c r="H337" t="n">
        <v>28500</v>
      </c>
      <c r="I337" t="n">
        <v>32500</v>
      </c>
      <c r="J337" t="b">
        <v>1</v>
      </c>
      <c r="K337" t="inlineStr">
        <is>
          <t>Unilever Indonesia Official Shop</t>
        </is>
      </c>
      <c r="L337" t="inlineStr">
        <is>
          <t>KOTA BEKASI</t>
        </is>
      </c>
      <c r="M337" t="n">
        <v>5338373836</v>
      </c>
      <c r="N337" t="n">
        <v>14318452</v>
      </c>
      <c r="O337">
        <f>HYPERLINK("https://shopee.co.id/api/v4/item/get?itemid=5338373836&amp;shopid=14318452", "Vaseline Multi Purpose Repairing Jelly Aloe 50 ml")</f>
        <v/>
      </c>
      <c r="P337" t="n">
        <v>952</v>
      </c>
      <c r="Q337" t="n">
        <v>672</v>
      </c>
      <c r="R337" t="n">
        <v>4.931551297898641</v>
      </c>
      <c r="S337" t="n">
        <v>21</v>
      </c>
      <c r="T337" t="n">
        <v>10</v>
      </c>
      <c r="U337" t="n">
        <v>62</v>
      </c>
      <c r="V337" t="n">
        <v>658</v>
      </c>
      <c r="W337" t="n">
        <v>12196</v>
      </c>
    </row>
    <row r="338">
      <c r="A338" t="inlineStr">
        <is>
          <t>Pepsodent Sikat Gigi Nature Essentials Siwak Isi 1</t>
        </is>
      </c>
      <c r="B338" t="inlineStr"/>
      <c r="C338" t="inlineStr">
        <is>
          <t>19%</t>
        </is>
      </c>
      <c r="D338" t="n">
        <v>10800</v>
      </c>
      <c r="E338" t="n">
        <v>13300</v>
      </c>
      <c r="F338" t="n">
        <v>10800</v>
      </c>
      <c r="G338" t="n">
        <v>13300</v>
      </c>
      <c r="H338" t="n">
        <v>10800</v>
      </c>
      <c r="I338" t="n">
        <v>13300</v>
      </c>
      <c r="J338" t="b">
        <v>1</v>
      </c>
      <c r="K338" t="inlineStr">
        <is>
          <t>Unilever Indonesia Official Shop</t>
        </is>
      </c>
      <c r="L338" t="inlineStr">
        <is>
          <t>KOTA SURABAYA</t>
        </is>
      </c>
      <c r="M338" t="n">
        <v>8753554041</v>
      </c>
      <c r="N338" t="n">
        <v>14318452</v>
      </c>
      <c r="O338">
        <f>HYPERLINK("https://shopee.co.id/api/v4/item/get?itemid=8753554041&amp;shopid=14318452", "Pepsodent Sikat Gigi Nature Essentials Siwak Isi 1")</f>
        <v/>
      </c>
      <c r="P338" t="n">
        <v>345</v>
      </c>
      <c r="Q338" t="n">
        <v>162</v>
      </c>
      <c r="R338" t="n">
        <v>4.92416067146283</v>
      </c>
      <c r="S338" t="n">
        <v>8</v>
      </c>
      <c r="T338" t="n">
        <v>1</v>
      </c>
      <c r="U338" t="n">
        <v>29</v>
      </c>
      <c r="V338" t="n">
        <v>160</v>
      </c>
      <c r="W338" t="n">
        <v>3138</v>
      </c>
    </row>
    <row r="339">
      <c r="A339" t="inlineStr">
        <is>
          <t>Zwitsal Kids 2 In 1 Hair &amp; Body Wash Natural And Nourishing Care 250 ml x2</t>
        </is>
      </c>
      <c r="B339" t="inlineStr"/>
      <c r="C339" t="inlineStr">
        <is>
          <t>21%</t>
        </is>
      </c>
      <c r="D339" t="n">
        <v>33500</v>
      </c>
      <c r="E339" t="n">
        <v>42600</v>
      </c>
      <c r="F339" t="n">
        <v>33500</v>
      </c>
      <c r="G339" t="n">
        <v>42600</v>
      </c>
      <c r="H339" t="n">
        <v>33500</v>
      </c>
      <c r="I339" t="n">
        <v>42600</v>
      </c>
      <c r="J339" t="b">
        <v>1</v>
      </c>
      <c r="K339" t="inlineStr">
        <is>
          <t>Unilever Indonesia Official Shop</t>
        </is>
      </c>
      <c r="L339" t="inlineStr">
        <is>
          <t>KOTA BEKASI</t>
        </is>
      </c>
      <c r="M339" t="n">
        <v>7741244382</v>
      </c>
      <c r="N339" t="n">
        <v>14318452</v>
      </c>
      <c r="O339">
        <f>HYPERLINK("https://shopee.co.id/api/v4/item/get?itemid=7741244382&amp;shopid=14318452", "Zwitsal Kids 2 In 1 Hair &amp; Body Wash Natural And Nourishing Care 250 ml x2")</f>
        <v/>
      </c>
      <c r="P339" t="n">
        <v>959</v>
      </c>
      <c r="Q339" t="n">
        <v>533</v>
      </c>
      <c r="R339" t="n">
        <v>4.94957829116245</v>
      </c>
      <c r="S339" t="n">
        <v>15</v>
      </c>
      <c r="T339" t="n">
        <v>9</v>
      </c>
      <c r="U339" t="n">
        <v>31</v>
      </c>
      <c r="V339" t="n">
        <v>409</v>
      </c>
      <c r="W339" t="n">
        <v>10446</v>
      </c>
    </row>
    <row r="340">
      <c r="A340" t="inlineStr">
        <is>
          <t>Vaseline Lotion Healthy Bright Fresh &amp; Bright Cooling 200ml Twin Pack</t>
        </is>
      </c>
      <c r="B340" t="inlineStr">
        <is>
          <t>0</t>
        </is>
      </c>
      <c r="C340" t="inlineStr">
        <is>
          <t>11%</t>
        </is>
      </c>
      <c r="D340" t="n">
        <v>57600</v>
      </c>
      <c r="E340" t="n">
        <v>64800</v>
      </c>
      <c r="F340" t="n">
        <v>57600</v>
      </c>
      <c r="G340" t="n">
        <v>64800</v>
      </c>
      <c r="H340" t="n">
        <v>57600</v>
      </c>
      <c r="I340" t="n">
        <v>64800</v>
      </c>
      <c r="J340" t="b">
        <v>1</v>
      </c>
      <c r="K340" t="inlineStr">
        <is>
          <t>Unilever Indonesia Official Shop</t>
        </is>
      </c>
      <c r="L340" t="inlineStr">
        <is>
          <t>KOTA BEKASI</t>
        </is>
      </c>
      <c r="M340" t="n">
        <v>6831824146</v>
      </c>
      <c r="N340" t="n">
        <v>14318452</v>
      </c>
      <c r="O340">
        <f>HYPERLINK("https://shopee.co.id/api/v4/item/get?itemid=6831824146&amp;shopid=14318452", "Vaseline Lotion Healthy Bright Fresh &amp; Bright Cooling 200ml Twin Pack")</f>
        <v/>
      </c>
      <c r="P340" t="n">
        <v>136</v>
      </c>
      <c r="Q340" t="n">
        <v>465</v>
      </c>
      <c r="R340" t="n">
        <v>4.912969283276451</v>
      </c>
      <c r="S340" t="n">
        <v>11</v>
      </c>
      <c r="T340" t="n">
        <v>4</v>
      </c>
      <c r="U340" t="n">
        <v>27</v>
      </c>
      <c r="V340" t="n">
        <v>149</v>
      </c>
      <c r="W340" t="n">
        <v>2740</v>
      </c>
    </row>
    <row r="341">
      <c r="A341" t="inlineStr">
        <is>
          <t>Wipol Karbol Pembersih Lantai Botol 450Ml</t>
        </is>
      </c>
      <c r="B341" t="inlineStr">
        <is>
          <t>Wipol</t>
        </is>
      </c>
      <c r="C341" t="inlineStr">
        <is>
          <t>15%</t>
        </is>
      </c>
      <c r="D341" t="n">
        <v>19200</v>
      </c>
      <c r="E341" t="n">
        <v>22600</v>
      </c>
      <c r="F341" t="n">
        <v>19200</v>
      </c>
      <c r="G341" t="n">
        <v>22600</v>
      </c>
      <c r="H341" t="n">
        <v>19200</v>
      </c>
      <c r="I341" t="n">
        <v>22600</v>
      </c>
      <c r="J341" t="b">
        <v>1</v>
      </c>
      <c r="K341" t="inlineStr">
        <is>
          <t>Unilever Indonesia Official Shop</t>
        </is>
      </c>
      <c r="L341" t="inlineStr">
        <is>
          <t>KOTA BEKASI</t>
        </is>
      </c>
      <c r="M341" t="n">
        <v>6833984053</v>
      </c>
      <c r="N341" t="n">
        <v>14318452</v>
      </c>
      <c r="O341">
        <f>HYPERLINK("https://shopee.co.id/api/v4/item/get?itemid=6833984053&amp;shopid=14318452", "Wipol Karbol Pembersih Lantai Botol 450Ml")</f>
        <v/>
      </c>
      <c r="P341" t="n">
        <v>348</v>
      </c>
      <c r="Q341" t="n">
        <v>414</v>
      </c>
      <c r="R341" t="n">
        <v>4.921271929824561</v>
      </c>
      <c r="S341" t="n">
        <v>15</v>
      </c>
      <c r="T341" t="n">
        <v>6</v>
      </c>
      <c r="U341" t="n">
        <v>47</v>
      </c>
      <c r="V341" t="n">
        <v>187</v>
      </c>
      <c r="W341" t="n">
        <v>4305</v>
      </c>
    </row>
    <row r="342">
      <c r="A342" t="inlineStr">
        <is>
          <t>Royco Bumbu Penyedap Makanan Rasa Kaldu Sapi 220G x 2 Pcs</t>
        </is>
      </c>
      <c r="B342" t="inlineStr">
        <is>
          <t>Royco</t>
        </is>
      </c>
      <c r="C342" t="inlineStr">
        <is>
          <t>21%</t>
        </is>
      </c>
      <c r="D342" t="n">
        <v>15700</v>
      </c>
      <c r="E342" t="n">
        <v>19900</v>
      </c>
      <c r="F342" t="n">
        <v>15700</v>
      </c>
      <c r="G342" t="n">
        <v>19900</v>
      </c>
      <c r="H342" t="n">
        <v>15700</v>
      </c>
      <c r="I342" t="n">
        <v>19900</v>
      </c>
      <c r="J342" t="b">
        <v>0</v>
      </c>
      <c r="K342" t="inlineStr">
        <is>
          <t>Unilever Indonesia Official Shop</t>
        </is>
      </c>
      <c r="L342" t="inlineStr">
        <is>
          <t>KOTA BEKASI</t>
        </is>
      </c>
      <c r="M342" t="n">
        <v>5578781086</v>
      </c>
      <c r="N342" t="n">
        <v>14318452</v>
      </c>
      <c r="O342">
        <f>HYPERLINK("https://shopee.co.id/api/v4/item/get?itemid=5578781086&amp;shopid=14318452", "Royco Bumbu Penyedap Makanan Rasa Kaldu Sapi 220G x 2 Pcs")</f>
        <v/>
      </c>
      <c r="P342" t="n">
        <v>880</v>
      </c>
      <c r="Q342" t="n">
        <v>1513</v>
      </c>
      <c r="R342" t="n">
        <v>4.921527777777778</v>
      </c>
      <c r="S342" t="n">
        <v>4</v>
      </c>
      <c r="T342" t="n">
        <v>4</v>
      </c>
      <c r="U342" t="n">
        <v>13</v>
      </c>
      <c r="V342" t="n">
        <v>59</v>
      </c>
      <c r="W342" t="n">
        <v>1360</v>
      </c>
    </row>
    <row r="343">
      <c r="A343" t="inlineStr">
        <is>
          <t>Zwitsal Kids 2 In 1 Hair &amp; Body Wash Soft And Moisturizing 280 ml</t>
        </is>
      </c>
      <c r="B343" t="inlineStr"/>
      <c r="C343" t="inlineStr">
        <is>
          <t>20%</t>
        </is>
      </c>
      <c r="D343" t="n">
        <v>23000</v>
      </c>
      <c r="E343" t="n">
        <v>28900</v>
      </c>
      <c r="F343" t="n">
        <v>23000</v>
      </c>
      <c r="G343" t="n">
        <v>28900</v>
      </c>
      <c r="H343" t="n">
        <v>23000</v>
      </c>
      <c r="I343" t="n">
        <v>28900</v>
      </c>
      <c r="J343" t="b">
        <v>1</v>
      </c>
      <c r="K343" t="inlineStr">
        <is>
          <t>Unilever Indonesia Official Shop</t>
        </is>
      </c>
      <c r="L343" t="inlineStr">
        <is>
          <t>KOTA BEKASI</t>
        </is>
      </c>
      <c r="M343" t="n">
        <v>6618530684</v>
      </c>
      <c r="N343" t="n">
        <v>14318452</v>
      </c>
      <c r="O343">
        <f>HYPERLINK("https://shopee.co.id/api/v4/item/get?itemid=6618530684&amp;shopid=14318452", "Zwitsal Kids 2 In 1 Hair &amp; Body Wash Soft And Moisturizing 280 ml")</f>
        <v/>
      </c>
      <c r="P343" t="n">
        <v>208</v>
      </c>
      <c r="Q343" t="n">
        <v>487</v>
      </c>
      <c r="R343" t="n">
        <v>4.912</v>
      </c>
      <c r="S343" t="n">
        <v>10</v>
      </c>
      <c r="T343" t="n">
        <v>7</v>
      </c>
      <c r="U343" t="n">
        <v>32</v>
      </c>
      <c r="V343" t="n">
        <v>172</v>
      </c>
      <c r="W343" t="n">
        <v>3154</v>
      </c>
    </row>
    <row r="344">
      <c r="A344" t="inlineStr">
        <is>
          <t>Lifebuoy Antibacterial Body Wash Total 10 100 ml</t>
        </is>
      </c>
      <c r="B344" t="inlineStr">
        <is>
          <t>Lifebuoy</t>
        </is>
      </c>
      <c r="C344" t="inlineStr">
        <is>
          <t>5%</t>
        </is>
      </c>
      <c r="D344" t="n">
        <v>17600</v>
      </c>
      <c r="E344" t="n">
        <v>18500</v>
      </c>
      <c r="F344" t="n">
        <v>17600</v>
      </c>
      <c r="G344" t="n">
        <v>18500</v>
      </c>
      <c r="H344" t="n">
        <v>17600</v>
      </c>
      <c r="I344" t="n">
        <v>18500</v>
      </c>
      <c r="J344" t="b">
        <v>1</v>
      </c>
      <c r="K344" t="inlineStr">
        <is>
          <t>Unilever Indonesia Official Shop</t>
        </is>
      </c>
      <c r="L344" t="inlineStr">
        <is>
          <t>KOTA BEKASI</t>
        </is>
      </c>
      <c r="M344" t="n">
        <v>1008956379</v>
      </c>
      <c r="N344" t="n">
        <v>14318452</v>
      </c>
      <c r="O344">
        <f>HYPERLINK("https://shopee.co.id/api/v4/item/get?itemid=1008956379&amp;shopid=14318452", "Lifebuoy Antibacterial Body Wash Total 10 100 ml")</f>
        <v/>
      </c>
      <c r="P344" t="n">
        <v>124</v>
      </c>
      <c r="Q344" t="n">
        <v>375</v>
      </c>
      <c r="R344" t="n">
        <v>4.919741100323624</v>
      </c>
      <c r="S344" t="n">
        <v>11</v>
      </c>
      <c r="T344" t="n">
        <v>5</v>
      </c>
      <c r="U344" t="n">
        <v>23</v>
      </c>
      <c r="V344" t="n">
        <v>271</v>
      </c>
      <c r="W344" t="n">
        <v>4326</v>
      </c>
    </row>
    <row r="345">
      <c r="A345" t="inlineStr">
        <is>
          <t>Sunlight Lime New Pouch 435Ml</t>
        </is>
      </c>
      <c r="B345" t="inlineStr">
        <is>
          <t>0</t>
        </is>
      </c>
      <c r="C345" t="inlineStr">
        <is>
          <t>10%</t>
        </is>
      </c>
      <c r="D345" t="n">
        <v>9900</v>
      </c>
      <c r="E345" t="n">
        <v>11000</v>
      </c>
      <c r="F345" t="n">
        <v>9900</v>
      </c>
      <c r="G345" t="n">
        <v>11000</v>
      </c>
      <c r="H345" t="n">
        <v>9900</v>
      </c>
      <c r="I345" t="n">
        <v>11000</v>
      </c>
      <c r="J345" t="b">
        <v>1</v>
      </c>
      <c r="K345" t="inlineStr">
        <is>
          <t>Unilever Indonesia Official Shop</t>
        </is>
      </c>
      <c r="L345" t="inlineStr">
        <is>
          <t>KOTA MAKASSAR</t>
        </is>
      </c>
      <c r="M345" t="n">
        <v>1921369129</v>
      </c>
      <c r="N345" t="n">
        <v>14318452</v>
      </c>
      <c r="O345">
        <f>HYPERLINK("https://shopee.co.id/api/v4/item/get?itemid=1921369129&amp;shopid=14318452", "Sunlight Lime New Pouch 435Ml")</f>
        <v/>
      </c>
      <c r="P345" t="n">
        <v>9</v>
      </c>
      <c r="Q345" t="n">
        <v>52</v>
      </c>
      <c r="R345" t="n">
        <v>4.93107966457023</v>
      </c>
      <c r="S345" t="n">
        <v>36</v>
      </c>
      <c r="T345" t="n">
        <v>11</v>
      </c>
      <c r="U345" t="n">
        <v>95</v>
      </c>
      <c r="V345" t="n">
        <v>708</v>
      </c>
      <c r="W345" t="n">
        <v>14429</v>
      </c>
    </row>
    <row r="346">
      <c r="A346" t="inlineStr">
        <is>
          <t>Lifebuoy Lemon Fresh Sabun Batang 110 gr Twin Pack</t>
        </is>
      </c>
      <c r="B346" t="inlineStr">
        <is>
          <t>None</t>
        </is>
      </c>
      <c r="C346" t="inlineStr">
        <is>
          <t>2%</t>
        </is>
      </c>
      <c r="D346" t="n">
        <v>46800</v>
      </c>
      <c r="E346" t="n">
        <v>47700</v>
      </c>
      <c r="F346" t="n">
        <v>46800</v>
      </c>
      <c r="G346" t="n">
        <v>47700</v>
      </c>
      <c r="H346" t="n">
        <v>46800</v>
      </c>
      <c r="I346" t="n">
        <v>47700</v>
      </c>
      <c r="J346" t="b">
        <v>1</v>
      </c>
      <c r="K346" t="inlineStr">
        <is>
          <t>Unilever Indonesia Official Shop</t>
        </is>
      </c>
      <c r="L346" t="inlineStr">
        <is>
          <t>KOTA BEKASI</t>
        </is>
      </c>
      <c r="M346" t="n">
        <v>7032142482</v>
      </c>
      <c r="N346" t="n">
        <v>14318452</v>
      </c>
      <c r="O346">
        <f>HYPERLINK("https://shopee.co.id/api/v4/item/get?itemid=7032142482&amp;shopid=14318452", "Lifebuoy Lemon Fresh Sabun Batang 110 gr Twin Pack")</f>
        <v/>
      </c>
      <c r="P346" t="n">
        <v>166</v>
      </c>
      <c r="Q346" t="n">
        <v>737</v>
      </c>
      <c r="R346" t="n">
        <v>4.949140401146132</v>
      </c>
      <c r="S346" t="n">
        <v>10</v>
      </c>
      <c r="T346" t="n">
        <v>2</v>
      </c>
      <c r="U346" t="n">
        <v>5</v>
      </c>
      <c r="V346" t="n">
        <v>98</v>
      </c>
      <c r="W346" t="n">
        <v>2680</v>
      </c>
    </row>
    <row r="347">
      <c r="A347" t="inlineStr">
        <is>
          <t>Sunlight Lime Sabun Cuci Piring Jeruk Nipis 1100 Ml -Sabun Pencuci Piring,Sabun Jeruk Nipis</t>
        </is>
      </c>
      <c r="B347" t="inlineStr">
        <is>
          <t>0</t>
        </is>
      </c>
      <c r="C347" t="inlineStr">
        <is>
          <t>22%</t>
        </is>
      </c>
      <c r="D347" t="n">
        <v>30600</v>
      </c>
      <c r="E347" t="n">
        <v>39200</v>
      </c>
      <c r="F347" t="n">
        <v>30600</v>
      </c>
      <c r="G347" t="n">
        <v>39200</v>
      </c>
      <c r="H347" t="n">
        <v>30600</v>
      </c>
      <c r="I347" t="n">
        <v>39200</v>
      </c>
      <c r="J347" t="b">
        <v>1</v>
      </c>
      <c r="K347" t="inlineStr">
        <is>
          <t>Unilever Indonesia Official Shop</t>
        </is>
      </c>
      <c r="L347" t="inlineStr">
        <is>
          <t>KOTA BEKASI</t>
        </is>
      </c>
      <c r="M347" t="n">
        <v>1921369122</v>
      </c>
      <c r="N347" t="n">
        <v>14318452</v>
      </c>
      <c r="O347">
        <f>HYPERLINK("https://shopee.co.id/api/v4/item/get?itemid=1921369122&amp;shopid=14318452", "Sunlight Lime Sabun Cuci Piring Jeruk Nipis 1100 Ml -Sabun Pencuci Piring,Sabun Jeruk Nipis")</f>
        <v/>
      </c>
      <c r="P347" t="n">
        <v>836</v>
      </c>
      <c r="Q347" t="n">
        <v>2165</v>
      </c>
      <c r="R347" t="n">
        <v>4.936189946206641</v>
      </c>
      <c r="S347" t="n">
        <v>114</v>
      </c>
      <c r="T347" t="n">
        <v>55</v>
      </c>
      <c r="U347" t="n">
        <v>191</v>
      </c>
      <c r="V347" t="n">
        <v>1780</v>
      </c>
      <c r="W347" t="n">
        <v>41033</v>
      </c>
    </row>
    <row r="348">
      <c r="A348" t="inlineStr">
        <is>
          <t>Lifebuoy Sabun Mandi Cair Antiseptik Lemon Fresh 250Ml</t>
        </is>
      </c>
      <c r="B348" t="inlineStr">
        <is>
          <t>Lifebuoy</t>
        </is>
      </c>
      <c r="C348" t="inlineStr">
        <is>
          <t>30%</t>
        </is>
      </c>
      <c r="D348" t="n">
        <v>18300</v>
      </c>
      <c r="E348" t="n">
        <v>26100</v>
      </c>
      <c r="F348" t="n">
        <v>18300</v>
      </c>
      <c r="G348" t="n">
        <v>26100</v>
      </c>
      <c r="H348" t="n">
        <v>18300</v>
      </c>
      <c r="I348" t="n">
        <v>26100</v>
      </c>
      <c r="J348" t="b">
        <v>1</v>
      </c>
      <c r="K348" t="inlineStr">
        <is>
          <t>Unilever Indonesia Official Shop</t>
        </is>
      </c>
      <c r="L348" t="inlineStr">
        <is>
          <t>KOTA BEKASI</t>
        </is>
      </c>
      <c r="M348" t="n">
        <v>1008956372</v>
      </c>
      <c r="N348" t="n">
        <v>14318452</v>
      </c>
      <c r="O348">
        <f>HYPERLINK("https://shopee.co.id/api/v4/item/get?itemid=1008956372&amp;shopid=14318452", "Lifebuoy Sabun Mandi Cair Antiseptik Lemon Fresh 250Ml")</f>
        <v/>
      </c>
      <c r="P348" t="n">
        <v>54</v>
      </c>
      <c r="Q348" t="n">
        <v>311</v>
      </c>
      <c r="R348" t="n">
        <v>4.91164032940129</v>
      </c>
      <c r="S348" t="n">
        <v>7</v>
      </c>
      <c r="T348" t="n">
        <v>10</v>
      </c>
      <c r="U348" t="n">
        <v>42</v>
      </c>
      <c r="V348" t="n">
        <v>258</v>
      </c>
      <c r="W348" t="n">
        <v>4177</v>
      </c>
    </row>
    <row r="349">
      <c r="A349" t="inlineStr">
        <is>
          <t>Lux Botanicals Body Wash Refill Soft Rose Kulit Lembut 825ml</t>
        </is>
      </c>
      <c r="B349" t="inlineStr">
        <is>
          <t>LUX</t>
        </is>
      </c>
      <c r="C349" t="inlineStr">
        <is>
          <t>22%</t>
        </is>
      </c>
      <c r="D349" t="n">
        <v>38500</v>
      </c>
      <c r="E349" t="n">
        <v>49500</v>
      </c>
      <c r="F349" t="n">
        <v>38500</v>
      </c>
      <c r="G349" t="n">
        <v>49500</v>
      </c>
      <c r="H349" t="n">
        <v>38500</v>
      </c>
      <c r="I349" t="n">
        <v>49500</v>
      </c>
      <c r="J349" t="b">
        <v>1</v>
      </c>
      <c r="K349" t="inlineStr">
        <is>
          <t>Unilever Indonesia Official Shop</t>
        </is>
      </c>
      <c r="L349" t="inlineStr">
        <is>
          <t>KOTA BEKASI</t>
        </is>
      </c>
      <c r="M349" t="n">
        <v>7665870030</v>
      </c>
      <c r="N349" t="n">
        <v>14318452</v>
      </c>
      <c r="O349">
        <f>HYPERLINK("https://shopee.co.id/api/v4/item/get?itemid=7665870030&amp;shopid=14318452", "Lux Botanicals Body Wash Refill Soft Rose Kulit Lembut 825ml")</f>
        <v/>
      </c>
      <c r="P349" t="n">
        <v>1248</v>
      </c>
      <c r="Q349" t="n">
        <v>287</v>
      </c>
      <c r="R349" t="n">
        <v>4.932525951557094</v>
      </c>
      <c r="S349" t="n">
        <v>9</v>
      </c>
      <c r="T349" t="n">
        <v>6</v>
      </c>
      <c r="U349" t="n">
        <v>10</v>
      </c>
      <c r="V349" t="n">
        <v>125</v>
      </c>
      <c r="W349" t="n">
        <v>2741</v>
      </c>
    </row>
    <row r="350">
      <c r="A350" t="inlineStr">
        <is>
          <t>Sarimurni Teh Celup Isi 25</t>
        </is>
      </c>
      <c r="B350" t="inlineStr"/>
      <c r="C350" t="inlineStr">
        <is>
          <t>2%</t>
        </is>
      </c>
      <c r="D350" t="n">
        <v>6300</v>
      </c>
      <c r="E350" t="n">
        <v>6400</v>
      </c>
      <c r="F350" t="n">
        <v>6300</v>
      </c>
      <c r="G350" t="n">
        <v>6400</v>
      </c>
      <c r="H350" t="n">
        <v>6300</v>
      </c>
      <c r="I350" t="n">
        <v>6400</v>
      </c>
      <c r="J350" t="b">
        <v>1</v>
      </c>
      <c r="K350" t="inlineStr">
        <is>
          <t>Unilever Indonesia Official Shop</t>
        </is>
      </c>
      <c r="L350" t="inlineStr">
        <is>
          <t>KOTA BEKASI</t>
        </is>
      </c>
      <c r="M350" t="n">
        <v>9628431275</v>
      </c>
      <c r="N350" t="n">
        <v>14318452</v>
      </c>
      <c r="O350">
        <f>HYPERLINK("https://shopee.co.id/api/v4/item/get?itemid=9628431275&amp;shopid=14318452", "Sarimurni Teh Celup Isi 25")</f>
        <v/>
      </c>
      <c r="P350" t="n">
        <v>493</v>
      </c>
      <c r="Q350" t="n">
        <v>835</v>
      </c>
      <c r="R350" t="n">
        <v>4.940089010612803</v>
      </c>
      <c r="S350" t="n">
        <v>5</v>
      </c>
      <c r="T350" t="n">
        <v>0</v>
      </c>
      <c r="U350" t="n">
        <v>10</v>
      </c>
      <c r="V350" t="n">
        <v>135</v>
      </c>
      <c r="W350" t="n">
        <v>2771</v>
      </c>
    </row>
    <row r="351">
      <c r="A351" t="inlineStr">
        <is>
          <t>Molto Trika Blue Pouch 400Ml</t>
        </is>
      </c>
      <c r="B351" t="inlineStr">
        <is>
          <t>Molto</t>
        </is>
      </c>
      <c r="C351" t="inlineStr">
        <is>
          <t>6%</t>
        </is>
      </c>
      <c r="D351" t="n">
        <v>8500</v>
      </c>
      <c r="E351" t="n">
        <v>9000</v>
      </c>
      <c r="F351" t="n">
        <v>8500</v>
      </c>
      <c r="G351" t="n">
        <v>9000</v>
      </c>
      <c r="H351" t="n">
        <v>8500</v>
      </c>
      <c r="I351" t="n">
        <v>9000</v>
      </c>
      <c r="J351" t="b">
        <v>1</v>
      </c>
      <c r="K351" t="inlineStr">
        <is>
          <t>Unilever Indonesia Official Shop</t>
        </is>
      </c>
      <c r="L351" t="inlineStr">
        <is>
          <t>KOTA BEKASI</t>
        </is>
      </c>
      <c r="M351" t="n">
        <v>1480864073</v>
      </c>
      <c r="N351" t="n">
        <v>14318452</v>
      </c>
      <c r="O351">
        <f>HYPERLINK("https://shopee.co.id/api/v4/item/get?itemid=1480864073&amp;shopid=14318452", "Molto Trika Blue Pouch 400Ml")</f>
        <v/>
      </c>
      <c r="P351" t="n">
        <v>550</v>
      </c>
      <c r="Q351" t="n">
        <v>2924</v>
      </c>
      <c r="R351" t="n">
        <v>4.931600976630624</v>
      </c>
      <c r="S351" t="n">
        <v>61</v>
      </c>
      <c r="T351" t="n">
        <v>37</v>
      </c>
      <c r="U351" t="n">
        <v>166</v>
      </c>
      <c r="V351" t="n">
        <v>1300</v>
      </c>
      <c r="W351" t="n">
        <v>27114</v>
      </c>
    </row>
    <row r="352">
      <c r="A352" t="inlineStr">
        <is>
          <t>REXONA DEODORANT ROLL ON GLOWING WHITE 40ML Twin Pack</t>
        </is>
      </c>
      <c r="B352" t="inlineStr">
        <is>
          <t>None</t>
        </is>
      </c>
      <c r="C352" t="inlineStr">
        <is>
          <t>2%</t>
        </is>
      </c>
      <c r="D352" t="n">
        <v>32300</v>
      </c>
      <c r="E352" t="n">
        <v>32850</v>
      </c>
      <c r="F352" t="n">
        <v>32300</v>
      </c>
      <c r="G352" t="n">
        <v>32850</v>
      </c>
      <c r="H352" t="n">
        <v>32300</v>
      </c>
      <c r="I352" t="n">
        <v>32850</v>
      </c>
      <c r="J352" t="b">
        <v>1</v>
      </c>
      <c r="K352" t="inlineStr">
        <is>
          <t>Unilever Indonesia Official Shop</t>
        </is>
      </c>
      <c r="L352" t="inlineStr">
        <is>
          <t>KOTA BEKASI</t>
        </is>
      </c>
      <c r="M352" t="n">
        <v>11444882717</v>
      </c>
      <c r="N352" t="n">
        <v>14318452</v>
      </c>
      <c r="O352">
        <f>HYPERLINK("https://shopee.co.id/api/v4/item/get?itemid=11444882717&amp;shopid=14318452", "REXONA DEODORANT ROLL ON GLOWING WHITE 40ML Twin Pack")</f>
        <v/>
      </c>
      <c r="P352" t="n">
        <v>1171</v>
      </c>
      <c r="Q352" t="n">
        <v>4799</v>
      </c>
      <c r="R352" t="n">
        <v>4.932846715328467</v>
      </c>
      <c r="S352" t="n">
        <v>11</v>
      </c>
      <c r="T352" t="n">
        <v>8</v>
      </c>
      <c r="U352" t="n">
        <v>31</v>
      </c>
      <c r="V352" t="n">
        <v>238</v>
      </c>
      <c r="W352" t="n">
        <v>5192</v>
      </c>
    </row>
    <row r="353">
      <c r="A353" t="inlineStr">
        <is>
          <t>Ponds Whip Facial Foam Sabun Cuci Muka Pure Bright With 10X Collagen Serum 100 G</t>
        </is>
      </c>
      <c r="B353" t="inlineStr"/>
      <c r="C353" t="inlineStr">
        <is>
          <t>13%</t>
        </is>
      </c>
      <c r="D353" t="n">
        <v>31600</v>
      </c>
      <c r="E353" t="n">
        <v>36500</v>
      </c>
      <c r="F353" t="n">
        <v>31600</v>
      </c>
      <c r="G353" t="n">
        <v>36500</v>
      </c>
      <c r="H353" t="n">
        <v>31600</v>
      </c>
      <c r="I353" t="n">
        <v>36500</v>
      </c>
      <c r="J353" t="b">
        <v>1</v>
      </c>
      <c r="K353" t="inlineStr">
        <is>
          <t>Unilever Indonesia Official Shop</t>
        </is>
      </c>
      <c r="L353" t="inlineStr">
        <is>
          <t>KOTA BEKASI</t>
        </is>
      </c>
      <c r="M353" t="n">
        <v>6463070438</v>
      </c>
      <c r="N353" t="n">
        <v>14318452</v>
      </c>
      <c r="O353">
        <f>HYPERLINK("https://shopee.co.id/api/v4/item/get?itemid=6463070438&amp;shopid=14318452", "Ponds Whip Facial Foam Sabun Cuci Muka Pure Bright With 10X Collagen Serum 100 G")</f>
        <v/>
      </c>
      <c r="P353" t="n">
        <v>498</v>
      </c>
      <c r="Q353" t="n">
        <v>737</v>
      </c>
      <c r="R353" t="n">
        <v>4.931631560157086</v>
      </c>
      <c r="S353" t="n">
        <v>15</v>
      </c>
      <c r="T353" t="n">
        <v>8</v>
      </c>
      <c r="U353" t="n">
        <v>51</v>
      </c>
      <c r="V353" t="n">
        <v>586</v>
      </c>
      <c r="W353" t="n">
        <v>10546</v>
      </c>
    </row>
    <row r="354">
      <c r="A354" t="inlineStr">
        <is>
          <t>Sunsilk Soft &amp; Smooth Shampoo 320 ml</t>
        </is>
      </c>
      <c r="B354" t="inlineStr">
        <is>
          <t>Sunsilk</t>
        </is>
      </c>
      <c r="C354" t="inlineStr">
        <is>
          <t>13%</t>
        </is>
      </c>
      <c r="D354" t="n">
        <v>44400</v>
      </c>
      <c r="E354" t="n">
        <v>51100</v>
      </c>
      <c r="F354" t="n">
        <v>44400</v>
      </c>
      <c r="G354" t="n">
        <v>51100</v>
      </c>
      <c r="H354" t="n">
        <v>44400</v>
      </c>
      <c r="I354" t="n">
        <v>51100</v>
      </c>
      <c r="J354" t="b">
        <v>1</v>
      </c>
      <c r="K354" t="inlineStr">
        <is>
          <t>Unilever Indonesia Official Shop</t>
        </is>
      </c>
      <c r="L354" t="inlineStr">
        <is>
          <t>KOTA BEKASI</t>
        </is>
      </c>
      <c r="M354" t="n">
        <v>127000684</v>
      </c>
      <c r="N354" t="n">
        <v>14318452</v>
      </c>
      <c r="O354">
        <f>HYPERLINK("https://shopee.co.id/api/v4/item/get?itemid=127000684&amp;shopid=14318452", "Sunsilk Soft &amp; Smooth Shampoo 320 ml")</f>
        <v/>
      </c>
      <c r="P354" t="n">
        <v>286</v>
      </c>
      <c r="Q354" t="n">
        <v>292</v>
      </c>
      <c r="R354" t="n">
        <v>4.924425205790519</v>
      </c>
      <c r="S354" t="n">
        <v>32</v>
      </c>
      <c r="T354" t="n">
        <v>23</v>
      </c>
      <c r="U354" t="n">
        <v>112</v>
      </c>
      <c r="V354" t="n">
        <v>655</v>
      </c>
      <c r="W354" t="n">
        <v>13273</v>
      </c>
    </row>
    <row r="355">
      <c r="A355" t="inlineStr">
        <is>
          <t>Clear Hijab Pure Shampo Anti Ketombe Perawatan Rambut Rontok 160ml Membunuh Bakteri</t>
        </is>
      </c>
      <c r="B355" t="inlineStr">
        <is>
          <t>0</t>
        </is>
      </c>
      <c r="C355" t="inlineStr">
        <is>
          <t>15%</t>
        </is>
      </c>
      <c r="D355" t="n">
        <v>33700</v>
      </c>
      <c r="E355" t="n">
        <v>39500</v>
      </c>
      <c r="F355" t="n">
        <v>33700</v>
      </c>
      <c r="G355" t="n">
        <v>39500</v>
      </c>
      <c r="H355" t="n">
        <v>33700</v>
      </c>
      <c r="I355" t="n">
        <v>39500</v>
      </c>
      <c r="J355" t="b">
        <v>1</v>
      </c>
      <c r="K355" t="inlineStr">
        <is>
          <t>Unilever Indonesia Official Shop</t>
        </is>
      </c>
      <c r="L355" t="inlineStr">
        <is>
          <t>KOTA BEKASI</t>
        </is>
      </c>
      <c r="M355" t="n">
        <v>2684680620</v>
      </c>
      <c r="N355" t="n">
        <v>14318452</v>
      </c>
      <c r="O355">
        <f>HYPERLINK("https://shopee.co.id/api/v4/item/get?itemid=2684680620&amp;shopid=14318452", "Clear Hijab Pure Shampo Anti Ketombe Perawatan Rambut Rontok 160ml Membunuh Bakteri")</f>
        <v/>
      </c>
      <c r="P355" t="n">
        <v>190</v>
      </c>
      <c r="Q355" t="n">
        <v>376</v>
      </c>
      <c r="R355" t="n">
        <v>4.926829268292683</v>
      </c>
      <c r="S355" t="n">
        <v>13</v>
      </c>
      <c r="T355" t="n">
        <v>12</v>
      </c>
      <c r="U355" t="n">
        <v>28</v>
      </c>
      <c r="V355" t="n">
        <v>337</v>
      </c>
      <c r="W355" t="n">
        <v>6130</v>
      </c>
    </row>
    <row r="356">
      <c r="A356" t="inlineStr">
        <is>
          <t>Sunsilk Shampoo Black Shine Activ-Infusion 650Ml</t>
        </is>
      </c>
      <c r="B356" t="inlineStr">
        <is>
          <t>Sunsilk</t>
        </is>
      </c>
      <c r="C356" t="inlineStr">
        <is>
          <t>15%</t>
        </is>
      </c>
      <c r="D356" t="n">
        <v>75200</v>
      </c>
      <c r="E356" t="n">
        <v>88100</v>
      </c>
      <c r="F356" t="n">
        <v>75200</v>
      </c>
      <c r="G356" t="n">
        <v>88100</v>
      </c>
      <c r="H356" t="n">
        <v>75200</v>
      </c>
      <c r="I356" t="n">
        <v>88100</v>
      </c>
      <c r="J356" t="b">
        <v>1</v>
      </c>
      <c r="K356" t="inlineStr">
        <is>
          <t>Unilever Indonesia Official Shop</t>
        </is>
      </c>
      <c r="L356" t="inlineStr">
        <is>
          <t>KOTA BEKASI</t>
        </is>
      </c>
      <c r="M356" t="n">
        <v>127017626</v>
      </c>
      <c r="N356" t="n">
        <v>14318452</v>
      </c>
      <c r="O356">
        <f>HYPERLINK("https://shopee.co.id/api/v4/item/get?itemid=127017626&amp;shopid=14318452", "Sunsilk Shampoo Black Shine Activ-Infusion 650Ml")</f>
        <v/>
      </c>
      <c r="P356" t="n">
        <v>418</v>
      </c>
      <c r="Q356" t="n">
        <v>282</v>
      </c>
      <c r="R356" t="n">
        <v>4.925134093827906</v>
      </c>
      <c r="S356" t="n">
        <v>36</v>
      </c>
      <c r="T356" t="n">
        <v>32</v>
      </c>
      <c r="U356" t="n">
        <v>88</v>
      </c>
      <c r="V356" t="n">
        <v>586</v>
      </c>
      <c r="W356" t="n">
        <v>12498</v>
      </c>
    </row>
    <row r="357">
      <c r="A357" t="inlineStr">
        <is>
          <t>Tresemme Keratin Smooth Conditioner 170 ml</t>
        </is>
      </c>
      <c r="B357" t="inlineStr">
        <is>
          <t>0</t>
        </is>
      </c>
      <c r="C357" t="inlineStr">
        <is>
          <t>12%</t>
        </is>
      </c>
      <c r="D357" t="n">
        <v>34400</v>
      </c>
      <c r="E357" t="n">
        <v>39100</v>
      </c>
      <c r="F357" t="n">
        <v>34400</v>
      </c>
      <c r="G357" t="n">
        <v>39100</v>
      </c>
      <c r="H357" t="n">
        <v>34400</v>
      </c>
      <c r="I357" t="n">
        <v>39100</v>
      </c>
      <c r="J357" t="b">
        <v>1</v>
      </c>
      <c r="K357" t="inlineStr">
        <is>
          <t>Unilever Indonesia Official Shop</t>
        </is>
      </c>
      <c r="L357" t="inlineStr">
        <is>
          <t>KOTA BEKASI</t>
        </is>
      </c>
      <c r="M357" t="n">
        <v>6360807659</v>
      </c>
      <c r="N357" t="n">
        <v>14318452</v>
      </c>
      <c r="O357">
        <f>HYPERLINK("https://shopee.co.id/api/v4/item/get?itemid=6360807659&amp;shopid=14318452", "Tresemme Keratin Smooth Conditioner 170 ml")</f>
        <v/>
      </c>
      <c r="P357" t="n">
        <v>401</v>
      </c>
      <c r="Q357" t="n">
        <v>1480</v>
      </c>
      <c r="R357" t="n">
        <v>4.8679368181078</v>
      </c>
      <c r="S357" t="n">
        <v>78</v>
      </c>
      <c r="T357" t="n">
        <v>45</v>
      </c>
      <c r="U357" t="n">
        <v>184</v>
      </c>
      <c r="V357" t="n">
        <v>825</v>
      </c>
      <c r="W357" t="n">
        <v>11156</v>
      </c>
    </row>
    <row r="358">
      <c r="A358" t="inlineStr">
        <is>
          <t>Pond'S Instabright Cream Tone Up 40G -Pencerah Wajah, Kulit Kusam, Noda hitam, Penghilang noda wajah</t>
        </is>
      </c>
      <c r="B358" t="inlineStr">
        <is>
          <t>Pond's</t>
        </is>
      </c>
      <c r="C358" t="inlineStr">
        <is>
          <t>14%</t>
        </is>
      </c>
      <c r="D358" t="n">
        <v>52300</v>
      </c>
      <c r="E358" t="n">
        <v>60500</v>
      </c>
      <c r="F358" t="n">
        <v>52300</v>
      </c>
      <c r="G358" t="n">
        <v>60500</v>
      </c>
      <c r="H358" t="n">
        <v>52300</v>
      </c>
      <c r="I358" t="n">
        <v>60500</v>
      </c>
      <c r="J358" t="b">
        <v>1</v>
      </c>
      <c r="K358" t="inlineStr">
        <is>
          <t>Unilever Indonesia Official Shop</t>
        </is>
      </c>
      <c r="L358" t="inlineStr">
        <is>
          <t>KOTA BEKASI</t>
        </is>
      </c>
      <c r="M358" t="n">
        <v>1040649476</v>
      </c>
      <c r="N358" t="n">
        <v>14318452</v>
      </c>
      <c r="O358">
        <f>HYPERLINK("https://shopee.co.id/api/v4/item/get?itemid=1040649476&amp;shopid=14318452", "Pond'S Instabright Cream Tone Up 40G -Pencerah Wajah, Kulit Kusam, Noda hitam, Penghilang noda wajah")</f>
        <v/>
      </c>
      <c r="P358" t="n">
        <v>534</v>
      </c>
      <c r="Q358" t="n">
        <v>509</v>
      </c>
      <c r="R358" t="n">
        <v>4.913827349121466</v>
      </c>
      <c r="S358" t="n">
        <v>33</v>
      </c>
      <c r="T358" t="n">
        <v>15</v>
      </c>
      <c r="U358" t="n">
        <v>114</v>
      </c>
      <c r="V358" t="n">
        <v>727</v>
      </c>
      <c r="W358" t="n">
        <v>12203</v>
      </c>
    </row>
    <row r="359">
      <c r="A359" t="inlineStr">
        <is>
          <t>Lifebuoy Sabun Batang Total 10 110 gr Twin Pack</t>
        </is>
      </c>
      <c r="B359" t="inlineStr">
        <is>
          <t>None</t>
        </is>
      </c>
      <c r="C359" t="inlineStr">
        <is>
          <t>3%</t>
        </is>
      </c>
      <c r="D359" t="n">
        <v>45300</v>
      </c>
      <c r="E359" t="n">
        <v>46700</v>
      </c>
      <c r="F359" t="n">
        <v>45300</v>
      </c>
      <c r="G359" t="n">
        <v>46700</v>
      </c>
      <c r="H359" t="n">
        <v>45300</v>
      </c>
      <c r="I359" t="n">
        <v>46700</v>
      </c>
      <c r="J359" t="b">
        <v>1</v>
      </c>
      <c r="K359" t="inlineStr">
        <is>
          <t>Unilever Indonesia Official Shop</t>
        </is>
      </c>
      <c r="L359" t="inlineStr">
        <is>
          <t>KOTA BEKASI</t>
        </is>
      </c>
      <c r="M359" t="n">
        <v>5532140152</v>
      </c>
      <c r="N359" t="n">
        <v>14318452</v>
      </c>
      <c r="O359">
        <f>HYPERLINK("https://shopee.co.id/api/v4/item/get?itemid=5532140152&amp;shopid=14318452", "Lifebuoy Sabun Batang Total 10 110 gr Twin Pack")</f>
        <v/>
      </c>
      <c r="P359" t="n">
        <v>559</v>
      </c>
      <c r="Q359" t="n">
        <v>859</v>
      </c>
      <c r="R359" t="n">
        <v>4.932611311672684</v>
      </c>
      <c r="S359" t="n">
        <v>6</v>
      </c>
      <c r="T359" t="n">
        <v>3</v>
      </c>
      <c r="U359" t="n">
        <v>18</v>
      </c>
      <c r="V359" t="n">
        <v>99</v>
      </c>
      <c r="W359" t="n">
        <v>2367</v>
      </c>
    </row>
    <row r="360">
      <c r="A360" t="inlineStr">
        <is>
          <t>St. Ives Fresh Skin Apricot Face Scrub 170 gr</t>
        </is>
      </c>
      <c r="B360" t="inlineStr">
        <is>
          <t>0</t>
        </is>
      </c>
      <c r="C360" t="inlineStr">
        <is>
          <t>1%</t>
        </is>
      </c>
      <c r="D360" t="n">
        <v>68400</v>
      </c>
      <c r="E360" t="n">
        <v>69000</v>
      </c>
      <c r="F360" t="n">
        <v>68400</v>
      </c>
      <c r="G360" t="n">
        <v>69000</v>
      </c>
      <c r="H360" t="n">
        <v>68400</v>
      </c>
      <c r="I360" t="n">
        <v>69000</v>
      </c>
      <c r="J360" t="b">
        <v>1</v>
      </c>
      <c r="K360" t="inlineStr">
        <is>
          <t>Unilever Indonesia Official Shop</t>
        </is>
      </c>
      <c r="L360" t="inlineStr">
        <is>
          <t>KOTA BEKASI</t>
        </is>
      </c>
      <c r="M360" t="n">
        <v>1122970169</v>
      </c>
      <c r="N360" t="n">
        <v>14318452</v>
      </c>
      <c r="O360">
        <f>HYPERLINK("https://shopee.co.id/api/v4/item/get?itemid=1122970169&amp;shopid=14318452", "St. Ives Fresh Skin Apricot Face Scrub 170 gr")</f>
        <v/>
      </c>
      <c r="P360" t="n">
        <v>431</v>
      </c>
      <c r="Q360" t="n">
        <v>724</v>
      </c>
      <c r="R360" t="n">
        <v>4.919860906352157</v>
      </c>
      <c r="S360" t="n">
        <v>98</v>
      </c>
      <c r="T360" t="n">
        <v>88</v>
      </c>
      <c r="U360" t="n">
        <v>384</v>
      </c>
      <c r="V360" t="n">
        <v>3587</v>
      </c>
      <c r="W360" t="n">
        <v>58253</v>
      </c>
    </row>
    <row r="361">
      <c r="A361" t="inlineStr">
        <is>
          <t>Lux Botanicals Body Wash Refill Velvet Jasmine Kulit Halus 400ml</t>
        </is>
      </c>
      <c r="B361" t="inlineStr">
        <is>
          <t>0</t>
        </is>
      </c>
      <c r="C361" t="inlineStr">
        <is>
          <t>24%</t>
        </is>
      </c>
      <c r="D361" t="n">
        <v>22500</v>
      </c>
      <c r="E361" t="n">
        <v>29500</v>
      </c>
      <c r="F361" t="n">
        <v>22500</v>
      </c>
      <c r="G361" t="n">
        <v>29500</v>
      </c>
      <c r="H361" t="n">
        <v>22500</v>
      </c>
      <c r="I361" t="n">
        <v>29500</v>
      </c>
      <c r="J361" t="b">
        <v>1</v>
      </c>
      <c r="K361" t="inlineStr">
        <is>
          <t>Unilever Indonesia Official Shop</t>
        </is>
      </c>
      <c r="L361" t="inlineStr">
        <is>
          <t>KOTA BEKASI</t>
        </is>
      </c>
      <c r="M361" t="n">
        <v>1026020564</v>
      </c>
      <c r="N361" t="n">
        <v>14318452</v>
      </c>
      <c r="O361">
        <f>HYPERLINK("https://shopee.co.id/api/v4/item/get?itemid=1026020564&amp;shopid=14318452", "Lux Botanicals Body Wash Refill Velvet Jasmine Kulit Halus 400ml")</f>
        <v/>
      </c>
      <c r="P361" t="n">
        <v>206</v>
      </c>
      <c r="Q361" t="n">
        <v>5</v>
      </c>
      <c r="R361" t="n">
        <v>4.921161191749427</v>
      </c>
      <c r="S361" t="n">
        <v>18</v>
      </c>
      <c r="T361" t="n">
        <v>16</v>
      </c>
      <c r="U361" t="n">
        <v>43</v>
      </c>
      <c r="V361" t="n">
        <v>317</v>
      </c>
      <c r="W361" t="n">
        <v>6164</v>
      </c>
    </row>
    <row r="362">
      <c r="A362" t="inlineStr">
        <is>
          <t>Ponds Bright Beauty Krim Wajah Serum Day Cream Pencerah Wajah 40 G - Brightening Cream</t>
        </is>
      </c>
      <c r="B362" t="inlineStr">
        <is>
          <t>Pond's</t>
        </is>
      </c>
      <c r="C362" t="inlineStr">
        <is>
          <t>12%</t>
        </is>
      </c>
      <c r="D362" t="n">
        <v>51000</v>
      </c>
      <c r="E362" t="n">
        <v>57900</v>
      </c>
      <c r="F362" t="n">
        <v>51000</v>
      </c>
      <c r="G362" t="n">
        <v>57900</v>
      </c>
      <c r="H362" t="n">
        <v>51000</v>
      </c>
      <c r="I362" t="n">
        <v>57900</v>
      </c>
      <c r="J362" t="b">
        <v>1</v>
      </c>
      <c r="K362" t="inlineStr">
        <is>
          <t>Unilever Indonesia Official Shop</t>
        </is>
      </c>
      <c r="L362" t="inlineStr">
        <is>
          <t>KOTA BEKASI</t>
        </is>
      </c>
      <c r="M362" t="n">
        <v>127043345</v>
      </c>
      <c r="N362" t="n">
        <v>14318452</v>
      </c>
      <c r="O362">
        <f>HYPERLINK("https://shopee.co.id/api/v4/item/get?itemid=127043345&amp;shopid=14318452", "Ponds Bright Beauty Krim Wajah Serum Day Cream Pencerah Wajah 40 G - Brightening Cream")</f>
        <v/>
      </c>
      <c r="P362" t="n">
        <v>971</v>
      </c>
      <c r="Q362" t="n">
        <v>1334</v>
      </c>
      <c r="R362" t="n">
        <v>4.913514452876093</v>
      </c>
      <c r="S362" t="n">
        <v>45</v>
      </c>
      <c r="T362" t="n">
        <v>31</v>
      </c>
      <c r="U362" t="n">
        <v>116</v>
      </c>
      <c r="V362" t="n">
        <v>999</v>
      </c>
      <c r="W362" t="n">
        <v>16076</v>
      </c>
    </row>
    <row r="363">
      <c r="A363" t="inlineStr">
        <is>
          <t>Glow &amp; Lovely Glowness Facial Foam 100gr Twin Pack</t>
        </is>
      </c>
      <c r="B363" t="inlineStr">
        <is>
          <t>Fair &amp; Lovely</t>
        </is>
      </c>
      <c r="C363" t="inlineStr">
        <is>
          <t>15%</t>
        </is>
      </c>
      <c r="D363" t="n">
        <v>47600</v>
      </c>
      <c r="E363" t="n">
        <v>56200</v>
      </c>
      <c r="F363" t="n">
        <v>47600</v>
      </c>
      <c r="G363" t="n">
        <v>56200</v>
      </c>
      <c r="H363" t="n">
        <v>47600</v>
      </c>
      <c r="I363" t="n">
        <v>56200</v>
      </c>
      <c r="J363" t="b">
        <v>1</v>
      </c>
      <c r="K363" t="inlineStr">
        <is>
          <t>Unilever Indonesia Official Shop</t>
        </is>
      </c>
      <c r="L363" t="inlineStr">
        <is>
          <t>KOTA SEMARANG</t>
        </is>
      </c>
      <c r="M363" t="n">
        <v>3831420090</v>
      </c>
      <c r="N363" t="n">
        <v>14318452</v>
      </c>
      <c r="O363">
        <f>HYPERLINK("https://shopee.co.id/api/v4/item/get?itemid=3831420090&amp;shopid=14318452", "Glow &amp; Lovely Glowness Facial Foam 100gr Twin Pack")</f>
        <v/>
      </c>
      <c r="P363" t="n">
        <v>251</v>
      </c>
      <c r="Q363" t="n">
        <v>735</v>
      </c>
      <c r="R363" t="n">
        <v>4.93627781523938</v>
      </c>
      <c r="S363" t="n">
        <v>15</v>
      </c>
      <c r="T363" t="n">
        <v>4</v>
      </c>
      <c r="U363" t="n">
        <v>23</v>
      </c>
      <c r="V363" t="n">
        <v>268</v>
      </c>
      <c r="W363" t="n">
        <v>5629</v>
      </c>
    </row>
    <row r="364">
      <c r="A364" t="inlineStr">
        <is>
          <t>Lifebuoy Antibacterial Body Wash Cool Fresh 100 ml</t>
        </is>
      </c>
      <c r="B364" t="inlineStr">
        <is>
          <t>0</t>
        </is>
      </c>
      <c r="C364" t="inlineStr">
        <is>
          <t>4%</t>
        </is>
      </c>
      <c r="D364" t="n">
        <v>17700</v>
      </c>
      <c r="E364" t="n">
        <v>18500</v>
      </c>
      <c r="F364" t="n">
        <v>17700</v>
      </c>
      <c r="G364" t="n">
        <v>18500</v>
      </c>
      <c r="H364" t="n">
        <v>17700</v>
      </c>
      <c r="I364" t="n">
        <v>18500</v>
      </c>
      <c r="J364" t="b">
        <v>1</v>
      </c>
      <c r="K364" t="inlineStr">
        <is>
          <t>Unilever Indonesia Official Shop</t>
        </is>
      </c>
      <c r="L364" t="inlineStr">
        <is>
          <t>KOTA BEKASI</t>
        </is>
      </c>
      <c r="M364" t="n">
        <v>1008956378</v>
      </c>
      <c r="N364" t="n">
        <v>14318452</v>
      </c>
      <c r="O364">
        <f>HYPERLINK("https://shopee.co.id/api/v4/item/get?itemid=1008956378&amp;shopid=14318452", "Lifebuoy Antibacterial Body Wash Cool Fresh 100 ml")</f>
        <v/>
      </c>
      <c r="P364" t="n">
        <v>117</v>
      </c>
      <c r="Q364" t="n">
        <v>1144</v>
      </c>
      <c r="R364" t="n">
        <v>4.919040269398064</v>
      </c>
      <c r="S364" t="n">
        <v>14</v>
      </c>
      <c r="T364" t="n">
        <v>11</v>
      </c>
      <c r="U364" t="n">
        <v>59</v>
      </c>
      <c r="V364" t="n">
        <v>370</v>
      </c>
      <c r="W364" t="n">
        <v>6673</v>
      </c>
    </row>
    <row r="365">
      <c r="A365" t="inlineStr">
        <is>
          <t>Molto Anti Kusut Velvet Bloom Spray 100mL - Spray anti kusut, spray pakaian</t>
        </is>
      </c>
      <c r="B365" t="inlineStr">
        <is>
          <t>None</t>
        </is>
      </c>
      <c r="C365" t="inlineStr">
        <is>
          <t>20%</t>
        </is>
      </c>
      <c r="D365" t="n">
        <v>19900</v>
      </c>
      <c r="E365" t="n">
        <v>25000</v>
      </c>
      <c r="F365" t="n">
        <v>19900</v>
      </c>
      <c r="G365" t="n">
        <v>25000</v>
      </c>
      <c r="H365" t="n">
        <v>19900</v>
      </c>
      <c r="I365" t="n">
        <v>25000</v>
      </c>
      <c r="J365" t="b">
        <v>1</v>
      </c>
      <c r="K365" t="inlineStr">
        <is>
          <t>Unilever Indonesia Official Shop</t>
        </is>
      </c>
      <c r="L365" t="inlineStr">
        <is>
          <t>KOTA BEKASI</t>
        </is>
      </c>
      <c r="M365" t="n">
        <v>10927248062</v>
      </c>
      <c r="N365" t="n">
        <v>14318452</v>
      </c>
      <c r="O365">
        <f>HYPERLINK("https://shopee.co.id/api/v4/item/get?itemid=10927248062&amp;shopid=14318452", "Molto Anti Kusut Velvet Bloom Spray 100mL - Spray anti kusut, spray pakaian")</f>
        <v/>
      </c>
      <c r="P365" t="n">
        <v>2117</v>
      </c>
      <c r="Q365" t="n">
        <v>3900</v>
      </c>
      <c r="R365" t="n">
        <v>4.875560097476614</v>
      </c>
      <c r="S365" t="n">
        <v>49</v>
      </c>
      <c r="T365" t="n">
        <v>34</v>
      </c>
      <c r="U365" t="n">
        <v>179</v>
      </c>
      <c r="V365" t="n">
        <v>931</v>
      </c>
      <c r="W365" t="n">
        <v>11529</v>
      </c>
    </row>
    <row r="366">
      <c r="A366" t="inlineStr">
        <is>
          <t>Rexona Men Deodorant Pria Roll On Antiperspirant Invisible Dry 45ml Multi Pack</t>
        </is>
      </c>
      <c r="B366" t="inlineStr">
        <is>
          <t>Rexona</t>
        </is>
      </c>
      <c r="C366" t="inlineStr">
        <is>
          <t>1%</t>
        </is>
      </c>
      <c r="D366" t="n">
        <v>58100</v>
      </c>
      <c r="E366" t="n">
        <v>58600</v>
      </c>
      <c r="F366" t="n">
        <v>58100</v>
      </c>
      <c r="G366" t="n">
        <v>58600</v>
      </c>
      <c r="H366" t="n">
        <v>58100</v>
      </c>
      <c r="I366" t="n">
        <v>58600</v>
      </c>
      <c r="J366" t="b">
        <v>1</v>
      </c>
      <c r="K366" t="inlineStr">
        <is>
          <t>Unilever Indonesia Official Shop</t>
        </is>
      </c>
      <c r="L366" t="inlineStr">
        <is>
          <t>KOTA BEKASI</t>
        </is>
      </c>
      <c r="M366" t="n">
        <v>7931377450</v>
      </c>
      <c r="N366" t="n">
        <v>14318452</v>
      </c>
      <c r="O366">
        <f>HYPERLINK("https://shopee.co.id/api/v4/item/get?itemid=7931377450&amp;shopid=14318452", "Rexona Men Deodorant Pria Roll On Antiperspirant Invisible Dry 45ml Multi Pack")</f>
        <v/>
      </c>
      <c r="P366" t="n">
        <v>529</v>
      </c>
      <c r="Q366" t="n">
        <v>1240</v>
      </c>
      <c r="R366" t="n">
        <v>4.849831271091114</v>
      </c>
      <c r="S366" t="n">
        <v>69</v>
      </c>
      <c r="T366" t="n">
        <v>27</v>
      </c>
      <c r="U366" t="n">
        <v>92</v>
      </c>
      <c r="V366" t="n">
        <v>276</v>
      </c>
      <c r="W366" t="n">
        <v>4875</v>
      </c>
    </row>
    <row r="367">
      <c r="A367" t="inlineStr">
        <is>
          <t>Pepsodent Pencegah Gigi Berlubang Toothpaste Pasta Gigi White 190G</t>
        </is>
      </c>
      <c r="B367" t="inlineStr">
        <is>
          <t>Pepsodent</t>
        </is>
      </c>
      <c r="C367" t="inlineStr">
        <is>
          <t>20%</t>
        </is>
      </c>
      <c r="D367" t="n">
        <v>11800</v>
      </c>
      <c r="E367" t="n">
        <v>14800</v>
      </c>
      <c r="F367" t="n">
        <v>11800</v>
      </c>
      <c r="G367" t="n">
        <v>14800</v>
      </c>
      <c r="H367" t="n">
        <v>11800</v>
      </c>
      <c r="I367" t="n">
        <v>14800</v>
      </c>
      <c r="J367" t="b">
        <v>1</v>
      </c>
      <c r="K367" t="inlineStr">
        <is>
          <t>Unilever Indonesia Official Shop</t>
        </is>
      </c>
      <c r="L367" t="inlineStr">
        <is>
          <t>KOTA BEKASI</t>
        </is>
      </c>
      <c r="M367" t="n">
        <v>7561513252</v>
      </c>
      <c r="N367" t="n">
        <v>14318452</v>
      </c>
      <c r="O367">
        <f>HYPERLINK("https://shopee.co.id/api/v4/item/get?itemid=7561513252&amp;shopid=14318452", "Pepsodent Pencegah Gigi Berlubang Toothpaste Pasta Gigi White 190G")</f>
        <v/>
      </c>
      <c r="P367" t="n">
        <v>213</v>
      </c>
      <c r="Q367" t="n">
        <v>1540</v>
      </c>
      <c r="R367" t="n">
        <v>4.938787697820245</v>
      </c>
      <c r="S367" t="n">
        <v>5</v>
      </c>
      <c r="T367" t="n">
        <v>5</v>
      </c>
      <c r="U367" t="n">
        <v>14</v>
      </c>
      <c r="V367" t="n">
        <v>145</v>
      </c>
      <c r="W367" t="n">
        <v>3181</v>
      </c>
    </row>
    <row r="368">
      <c r="A368" t="inlineStr">
        <is>
          <t>Ponds Men Acne Clear Oil Control Sabun Cuci Muka Pria 100G Kalahkan Jerawat dalam 3 Hari</t>
        </is>
      </c>
      <c r="B368" t="inlineStr">
        <is>
          <t>Pond's</t>
        </is>
      </c>
      <c r="C368" t="inlineStr">
        <is>
          <t>12%</t>
        </is>
      </c>
      <c r="D368" t="n">
        <v>35500</v>
      </c>
      <c r="E368" t="n">
        <v>40300</v>
      </c>
      <c r="F368" t="n">
        <v>35500</v>
      </c>
      <c r="G368" t="n">
        <v>40300</v>
      </c>
      <c r="H368" t="n">
        <v>35500</v>
      </c>
      <c r="I368" t="n">
        <v>40300</v>
      </c>
      <c r="J368" t="b">
        <v>1</v>
      </c>
      <c r="K368" t="inlineStr">
        <is>
          <t>Unilever Indonesia Official Shop</t>
        </is>
      </c>
      <c r="L368" t="inlineStr">
        <is>
          <t>KOTA BEKASI</t>
        </is>
      </c>
      <c r="M368" t="n">
        <v>127358235</v>
      </c>
      <c r="N368" t="n">
        <v>14318452</v>
      </c>
      <c r="O368">
        <f>HYPERLINK("https://shopee.co.id/api/v4/item/get?itemid=127358235&amp;shopid=14318452", "Ponds Men Acne Clear Oil Control Sabun Cuci Muka Pria 100G Kalahkan Jerawat dalam 3 Hari")</f>
        <v/>
      </c>
      <c r="P368" t="n">
        <v>275</v>
      </c>
      <c r="Q368" t="n">
        <v>1972</v>
      </c>
      <c r="R368" t="n">
        <v>4.901183675873034</v>
      </c>
      <c r="S368" t="n">
        <v>54</v>
      </c>
      <c r="T368" t="n">
        <v>28</v>
      </c>
      <c r="U368" t="n">
        <v>174</v>
      </c>
      <c r="V368" t="n">
        <v>1046</v>
      </c>
      <c r="W368" t="n">
        <v>15684</v>
      </c>
    </row>
    <row r="369">
      <c r="A369" t="inlineStr">
        <is>
          <t>Lifebuoy Body Wash Refill Antibacterial Mild Care 825ml Multi Pack</t>
        </is>
      </c>
      <c r="B369" t="inlineStr">
        <is>
          <t>Lifebuoy</t>
        </is>
      </c>
      <c r="C369" t="inlineStr">
        <is>
          <t>33%</t>
        </is>
      </c>
      <c r="D369" t="n">
        <v>111000</v>
      </c>
      <c r="E369" t="n">
        <v>166800</v>
      </c>
      <c r="F369" t="n">
        <v>111000</v>
      </c>
      <c r="G369" t="n">
        <v>166800</v>
      </c>
      <c r="H369" t="n">
        <v>111000</v>
      </c>
      <c r="I369" t="n">
        <v>166800</v>
      </c>
      <c r="J369" t="b">
        <v>1</v>
      </c>
      <c r="K369" t="inlineStr">
        <is>
          <t>Unilever Indonesia Official Shop</t>
        </is>
      </c>
      <c r="L369" t="inlineStr">
        <is>
          <t>KOTA DENPASAR</t>
        </is>
      </c>
      <c r="M369" t="n">
        <v>4031326005</v>
      </c>
      <c r="N369" t="n">
        <v>14318452</v>
      </c>
      <c r="O369">
        <f>HYPERLINK("https://shopee.co.id/api/v4/item/get?itemid=4031326005&amp;shopid=14318452", "Lifebuoy Body Wash Refill Antibacterial Mild Care 825ml Multi Pack")</f>
        <v/>
      </c>
      <c r="P369" t="n">
        <v>814</v>
      </c>
      <c r="Q369" t="n">
        <v>15</v>
      </c>
      <c r="R369" t="n">
        <v>4.951800984711065</v>
      </c>
      <c r="S369" t="n">
        <v>31</v>
      </c>
      <c r="T369" t="n">
        <v>12</v>
      </c>
      <c r="U369" t="n">
        <v>40</v>
      </c>
      <c r="V369" t="n">
        <v>336</v>
      </c>
      <c r="W369" t="n">
        <v>11163</v>
      </c>
    </row>
    <row r="370">
      <c r="A370" t="inlineStr">
        <is>
          <t>Pepsodent Mouthwash Obat Kumur CPC Active Defense 300ml</t>
        </is>
      </c>
      <c r="B370" t="inlineStr">
        <is>
          <t>Pepsodent</t>
        </is>
      </c>
      <c r="C370" t="inlineStr">
        <is>
          <t>22%</t>
        </is>
      </c>
      <c r="D370" t="n">
        <v>21100</v>
      </c>
      <c r="E370" t="n">
        <v>27000</v>
      </c>
      <c r="F370" t="n">
        <v>21100</v>
      </c>
      <c r="G370" t="n">
        <v>27000</v>
      </c>
      <c r="H370" t="n">
        <v>21100</v>
      </c>
      <c r="I370" t="n">
        <v>27000</v>
      </c>
      <c r="J370" t="b">
        <v>1</v>
      </c>
      <c r="K370" t="inlineStr">
        <is>
          <t>Unilever Indonesia Official Shop</t>
        </is>
      </c>
      <c r="L370" t="inlineStr">
        <is>
          <t>KAB. BANYUASIN</t>
        </is>
      </c>
      <c r="M370" t="n">
        <v>5067600876</v>
      </c>
      <c r="N370" t="n">
        <v>14318452</v>
      </c>
      <c r="O370">
        <f>HYPERLINK("https://shopee.co.id/api/v4/item/get?itemid=5067600876&amp;shopid=14318452", "Pepsodent Mouthwash Obat Kumur CPC Active Defense 300ml")</f>
        <v/>
      </c>
      <c r="P370" t="n">
        <v>119</v>
      </c>
      <c r="Q370" t="n">
        <v>465</v>
      </c>
      <c r="R370" t="n">
        <v>4.925313568985176</v>
      </c>
      <c r="S370" t="n">
        <v>6</v>
      </c>
      <c r="T370" t="n">
        <v>3</v>
      </c>
      <c r="U370" t="n">
        <v>12</v>
      </c>
      <c r="V370" t="n">
        <v>74</v>
      </c>
      <c r="W370" t="n">
        <v>1659</v>
      </c>
    </row>
    <row r="371">
      <c r="A371" t="inlineStr">
        <is>
          <t>Molto Pewangi Pakaian Floral Bliss 1800Ml  - Softener Pewangi, Pelembut Pakaian</t>
        </is>
      </c>
      <c r="B371" t="inlineStr">
        <is>
          <t>Molto</t>
        </is>
      </c>
      <c r="C371" t="inlineStr">
        <is>
          <t>11%</t>
        </is>
      </c>
      <c r="D371" t="n">
        <v>28900</v>
      </c>
      <c r="E371" t="n">
        <v>32600</v>
      </c>
      <c r="F371" t="n">
        <v>28900</v>
      </c>
      <c r="G371" t="n">
        <v>32600</v>
      </c>
      <c r="H371" t="n">
        <v>28900</v>
      </c>
      <c r="I371" t="n">
        <v>32600</v>
      </c>
      <c r="J371" t="b">
        <v>1</v>
      </c>
      <c r="K371" t="inlineStr">
        <is>
          <t>Unilever Indonesia Official Shop</t>
        </is>
      </c>
      <c r="L371" t="inlineStr">
        <is>
          <t>KOTA BEKASI</t>
        </is>
      </c>
      <c r="M371" t="n">
        <v>1921369047</v>
      </c>
      <c r="N371" t="n">
        <v>14318452</v>
      </c>
      <c r="O371">
        <f>HYPERLINK("https://shopee.co.id/api/v4/item/get?itemid=1921369047&amp;shopid=14318452", "Molto Pewangi Pakaian Floral Bliss 1800Ml  - Softener Pewangi, Pelembut Pakaian")</f>
        <v/>
      </c>
      <c r="P371" t="n">
        <v>1227</v>
      </c>
      <c r="Q371" t="n">
        <v>1250</v>
      </c>
      <c r="R371" t="n">
        <v>4.911094977229226</v>
      </c>
      <c r="S371" t="n">
        <v>156</v>
      </c>
      <c r="T371" t="n">
        <v>104</v>
      </c>
      <c r="U371" t="n">
        <v>279</v>
      </c>
      <c r="V371" t="n">
        <v>1268</v>
      </c>
      <c r="W371" t="n">
        <v>28516</v>
      </c>
    </row>
    <row r="372">
      <c r="A372" t="inlineStr">
        <is>
          <t>Lifebuoy Shampoo Hair Fall Perawatan Rambut Rontok 680ml Dgn Milknutristrong &amp; Aloe Vera</t>
        </is>
      </c>
      <c r="B372" t="inlineStr">
        <is>
          <t>0</t>
        </is>
      </c>
      <c r="C372" t="inlineStr">
        <is>
          <t>1%</t>
        </is>
      </c>
      <c r="D372" t="n">
        <v>61200</v>
      </c>
      <c r="E372" t="n">
        <v>61800</v>
      </c>
      <c r="F372" t="n">
        <v>61200</v>
      </c>
      <c r="G372" t="n">
        <v>61800</v>
      </c>
      <c r="H372" t="n">
        <v>61200</v>
      </c>
      <c r="I372" t="n">
        <v>61800</v>
      </c>
      <c r="J372" t="b">
        <v>1</v>
      </c>
      <c r="K372" t="inlineStr">
        <is>
          <t>Unilever Indonesia Official Shop</t>
        </is>
      </c>
      <c r="L372" t="inlineStr">
        <is>
          <t>KOTA BEKASI</t>
        </is>
      </c>
      <c r="M372" t="n">
        <v>1568726824</v>
      </c>
      <c r="N372" t="n">
        <v>14318452</v>
      </c>
      <c r="O372">
        <f>HYPERLINK("https://shopee.co.id/api/v4/item/get?itemid=1568726824&amp;shopid=14318452", "Lifebuoy Shampoo Hair Fall Perawatan Rambut Rontok 680ml Dgn Milknutristrong &amp; Aloe Vera")</f>
        <v/>
      </c>
      <c r="P372" t="n">
        <v>311</v>
      </c>
      <c r="Q372" t="n">
        <v>1773</v>
      </c>
      <c r="R372" t="n">
        <v>4.931791383219955</v>
      </c>
      <c r="S372" t="n">
        <v>22</v>
      </c>
      <c r="T372" t="n">
        <v>22</v>
      </c>
      <c r="U372" t="n">
        <v>77</v>
      </c>
      <c r="V372" t="n">
        <v>444</v>
      </c>
      <c r="W372" t="n">
        <v>10460</v>
      </c>
    </row>
    <row r="373">
      <c r="A373" t="inlineStr">
        <is>
          <t>Wipol Sabun Karbol Pembersih Lantai Karbol Cemara Perlindungan Dari Kuman Pouch 750 ml</t>
        </is>
      </c>
      <c r="B373" t="inlineStr">
        <is>
          <t>0</t>
        </is>
      </c>
      <c r="C373" t="inlineStr">
        <is>
          <t>22%</t>
        </is>
      </c>
      <c r="D373" t="n">
        <v>18500</v>
      </c>
      <c r="E373" t="n">
        <v>23800</v>
      </c>
      <c r="F373" t="n">
        <v>18500</v>
      </c>
      <c r="G373" t="n">
        <v>23800</v>
      </c>
      <c r="H373" t="n">
        <v>18500</v>
      </c>
      <c r="I373" t="n">
        <v>23800</v>
      </c>
      <c r="J373" t="b">
        <v>1</v>
      </c>
      <c r="K373" t="inlineStr">
        <is>
          <t>Unilever Indonesia Official Shop</t>
        </is>
      </c>
      <c r="L373" t="inlineStr">
        <is>
          <t>KOTA BEKASI</t>
        </is>
      </c>
      <c r="M373" t="n">
        <v>5461515906</v>
      </c>
      <c r="N373" t="n">
        <v>14318452</v>
      </c>
      <c r="O373">
        <f>HYPERLINK("https://shopee.co.id/api/v4/item/get?itemid=5461515906&amp;shopid=14318452", "Wipol Sabun Karbol Pembersih Lantai Karbol Cemara Perlindungan Dari Kuman Pouch 750 ml")</f>
        <v/>
      </c>
      <c r="P373" t="n">
        <v>777</v>
      </c>
      <c r="Q373" t="n">
        <v>8200</v>
      </c>
      <c r="R373" t="n">
        <v>4.939821116080109</v>
      </c>
      <c r="S373" t="n">
        <v>32</v>
      </c>
      <c r="T373" t="n">
        <v>14</v>
      </c>
      <c r="U373" t="n">
        <v>41</v>
      </c>
      <c r="V373" t="n">
        <v>397</v>
      </c>
      <c r="W373" t="n">
        <v>9824</v>
      </c>
    </row>
    <row r="374">
      <c r="A374" t="inlineStr">
        <is>
          <t>Zwitsal Baby Sabun Batang Classic 70gr Multi Pack</t>
        </is>
      </c>
      <c r="B374" t="inlineStr">
        <is>
          <t>Zwitsal</t>
        </is>
      </c>
      <c r="C374" t="inlineStr">
        <is>
          <t>7%</t>
        </is>
      </c>
      <c r="D374" t="n">
        <v>27300</v>
      </c>
      <c r="E374" t="n">
        <v>29300</v>
      </c>
      <c r="F374" t="n">
        <v>27300</v>
      </c>
      <c r="G374" t="n">
        <v>29300</v>
      </c>
      <c r="H374" t="n">
        <v>27300</v>
      </c>
      <c r="I374" t="n">
        <v>29300</v>
      </c>
      <c r="J374" t="b">
        <v>1</v>
      </c>
      <c r="K374" t="inlineStr">
        <is>
          <t>Unilever Indonesia Official Shop</t>
        </is>
      </c>
      <c r="L374" t="inlineStr">
        <is>
          <t>KOTA BEKASI</t>
        </is>
      </c>
      <c r="M374" t="n">
        <v>4731757093</v>
      </c>
      <c r="N374" t="n">
        <v>14318452</v>
      </c>
      <c r="O374">
        <f>HYPERLINK("https://shopee.co.id/api/v4/item/get?itemid=4731757093&amp;shopid=14318452", "Zwitsal Baby Sabun Batang Classic 70gr Multi Pack")</f>
        <v/>
      </c>
      <c r="P374" t="n">
        <v>752</v>
      </c>
      <c r="Q374" t="n">
        <v>292</v>
      </c>
      <c r="R374" t="n">
        <v>4.9061612957088</v>
      </c>
      <c r="S374" t="n">
        <v>18</v>
      </c>
      <c r="T374" t="n">
        <v>18</v>
      </c>
      <c r="U374" t="n">
        <v>64</v>
      </c>
      <c r="V374" t="n">
        <v>318</v>
      </c>
      <c r="W374" t="n">
        <v>5574</v>
      </c>
    </row>
    <row r="375">
      <c r="A375" t="inlineStr">
        <is>
          <t>Buy Clear Shampoo Ice Cool Menthol 660 Ml Free Clear Men Cool Sport Menthol 160ml</t>
        </is>
      </c>
      <c r="B375" t="inlineStr">
        <is>
          <t>Clear</t>
        </is>
      </c>
      <c r="C375" t="inlineStr">
        <is>
          <t>27%</t>
        </is>
      </c>
      <c r="D375" t="n">
        <v>76100</v>
      </c>
      <c r="E375" t="n">
        <v>103900</v>
      </c>
      <c r="F375" t="n">
        <v>76100</v>
      </c>
      <c r="G375" t="n">
        <v>103900</v>
      </c>
      <c r="H375" t="n">
        <v>76100</v>
      </c>
      <c r="I375" t="n">
        <v>103900</v>
      </c>
      <c r="J375" t="b">
        <v>1</v>
      </c>
      <c r="K375" t="inlineStr">
        <is>
          <t>Unilever Indonesia Official Shop</t>
        </is>
      </c>
      <c r="L375" t="inlineStr">
        <is>
          <t>KOTA BEKASI</t>
        </is>
      </c>
      <c r="M375" t="n">
        <v>10814922397</v>
      </c>
      <c r="N375" t="n">
        <v>14318452</v>
      </c>
      <c r="O375">
        <f>HYPERLINK("https://shopee.co.id/api/v4/item/get?itemid=10814922397&amp;shopid=14318452", "Buy Clear Shampoo Ice Cool Menthol 660 Ml Free Clear Men Cool Sport Menthol 160ml")</f>
        <v/>
      </c>
      <c r="P375" t="n">
        <v>116</v>
      </c>
      <c r="Q375" t="n">
        <v>302</v>
      </c>
      <c r="R375" t="n">
        <v>4.948939512961508</v>
      </c>
      <c r="S375" t="n">
        <v>2</v>
      </c>
      <c r="T375" t="n">
        <v>1</v>
      </c>
      <c r="U375" t="n">
        <v>7</v>
      </c>
      <c r="V375" t="n">
        <v>44</v>
      </c>
      <c r="W375" t="n">
        <v>1220</v>
      </c>
    </row>
    <row r="376">
      <c r="A376" t="inlineStr">
        <is>
          <t>Ponds Age Miracle Day Cream Moisturizer Anti Aging+Glowing With Retinol &amp; Spf18 50G</t>
        </is>
      </c>
      <c r="B376" t="inlineStr">
        <is>
          <t>Pond's</t>
        </is>
      </c>
      <c r="C376" t="inlineStr">
        <is>
          <t>22%</t>
        </is>
      </c>
      <c r="D376" t="n">
        <v>146200</v>
      </c>
      <c r="E376" t="n">
        <v>188600</v>
      </c>
      <c r="F376" t="n">
        <v>146200</v>
      </c>
      <c r="G376" t="n">
        <v>188600</v>
      </c>
      <c r="H376" t="n">
        <v>146200</v>
      </c>
      <c r="I376" t="n">
        <v>188600</v>
      </c>
      <c r="J376" t="b">
        <v>1</v>
      </c>
      <c r="K376" t="inlineStr">
        <is>
          <t>Unilever Indonesia Official Shop</t>
        </is>
      </c>
      <c r="L376" t="inlineStr">
        <is>
          <t>KOTA BEKASI</t>
        </is>
      </c>
      <c r="M376" t="n">
        <v>127358332</v>
      </c>
      <c r="N376" t="n">
        <v>14318452</v>
      </c>
      <c r="O376">
        <f>HYPERLINK("https://shopee.co.id/api/v4/item/get?itemid=127358332&amp;shopid=14318452", "Ponds Age Miracle Day Cream Moisturizer Anti Aging+Glowing With Retinol &amp; Spf18 50G")</f>
        <v/>
      </c>
      <c r="P376" t="n">
        <v>948</v>
      </c>
      <c r="Q376" t="n">
        <v>5315</v>
      </c>
      <c r="R376" t="n">
        <v>4.936882981923592</v>
      </c>
      <c r="S376" t="n">
        <v>55</v>
      </c>
      <c r="T376" t="n">
        <v>33</v>
      </c>
      <c r="U376" t="n">
        <v>174</v>
      </c>
      <c r="V376" t="n">
        <v>1648</v>
      </c>
      <c r="W376" t="n">
        <v>34693</v>
      </c>
    </row>
    <row r="377">
      <c r="A377" t="inlineStr">
        <is>
          <t>Pepsodent White Pasta Gigi Pencegah Gigi Berlubang 190 G - Toothpaste Whitening</t>
        </is>
      </c>
      <c r="B377" t="inlineStr">
        <is>
          <t>Pepsodent</t>
        </is>
      </c>
      <c r="C377" t="inlineStr">
        <is>
          <t>20%</t>
        </is>
      </c>
      <c r="D377" t="n">
        <v>12900</v>
      </c>
      <c r="E377" t="n">
        <v>16200</v>
      </c>
      <c r="F377" t="n">
        <v>12900</v>
      </c>
      <c r="G377" t="n">
        <v>16200</v>
      </c>
      <c r="H377" t="n">
        <v>12900</v>
      </c>
      <c r="I377" t="n">
        <v>16200</v>
      </c>
      <c r="J377" t="b">
        <v>1</v>
      </c>
      <c r="K377" t="inlineStr">
        <is>
          <t>Unilever Indonesia Official Shop</t>
        </is>
      </c>
      <c r="L377" t="inlineStr">
        <is>
          <t>KOTA BEKASI</t>
        </is>
      </c>
      <c r="M377" t="n">
        <v>224778758</v>
      </c>
      <c r="N377" t="n">
        <v>14318452</v>
      </c>
      <c r="O377">
        <f>HYPERLINK("https://shopee.co.id/api/v4/item/get?itemid=224778758&amp;shopid=14318452", "Pepsodent White Pasta Gigi Pencegah Gigi Berlubang 190 G - Toothpaste Whitening")</f>
        <v/>
      </c>
      <c r="P377" t="n">
        <v>512</v>
      </c>
      <c r="Q377" t="n">
        <v>1540</v>
      </c>
      <c r="R377" t="n">
        <v>4.930548397072466</v>
      </c>
      <c r="S377" t="n">
        <v>75</v>
      </c>
      <c r="T377" t="n">
        <v>39</v>
      </c>
      <c r="U377" t="n">
        <v>246</v>
      </c>
      <c r="V377" t="n">
        <v>1806</v>
      </c>
      <c r="W377" t="n">
        <v>36649</v>
      </c>
    </row>
    <row r="378">
      <c r="A378" t="inlineStr">
        <is>
          <t>Royco Bumbu Penyedap Makanan Rasa Kaldu Ayam 220G x 2 Pcs</t>
        </is>
      </c>
      <c r="B378" t="inlineStr">
        <is>
          <t>Royco</t>
        </is>
      </c>
      <c r="C378" t="inlineStr">
        <is>
          <t>9%</t>
        </is>
      </c>
      <c r="D378" t="n">
        <v>18200</v>
      </c>
      <c r="E378" t="n">
        <v>19900</v>
      </c>
      <c r="F378" t="n">
        <v>18200</v>
      </c>
      <c r="G378" t="n">
        <v>19900</v>
      </c>
      <c r="H378" t="n">
        <v>18200</v>
      </c>
      <c r="I378" t="n">
        <v>19900</v>
      </c>
      <c r="J378" t="b">
        <v>1</v>
      </c>
      <c r="K378" t="inlineStr">
        <is>
          <t>Unilever Indonesia Official Shop</t>
        </is>
      </c>
      <c r="L378" t="inlineStr">
        <is>
          <t>KOTA BEKASI</t>
        </is>
      </c>
      <c r="M378" t="n">
        <v>3256186412</v>
      </c>
      <c r="N378" t="n">
        <v>14318452</v>
      </c>
      <c r="O378">
        <f>HYPERLINK("https://shopee.co.id/api/v4/item/get?itemid=3256186412&amp;shopid=14318452", "Royco Bumbu Penyedap Makanan Rasa Kaldu Ayam 220G x 2 Pcs")</f>
        <v/>
      </c>
      <c r="P378" t="n">
        <v>1106</v>
      </c>
      <c r="Q378" t="n">
        <v>4623</v>
      </c>
      <c r="R378" t="n">
        <v>4.943670264965653</v>
      </c>
      <c r="S378" t="n">
        <v>21</v>
      </c>
      <c r="T378" t="n">
        <v>14</v>
      </c>
      <c r="U378" t="n">
        <v>50</v>
      </c>
      <c r="V378" t="n">
        <v>360</v>
      </c>
      <c r="W378" t="n">
        <v>9765</v>
      </c>
    </row>
    <row r="379">
      <c r="A379" t="inlineStr">
        <is>
          <t>Pond's Men Bright Boost Face Moisturizer 20 ml</t>
        </is>
      </c>
      <c r="B379" t="inlineStr">
        <is>
          <t>0</t>
        </is>
      </c>
      <c r="C379" t="inlineStr">
        <is>
          <t>13%</t>
        </is>
      </c>
      <c r="D379" t="n">
        <v>32500</v>
      </c>
      <c r="E379" t="n">
        <v>37500</v>
      </c>
      <c r="F379" t="n">
        <v>32500</v>
      </c>
      <c r="G379" t="n">
        <v>37500</v>
      </c>
      <c r="H379" t="n">
        <v>32500</v>
      </c>
      <c r="I379" t="n">
        <v>37500</v>
      </c>
      <c r="J379" t="b">
        <v>1</v>
      </c>
      <c r="K379" t="inlineStr">
        <is>
          <t>Unilever Indonesia Official Shop</t>
        </is>
      </c>
      <c r="L379" t="inlineStr">
        <is>
          <t>KOTA BEKASI</t>
        </is>
      </c>
      <c r="M379" t="n">
        <v>1008956395</v>
      </c>
      <c r="N379" t="n">
        <v>14318452</v>
      </c>
      <c r="O379">
        <f>HYPERLINK("https://shopee.co.id/api/v4/item/get?itemid=1008956395&amp;shopid=14318452", "Pond's Men Bright Boost Face Moisturizer 20 ml")</f>
        <v/>
      </c>
      <c r="P379" t="n">
        <v>1086</v>
      </c>
      <c r="Q379" t="n">
        <v>776</v>
      </c>
      <c r="R379" t="n">
        <v>4.875698783294969</v>
      </c>
      <c r="S379" t="n">
        <v>45</v>
      </c>
      <c r="T379" t="n">
        <v>33</v>
      </c>
      <c r="U379" t="n">
        <v>149</v>
      </c>
      <c r="V379" t="n">
        <v>938</v>
      </c>
      <c r="W379" t="n">
        <v>11000</v>
      </c>
    </row>
    <row r="380">
      <c r="A380" t="inlineStr">
        <is>
          <t>Glow &amp; Lovely Multivitamin Serum Sheet Masker Pencerah Wajah Sheet Mask Glowing 20G</t>
        </is>
      </c>
      <c r="B380" t="inlineStr">
        <is>
          <t>Fair &amp; Lovely</t>
        </is>
      </c>
      <c r="C380" t="inlineStr">
        <is>
          <t>18%</t>
        </is>
      </c>
      <c r="D380" t="n">
        <v>8200</v>
      </c>
      <c r="E380" t="n">
        <v>10000</v>
      </c>
      <c r="F380" t="n">
        <v>8200</v>
      </c>
      <c r="G380" t="n">
        <v>10000</v>
      </c>
      <c r="H380" t="n">
        <v>8200</v>
      </c>
      <c r="I380" t="n">
        <v>10000</v>
      </c>
      <c r="J380" t="b">
        <v>1</v>
      </c>
      <c r="K380" t="inlineStr">
        <is>
          <t>Unilever Indonesia Official Shop</t>
        </is>
      </c>
      <c r="L380" t="inlineStr">
        <is>
          <t>KOTA BEKASI</t>
        </is>
      </c>
      <c r="M380" t="n">
        <v>5308759582</v>
      </c>
      <c r="N380" t="n">
        <v>14318452</v>
      </c>
      <c r="O380">
        <f>HYPERLINK("https://shopee.co.id/api/v4/item/get?itemid=5308759582&amp;shopid=14318452", "Glow &amp; Lovely Multivitamin Serum Sheet Masker Pencerah Wajah Sheet Mask Glowing 20G")</f>
        <v/>
      </c>
      <c r="P380" t="n">
        <v>876</v>
      </c>
      <c r="Q380" t="n">
        <v>4673</v>
      </c>
      <c r="R380" t="n">
        <v>4.916125306770608</v>
      </c>
      <c r="S380" t="n">
        <v>19</v>
      </c>
      <c r="T380" t="n">
        <v>13</v>
      </c>
      <c r="U380" t="n">
        <v>106</v>
      </c>
      <c r="V380" t="n">
        <v>835</v>
      </c>
      <c r="W380" t="n">
        <v>12881</v>
      </c>
    </row>
    <row r="381">
      <c r="A381" t="inlineStr">
        <is>
          <t>Molto Pelembut Dan Pewangi Pakaian Ultra Pure 720Ml- Pewangi Baju Bayi, Konsentrat</t>
        </is>
      </c>
      <c r="B381" t="inlineStr">
        <is>
          <t>Molto</t>
        </is>
      </c>
      <c r="C381" t="inlineStr">
        <is>
          <t>21%</t>
        </is>
      </c>
      <c r="D381" t="n">
        <v>31400</v>
      </c>
      <c r="E381" t="n">
        <v>39500</v>
      </c>
      <c r="F381" t="n">
        <v>31400</v>
      </c>
      <c r="G381" t="n">
        <v>39500</v>
      </c>
      <c r="H381" t="n">
        <v>31400</v>
      </c>
      <c r="I381" t="n">
        <v>39500</v>
      </c>
      <c r="J381" t="b">
        <v>1</v>
      </c>
      <c r="K381" t="inlineStr">
        <is>
          <t>Unilever Indonesia Official Shop</t>
        </is>
      </c>
      <c r="L381" t="inlineStr">
        <is>
          <t>KOTA BEKASI</t>
        </is>
      </c>
      <c r="M381" t="n">
        <v>1921369048</v>
      </c>
      <c r="N381" t="n">
        <v>14318452</v>
      </c>
      <c r="O381">
        <f>HYPERLINK("https://shopee.co.id/api/v4/item/get?itemid=1921369048&amp;shopid=14318452", "Molto Pelembut Dan Pewangi Pakaian Ultra Pure 720Ml- Pewangi Baju Bayi, Konsentrat")</f>
        <v/>
      </c>
      <c r="P381" t="n">
        <v>206</v>
      </c>
      <c r="Q381" t="n">
        <v>407</v>
      </c>
      <c r="R381" t="n">
        <v>4.933827209930924</v>
      </c>
      <c r="S381" t="n">
        <v>27</v>
      </c>
      <c r="T381" t="n">
        <v>21</v>
      </c>
      <c r="U381" t="n">
        <v>60</v>
      </c>
      <c r="V381" t="n">
        <v>377</v>
      </c>
      <c r="W381" t="n">
        <v>9508</v>
      </c>
    </row>
    <row r="382">
      <c r="A382" t="inlineStr">
        <is>
          <t>Zwitsal Baby Bath Natural Dengan Minyak Telon 200 ml</t>
        </is>
      </c>
      <c r="B382" t="inlineStr">
        <is>
          <t>0</t>
        </is>
      </c>
      <c r="C382" t="inlineStr">
        <is>
          <t>15%</t>
        </is>
      </c>
      <c r="D382" t="n">
        <v>22900</v>
      </c>
      <c r="E382" t="n">
        <v>26900</v>
      </c>
      <c r="F382" t="n">
        <v>22900</v>
      </c>
      <c r="G382" t="n">
        <v>26900</v>
      </c>
      <c r="H382" t="n">
        <v>22900</v>
      </c>
      <c r="I382" t="n">
        <v>26900</v>
      </c>
      <c r="J382" t="b">
        <v>1</v>
      </c>
      <c r="K382" t="inlineStr">
        <is>
          <t>Unilever Indonesia Official Shop</t>
        </is>
      </c>
      <c r="L382" t="inlineStr">
        <is>
          <t>KOTA BEKASI</t>
        </is>
      </c>
      <c r="M382" t="n">
        <v>976680625</v>
      </c>
      <c r="N382" t="n">
        <v>14318452</v>
      </c>
      <c r="O382">
        <f>HYPERLINK("https://shopee.co.id/api/v4/item/get?itemid=976680625&amp;shopid=14318452", "Zwitsal Baby Bath Natural Dengan Minyak Telon 200 ml")</f>
        <v/>
      </c>
      <c r="P382" t="n">
        <v>61</v>
      </c>
      <c r="Q382" t="n">
        <v>256</v>
      </c>
      <c r="R382" t="n">
        <v>4.91496062992126</v>
      </c>
      <c r="S382" t="n">
        <v>5</v>
      </c>
      <c r="T382" t="n">
        <v>7</v>
      </c>
      <c r="U382" t="n">
        <v>41</v>
      </c>
      <c r="V382" t="n">
        <v>255</v>
      </c>
      <c r="W382" t="n">
        <v>4137</v>
      </c>
    </row>
    <row r="383">
      <c r="A383" t="inlineStr">
        <is>
          <t>Lifebuoy Body Wash Refill Charcoal 450ml</t>
        </is>
      </c>
      <c r="B383" t="inlineStr">
        <is>
          <t>0</t>
        </is>
      </c>
      <c r="C383" t="inlineStr">
        <is>
          <t>24%</t>
        </is>
      </c>
      <c r="D383" t="n">
        <v>23600</v>
      </c>
      <c r="E383" t="n">
        <v>31000</v>
      </c>
      <c r="F383" t="n">
        <v>23600</v>
      </c>
      <c r="G383" t="n">
        <v>31000</v>
      </c>
      <c r="H383" t="n">
        <v>23600</v>
      </c>
      <c r="I383" t="n">
        <v>31000</v>
      </c>
      <c r="J383" t="b">
        <v>1</v>
      </c>
      <c r="K383" t="inlineStr">
        <is>
          <t>Unilever Indonesia Official Shop</t>
        </is>
      </c>
      <c r="L383" t="inlineStr">
        <is>
          <t>KOTA BEKASI</t>
        </is>
      </c>
      <c r="M383" t="n">
        <v>1862435239</v>
      </c>
      <c r="N383" t="n">
        <v>14318452</v>
      </c>
      <c r="O383">
        <f>HYPERLINK("https://shopee.co.id/api/v4/item/get?itemid=1862435239&amp;shopid=14318452", "Lifebuoy Body Wash Refill Charcoal 450ml")</f>
        <v/>
      </c>
      <c r="P383" t="n">
        <v>186</v>
      </c>
      <c r="Q383" t="n">
        <v>4</v>
      </c>
      <c r="R383" t="n">
        <v>4.93018606796863</v>
      </c>
      <c r="S383" t="n">
        <v>17</v>
      </c>
      <c r="T383" t="n">
        <v>10</v>
      </c>
      <c r="U383" t="n">
        <v>36</v>
      </c>
      <c r="V383" t="n">
        <v>290</v>
      </c>
      <c r="W383" t="n">
        <v>6153</v>
      </c>
    </row>
    <row r="384">
      <c r="A384" t="inlineStr">
        <is>
          <t>Superpell Pel Lantai Lemon Ginger 770 Ml - Sabun Pel Lantai, Pel Harum, Pel Lemon</t>
        </is>
      </c>
      <c r="B384" t="inlineStr">
        <is>
          <t>0</t>
        </is>
      </c>
      <c r="C384" t="inlineStr">
        <is>
          <t>16%</t>
        </is>
      </c>
      <c r="D384" t="n">
        <v>14100</v>
      </c>
      <c r="E384" t="n">
        <v>16800</v>
      </c>
      <c r="F384" t="n">
        <v>14100</v>
      </c>
      <c r="G384" t="n">
        <v>16800</v>
      </c>
      <c r="H384" t="n">
        <v>14100</v>
      </c>
      <c r="I384" t="n">
        <v>16800</v>
      </c>
      <c r="J384" t="b">
        <v>1</v>
      </c>
      <c r="K384" t="inlineStr">
        <is>
          <t>Unilever Indonesia Official Shop</t>
        </is>
      </c>
      <c r="L384" t="inlineStr">
        <is>
          <t>KOTA BEKASI</t>
        </is>
      </c>
      <c r="M384" t="n">
        <v>1862500451</v>
      </c>
      <c r="N384" t="n">
        <v>14318452</v>
      </c>
      <c r="O384">
        <f>HYPERLINK("https://shopee.co.id/api/v4/item/get?itemid=1862500451&amp;shopid=14318452", "Superpell Pel Lantai Lemon Ginger 770 Ml - Sabun Pel Lantai, Pel Harum, Pel Lemon")</f>
        <v/>
      </c>
      <c r="P384" t="n">
        <v>577</v>
      </c>
      <c r="Q384" t="n">
        <v>323</v>
      </c>
      <c r="R384" t="n">
        <v>4.934957954350438</v>
      </c>
      <c r="S384" t="n">
        <v>20</v>
      </c>
      <c r="T384" t="n">
        <v>12</v>
      </c>
      <c r="U384" t="n">
        <v>68</v>
      </c>
      <c r="V384" t="n">
        <v>509</v>
      </c>
      <c r="W384" t="n">
        <v>11049</v>
      </c>
    </row>
    <row r="385">
      <c r="A385" t="inlineStr">
        <is>
          <t>Royco  Bumbu Kaldu Mpasi Kaldu Jamur Tanpa Penguat Rasa 40G</t>
        </is>
      </c>
      <c r="B385" t="inlineStr"/>
      <c r="C385" t="inlineStr">
        <is>
          <t>4%</t>
        </is>
      </c>
      <c r="D385" t="n">
        <v>4800</v>
      </c>
      <c r="E385" t="n">
        <v>5000</v>
      </c>
      <c r="F385" t="n">
        <v>4800</v>
      </c>
      <c r="G385" t="n">
        <v>5000</v>
      </c>
      <c r="H385" t="n">
        <v>4800</v>
      </c>
      <c r="I385" t="n">
        <v>5000</v>
      </c>
      <c r="J385" t="b">
        <v>1</v>
      </c>
      <c r="K385" t="inlineStr">
        <is>
          <t>Unilever Indonesia Official Shop</t>
        </is>
      </c>
      <c r="L385" t="inlineStr">
        <is>
          <t>KOTA BEKASI</t>
        </is>
      </c>
      <c r="M385" t="n">
        <v>7432162480</v>
      </c>
      <c r="N385" t="n">
        <v>14318452</v>
      </c>
      <c r="O385">
        <f>HYPERLINK("https://shopee.co.id/api/v4/item/get?itemid=7432162480&amp;shopid=14318452", "Royco  Bumbu Kaldu Mpasi Kaldu Jamur Tanpa Penguat Rasa 40G")</f>
        <v/>
      </c>
      <c r="P385" t="n">
        <v>1540</v>
      </c>
      <c r="Q385" t="n">
        <v>2554</v>
      </c>
      <c r="R385" t="n">
        <v>4.9193337938445</v>
      </c>
      <c r="S385" t="n">
        <v>32</v>
      </c>
      <c r="T385" t="n">
        <v>15</v>
      </c>
      <c r="U385" t="n">
        <v>87</v>
      </c>
      <c r="V385" t="n">
        <v>708</v>
      </c>
      <c r="W385" t="n">
        <v>12188</v>
      </c>
    </row>
    <row r="386">
      <c r="A386" t="inlineStr">
        <is>
          <t>Jawara Saus Sambal Bawang Goreng Extra Hot Pouch 120Ml</t>
        </is>
      </c>
      <c r="B386" t="inlineStr">
        <is>
          <t>Jawara</t>
        </is>
      </c>
      <c r="C386" t="inlineStr">
        <is>
          <t>9%</t>
        </is>
      </c>
      <c r="D386" t="n">
        <v>7100</v>
      </c>
      <c r="E386" t="n">
        <v>7800</v>
      </c>
      <c r="F386" t="n">
        <v>7100</v>
      </c>
      <c r="G386" t="n">
        <v>7800</v>
      </c>
      <c r="H386" t="n">
        <v>7100</v>
      </c>
      <c r="I386" t="n">
        <v>7800</v>
      </c>
      <c r="J386" t="b">
        <v>1</v>
      </c>
      <c r="K386" t="inlineStr">
        <is>
          <t>Unilever Indonesia Official Shop</t>
        </is>
      </c>
      <c r="L386" t="inlineStr">
        <is>
          <t>KOTA BEKASI</t>
        </is>
      </c>
      <c r="M386" t="n">
        <v>6928211334</v>
      </c>
      <c r="N386" t="n">
        <v>14318452</v>
      </c>
      <c r="O386">
        <f>HYPERLINK("https://shopee.co.id/api/v4/item/get?itemid=6928211334&amp;shopid=14318452", "Jawara Saus Sambal Bawang Goreng Extra Hot Pouch 120Ml")</f>
        <v/>
      </c>
      <c r="P386" t="n">
        <v>817</v>
      </c>
      <c r="Q386" t="n">
        <v>894</v>
      </c>
      <c r="R386" t="n">
        <v>4.924911961831194</v>
      </c>
      <c r="S386" t="n">
        <v>19</v>
      </c>
      <c r="T386" t="n">
        <v>7</v>
      </c>
      <c r="U386" t="n">
        <v>65</v>
      </c>
      <c r="V386" t="n">
        <v>447</v>
      </c>
      <c r="W386" t="n">
        <v>8271</v>
      </c>
    </row>
    <row r="387">
      <c r="A387" t="inlineStr">
        <is>
          <t>Zwitsal Baby Bath Natural Dengan Minyak Telon Pump 300 ml</t>
        </is>
      </c>
      <c r="B387" t="inlineStr">
        <is>
          <t>0</t>
        </is>
      </c>
      <c r="C387" t="inlineStr">
        <is>
          <t>17%</t>
        </is>
      </c>
      <c r="D387" t="n">
        <v>30200</v>
      </c>
      <c r="E387" t="n">
        <v>36500</v>
      </c>
      <c r="F387" t="n">
        <v>30200</v>
      </c>
      <c r="G387" t="n">
        <v>36500</v>
      </c>
      <c r="H387" t="n">
        <v>30200</v>
      </c>
      <c r="I387" t="n">
        <v>36500</v>
      </c>
      <c r="J387" t="b">
        <v>1</v>
      </c>
      <c r="K387" t="inlineStr">
        <is>
          <t>Unilever Indonesia Official Shop</t>
        </is>
      </c>
      <c r="L387" t="inlineStr">
        <is>
          <t>KOTA BEKASI</t>
        </is>
      </c>
      <c r="M387" t="n">
        <v>976680617</v>
      </c>
      <c r="N387" t="n">
        <v>14318452</v>
      </c>
      <c r="O387">
        <f>HYPERLINK("https://shopee.co.id/api/v4/item/get?itemid=976680617&amp;shopid=14318452", "Zwitsal Baby Bath Natural Dengan Minyak Telon Pump 300 ml")</f>
        <v/>
      </c>
      <c r="P387" t="n">
        <v>515</v>
      </c>
      <c r="Q387" t="n">
        <v>178</v>
      </c>
      <c r="R387" t="n">
        <v>4.914625340221074</v>
      </c>
      <c r="S387" t="n">
        <v>46</v>
      </c>
      <c r="T387" t="n">
        <v>55</v>
      </c>
      <c r="U387" t="n">
        <v>159</v>
      </c>
      <c r="V387" t="n">
        <v>883</v>
      </c>
      <c r="W387" t="n">
        <v>16864</v>
      </c>
    </row>
    <row r="388">
      <c r="A388" t="inlineStr">
        <is>
          <t>Pepsodent Pasta Gigi Sweet Strawberry 50 gr x2</t>
        </is>
      </c>
      <c r="B388" t="inlineStr">
        <is>
          <t>0</t>
        </is>
      </c>
      <c r="C388" t="inlineStr">
        <is>
          <t>18%</t>
        </is>
      </c>
      <c r="D388" t="n">
        <v>10700</v>
      </c>
      <c r="E388" t="n">
        <v>13000</v>
      </c>
      <c r="F388" t="n">
        <v>10700</v>
      </c>
      <c r="G388" t="n">
        <v>13000</v>
      </c>
      <c r="H388" t="n">
        <v>10700</v>
      </c>
      <c r="I388" t="n">
        <v>13000</v>
      </c>
      <c r="J388" t="b">
        <v>1</v>
      </c>
      <c r="K388" t="inlineStr">
        <is>
          <t>Unilever Indonesia Official Shop</t>
        </is>
      </c>
      <c r="L388" t="inlineStr">
        <is>
          <t>KOTA BEKASI</t>
        </is>
      </c>
      <c r="M388" t="n">
        <v>3547695935</v>
      </c>
      <c r="N388" t="n">
        <v>14318452</v>
      </c>
      <c r="O388">
        <f>HYPERLINK("https://shopee.co.id/api/v4/item/get?itemid=3547695935&amp;shopid=14318452", "Pepsodent Pasta Gigi Sweet Strawberry 50 gr x2")</f>
        <v/>
      </c>
      <c r="P388" t="n">
        <v>2429</v>
      </c>
      <c r="Q388" t="n">
        <v>10398</v>
      </c>
      <c r="R388" t="n">
        <v>4.938565055218313</v>
      </c>
      <c r="S388" t="n">
        <v>18</v>
      </c>
      <c r="T388" t="n">
        <v>12</v>
      </c>
      <c r="U388" t="n">
        <v>66</v>
      </c>
      <c r="V388" t="n">
        <v>606</v>
      </c>
      <c r="W388" t="n">
        <v>12973</v>
      </c>
    </row>
    <row r="389">
      <c r="A389" t="inlineStr">
        <is>
          <t>Lifebuoy Anti Dandruff Shampo Rambut Anti Ketombe Active Zinc 170ml Lawan Bakteri</t>
        </is>
      </c>
      <c r="B389" t="inlineStr">
        <is>
          <t>0</t>
        </is>
      </c>
      <c r="C389" t="inlineStr">
        <is>
          <t>1%</t>
        </is>
      </c>
      <c r="D389" t="n">
        <v>28000</v>
      </c>
      <c r="E389" t="n">
        <v>28200</v>
      </c>
      <c r="F389" t="n">
        <v>28000</v>
      </c>
      <c r="G389" t="n">
        <v>28200</v>
      </c>
      <c r="H389" t="n">
        <v>28000</v>
      </c>
      <c r="I389" t="n">
        <v>28200</v>
      </c>
      <c r="J389" t="b">
        <v>1</v>
      </c>
      <c r="K389" t="inlineStr">
        <is>
          <t>Unilever Indonesia Official Shop</t>
        </is>
      </c>
      <c r="L389" t="inlineStr">
        <is>
          <t>KOTA BEKASI</t>
        </is>
      </c>
      <c r="M389" t="n">
        <v>224777292</v>
      </c>
      <c r="N389" t="n">
        <v>14318452</v>
      </c>
      <c r="O389">
        <f>HYPERLINK("https://shopee.co.id/api/v4/item/get?itemid=224777292&amp;shopid=14318452", "Lifebuoy Anti Dandruff Shampo Rambut Anti Ketombe Active Zinc 170ml Lawan Bakteri")</f>
        <v/>
      </c>
      <c r="P389" t="n">
        <v>287</v>
      </c>
      <c r="Q389" t="n">
        <v>1230</v>
      </c>
      <c r="R389" t="n">
        <v>4.922943722943723</v>
      </c>
      <c r="S389" t="n">
        <v>30</v>
      </c>
      <c r="T389" t="n">
        <v>19</v>
      </c>
      <c r="U389" t="n">
        <v>106</v>
      </c>
      <c r="V389" t="n">
        <v>775</v>
      </c>
      <c r="W389" t="n">
        <v>14087</v>
      </c>
    </row>
    <row r="390">
      <c r="A390" t="inlineStr">
        <is>
          <t>Clear Men Shampoo Anti Dandruff Cool Sport Menthol 2X Lebih Efektif Melawan Ketombe 300Ml</t>
        </is>
      </c>
      <c r="B390" t="inlineStr">
        <is>
          <t>Clear</t>
        </is>
      </c>
      <c r="C390" t="inlineStr">
        <is>
          <t>15%</t>
        </is>
      </c>
      <c r="D390" t="n">
        <v>54200</v>
      </c>
      <c r="E390" t="n">
        <v>63500</v>
      </c>
      <c r="F390" t="n">
        <v>54200</v>
      </c>
      <c r="G390" t="n">
        <v>63500</v>
      </c>
      <c r="H390" t="n">
        <v>54200</v>
      </c>
      <c r="I390" t="n">
        <v>63500</v>
      </c>
      <c r="J390" t="b">
        <v>1</v>
      </c>
      <c r="K390" t="inlineStr">
        <is>
          <t>Unilever Indonesia Official Shop</t>
        </is>
      </c>
      <c r="L390" t="inlineStr">
        <is>
          <t>KOTA BEKASI</t>
        </is>
      </c>
      <c r="M390" t="n">
        <v>1465740186</v>
      </c>
      <c r="N390" t="n">
        <v>14318452</v>
      </c>
      <c r="O390">
        <f>HYPERLINK("https://shopee.co.id/api/v4/item/get?itemid=1465740186&amp;shopid=14318452", "Clear Men Shampoo Anti Dandruff Cool Sport Menthol 2X Lebih Efektif Melawan Ketombe 300Ml")</f>
        <v/>
      </c>
      <c r="P390" t="n">
        <v>284</v>
      </c>
      <c r="Q390" t="n">
        <v>1010</v>
      </c>
      <c r="R390" t="n">
        <v>4.92095985442966</v>
      </c>
      <c r="S390" t="n">
        <v>31</v>
      </c>
      <c r="T390" t="n">
        <v>17</v>
      </c>
      <c r="U390" t="n">
        <v>69</v>
      </c>
      <c r="V390" t="n">
        <v>388</v>
      </c>
      <c r="W390" t="n">
        <v>8290</v>
      </c>
    </row>
    <row r="391">
      <c r="A391" t="inlineStr">
        <is>
          <t>Vaseline Lip Balm Pelembab &amp; Pencerah Bibir Original 10 G - Lip Care</t>
        </is>
      </c>
      <c r="B391" t="inlineStr"/>
      <c r="C391" t="inlineStr">
        <is>
          <t>13%</t>
        </is>
      </c>
      <c r="D391" t="n">
        <v>28000</v>
      </c>
      <c r="E391" t="n">
        <v>32300</v>
      </c>
      <c r="F391" t="n">
        <v>28000</v>
      </c>
      <c r="G391" t="n">
        <v>32300</v>
      </c>
      <c r="H391" t="n">
        <v>28000</v>
      </c>
      <c r="I391" t="n">
        <v>32300</v>
      </c>
      <c r="J391" t="b">
        <v>0</v>
      </c>
      <c r="K391" t="inlineStr">
        <is>
          <t>Unilever Indonesia Official Shop</t>
        </is>
      </c>
      <c r="L391" t="inlineStr">
        <is>
          <t>KOTA BEKASI</t>
        </is>
      </c>
      <c r="M391" t="n">
        <v>6083023559</v>
      </c>
      <c r="N391" t="n">
        <v>14318452</v>
      </c>
      <c r="O391">
        <f>HYPERLINK("https://shopee.co.id/api/v4/item/get?itemid=6083023559&amp;shopid=14318452", "Vaseline Lip Balm Pelembab &amp; Pencerah Bibir Original 10 G - Lip Care")</f>
        <v/>
      </c>
      <c r="P391" t="n">
        <v>471</v>
      </c>
      <c r="Q391" t="n">
        <v>630</v>
      </c>
      <c r="R391" t="n">
        <v>4.924995312207013</v>
      </c>
      <c r="S391" t="n">
        <v>4</v>
      </c>
      <c r="T391" t="n">
        <v>9</v>
      </c>
      <c r="U391" t="n">
        <v>32</v>
      </c>
      <c r="V391" t="n">
        <v>296</v>
      </c>
      <c r="W391" t="n">
        <v>4993</v>
      </c>
    </row>
    <row r="392">
      <c r="A392" t="inlineStr">
        <is>
          <t>Tresemme Hair Fall Control Shampoo 170Ml</t>
        </is>
      </c>
      <c r="B392" t="inlineStr">
        <is>
          <t>Tresemme</t>
        </is>
      </c>
      <c r="C392" t="inlineStr">
        <is>
          <t>11%</t>
        </is>
      </c>
      <c r="D392" t="n">
        <v>33000</v>
      </c>
      <c r="E392" t="n">
        <v>37100</v>
      </c>
      <c r="F392" t="n">
        <v>33000</v>
      </c>
      <c r="G392" t="n">
        <v>37100</v>
      </c>
      <c r="H392" t="n">
        <v>33000</v>
      </c>
      <c r="I392" t="n">
        <v>37100</v>
      </c>
      <c r="J392" t="b">
        <v>1</v>
      </c>
      <c r="K392" t="inlineStr">
        <is>
          <t>Unilever Indonesia Official Shop</t>
        </is>
      </c>
      <c r="L392" t="inlineStr">
        <is>
          <t>KOTA BEKASI</t>
        </is>
      </c>
      <c r="M392" t="n">
        <v>1515340659</v>
      </c>
      <c r="N392" t="n">
        <v>14318452</v>
      </c>
      <c r="O392">
        <f>HYPERLINK("https://shopee.co.id/api/v4/item/get?itemid=1515340659&amp;shopid=14318452", "Tresemme Hair Fall Control Shampoo 170Ml")</f>
        <v/>
      </c>
      <c r="P392" t="n">
        <v>614</v>
      </c>
      <c r="Q392" t="n">
        <v>607</v>
      </c>
      <c r="R392" t="n">
        <v>4.875340043525571</v>
      </c>
      <c r="S392" t="n">
        <v>57</v>
      </c>
      <c r="T392" t="n">
        <v>50</v>
      </c>
      <c r="U392" t="n">
        <v>238</v>
      </c>
      <c r="V392" t="n">
        <v>1003</v>
      </c>
      <c r="W392" t="n">
        <v>13363</v>
      </c>
    </row>
    <row r="393">
      <c r="A393" t="inlineStr">
        <is>
          <t>Glow &amp; Lovely Krim Pencerah Harian 46g - Twin Pack</t>
        </is>
      </c>
      <c r="B393" t="inlineStr">
        <is>
          <t>Fair &amp; Lovely</t>
        </is>
      </c>
      <c r="C393" t="inlineStr">
        <is>
          <t>16%</t>
        </is>
      </c>
      <c r="D393" t="n">
        <v>60800</v>
      </c>
      <c r="E393" t="n">
        <v>72500</v>
      </c>
      <c r="F393" t="n">
        <v>60800</v>
      </c>
      <c r="G393" t="n">
        <v>72500</v>
      </c>
      <c r="H393" t="n">
        <v>60800</v>
      </c>
      <c r="I393" t="n">
        <v>72500</v>
      </c>
      <c r="J393" t="b">
        <v>1</v>
      </c>
      <c r="K393" t="inlineStr">
        <is>
          <t>Unilever Indonesia Official Shop</t>
        </is>
      </c>
      <c r="L393" t="inlineStr">
        <is>
          <t>KOTA BEKASI</t>
        </is>
      </c>
      <c r="M393" t="n">
        <v>3531115112</v>
      </c>
      <c r="N393" t="n">
        <v>14318452</v>
      </c>
      <c r="O393">
        <f>HYPERLINK("https://shopee.co.id/api/v4/item/get?itemid=3531115112&amp;shopid=14318452", "Glow &amp; Lovely Krim Pencerah Harian 46g - Twin Pack")</f>
        <v/>
      </c>
      <c r="P393" t="n">
        <v>166</v>
      </c>
      <c r="Q393" t="n">
        <v>837</v>
      </c>
      <c r="R393" t="n">
        <v>4.913987473903966</v>
      </c>
      <c r="S393" t="n">
        <v>6</v>
      </c>
      <c r="T393" t="n">
        <v>8</v>
      </c>
      <c r="U393" t="n">
        <v>19</v>
      </c>
      <c r="V393" t="n">
        <v>123</v>
      </c>
      <c r="W393" t="n">
        <v>2240</v>
      </c>
    </row>
    <row r="394">
      <c r="A394" t="inlineStr">
        <is>
          <t>Rinso Molto Detergen Bubuk Japanese Peach 770G</t>
        </is>
      </c>
      <c r="B394" t="inlineStr">
        <is>
          <t>Molto</t>
        </is>
      </c>
      <c r="C394" t="inlineStr">
        <is>
          <t>26%</t>
        </is>
      </c>
      <c r="D394" t="n">
        <v>25500</v>
      </c>
      <c r="E394" t="n">
        <v>34300</v>
      </c>
      <c r="F394" t="n">
        <v>25500</v>
      </c>
      <c r="G394" t="n">
        <v>34300</v>
      </c>
      <c r="H394" t="n">
        <v>25500</v>
      </c>
      <c r="I394" t="n">
        <v>34300</v>
      </c>
      <c r="J394" t="b">
        <v>1</v>
      </c>
      <c r="K394" t="inlineStr">
        <is>
          <t>Unilever Indonesia Official Shop</t>
        </is>
      </c>
      <c r="L394" t="inlineStr">
        <is>
          <t>KOTA BEKASI</t>
        </is>
      </c>
      <c r="M394" t="n">
        <v>6328220410</v>
      </c>
      <c r="N394" t="n">
        <v>14318452</v>
      </c>
      <c r="O394">
        <f>HYPERLINK("https://shopee.co.id/api/v4/item/get?itemid=6328220410&amp;shopid=14318452", "Rinso Molto Detergen Bubuk Japanese Peach 770G")</f>
        <v/>
      </c>
      <c r="P394" t="n">
        <v>236</v>
      </c>
      <c r="Q394" t="n">
        <v>282</v>
      </c>
      <c r="R394" t="n">
        <v>4.944785926239932</v>
      </c>
      <c r="S394" t="n">
        <v>13</v>
      </c>
      <c r="T394" t="n">
        <v>10</v>
      </c>
      <c r="U394" t="n">
        <v>42</v>
      </c>
      <c r="V394" t="n">
        <v>365</v>
      </c>
      <c r="W394" t="n">
        <v>9009</v>
      </c>
    </row>
    <row r="395">
      <c r="A395" t="inlineStr">
        <is>
          <t>Zwitsal Baby Wipes Tissue Basah Sensitive 50 Sheets</t>
        </is>
      </c>
      <c r="B395" t="inlineStr"/>
      <c r="C395" t="inlineStr">
        <is>
          <t>23%</t>
        </is>
      </c>
      <c r="D395" t="n">
        <v>13900</v>
      </c>
      <c r="E395" t="n">
        <v>18000</v>
      </c>
      <c r="F395" t="n">
        <v>13900</v>
      </c>
      <c r="G395" t="n">
        <v>18000</v>
      </c>
      <c r="H395" t="n">
        <v>13900</v>
      </c>
      <c r="I395" t="n">
        <v>18000</v>
      </c>
      <c r="J395" t="b">
        <v>1</v>
      </c>
      <c r="K395" t="inlineStr">
        <is>
          <t>Unilever Indonesia Official Shop</t>
        </is>
      </c>
      <c r="L395" t="inlineStr">
        <is>
          <t>KOTA SEMARANG</t>
        </is>
      </c>
      <c r="M395" t="n">
        <v>8935269109</v>
      </c>
      <c r="N395" t="n">
        <v>14318452</v>
      </c>
      <c r="O395">
        <f>HYPERLINK("https://shopee.co.id/api/v4/item/get?itemid=8935269109&amp;shopid=14318452", "Zwitsal Baby Wipes Tissue Basah Sensitive 50 Sheets")</f>
        <v/>
      </c>
      <c r="P395" t="n">
        <v>491</v>
      </c>
      <c r="Q395" t="n">
        <v>288</v>
      </c>
      <c r="R395" t="n">
        <v>4.915300546448087</v>
      </c>
      <c r="S395" t="n">
        <v>7</v>
      </c>
      <c r="T395" t="n">
        <v>1</v>
      </c>
      <c r="U395" t="n">
        <v>20</v>
      </c>
      <c r="V395" t="n">
        <v>119</v>
      </c>
      <c r="W395" t="n">
        <v>2050</v>
      </c>
    </row>
    <row r="396">
      <c r="A396" t="inlineStr">
        <is>
          <t>Lifebuoy Body Wash Refill Shiso &amp; Mineral Clay 825ml</t>
        </is>
      </c>
      <c r="B396" t="inlineStr"/>
      <c r="C396" t="inlineStr">
        <is>
          <t>22%</t>
        </is>
      </c>
      <c r="D396" t="n">
        <v>40400</v>
      </c>
      <c r="E396" t="n">
        <v>52000</v>
      </c>
      <c r="F396" t="n">
        <v>40400</v>
      </c>
      <c r="G396" t="n">
        <v>52000</v>
      </c>
      <c r="H396" t="n">
        <v>40400</v>
      </c>
      <c r="I396" t="n">
        <v>52000</v>
      </c>
      <c r="J396" t="b">
        <v>1</v>
      </c>
      <c r="K396" t="inlineStr">
        <is>
          <t>Unilever Indonesia Official Shop</t>
        </is>
      </c>
      <c r="L396" t="inlineStr">
        <is>
          <t>KOTA BEKASI</t>
        </is>
      </c>
      <c r="M396" t="n">
        <v>8551349942</v>
      </c>
      <c r="N396" t="n">
        <v>14318452</v>
      </c>
      <c r="O396">
        <f>HYPERLINK("https://shopee.co.id/api/v4/item/get?itemid=8551349942&amp;shopid=14318452", "Lifebuoy Body Wash Refill Shiso &amp; Mineral Clay 825ml")</f>
        <v/>
      </c>
      <c r="P396" t="n">
        <v>1180</v>
      </c>
      <c r="Q396" t="n">
        <v>1856</v>
      </c>
      <c r="R396" t="n">
        <v>4.919562841530055</v>
      </c>
      <c r="S396" t="n">
        <v>21</v>
      </c>
      <c r="T396" t="n">
        <v>10</v>
      </c>
      <c r="U396" t="n">
        <v>34</v>
      </c>
      <c r="V396" t="n">
        <v>189</v>
      </c>
      <c r="W396" t="n">
        <v>4322</v>
      </c>
    </row>
    <row r="397">
      <c r="A397" t="inlineStr">
        <is>
          <t>Ponds Age Miracle Night Cream Moisturizer Anti Aging+Glowing With Retinol &amp; Spf18 50G</t>
        </is>
      </c>
      <c r="B397" t="inlineStr">
        <is>
          <t>Pond's</t>
        </is>
      </c>
      <c r="C397" t="inlineStr">
        <is>
          <t>32%</t>
        </is>
      </c>
      <c r="D397" t="n">
        <v>141400</v>
      </c>
      <c r="E397" t="n">
        <v>207600</v>
      </c>
      <c r="F397" t="n">
        <v>141400</v>
      </c>
      <c r="G397" t="n">
        <v>207600</v>
      </c>
      <c r="H397" t="n">
        <v>141400</v>
      </c>
      <c r="I397" t="n">
        <v>207600</v>
      </c>
      <c r="J397" t="b">
        <v>1</v>
      </c>
      <c r="K397" t="inlineStr">
        <is>
          <t>Unilever Indonesia Official Shop</t>
        </is>
      </c>
      <c r="L397" t="inlineStr">
        <is>
          <t>KOTA BEKASI</t>
        </is>
      </c>
      <c r="M397" t="n">
        <v>127358339</v>
      </c>
      <c r="N397" t="n">
        <v>14318452</v>
      </c>
      <c r="O397">
        <f>HYPERLINK("https://shopee.co.id/api/v4/item/get?itemid=127358339&amp;shopid=14318452", "Ponds Age Miracle Night Cream Moisturizer Anti Aging+Glowing With Retinol &amp; Spf18 50G")</f>
        <v/>
      </c>
      <c r="P397" t="n">
        <v>436</v>
      </c>
      <c r="Q397" t="n">
        <v>77</v>
      </c>
      <c r="R397" t="n">
        <v>4.939987636121546</v>
      </c>
      <c r="S397" t="n">
        <v>27</v>
      </c>
      <c r="T397" t="n">
        <v>19</v>
      </c>
      <c r="U397" t="n">
        <v>92</v>
      </c>
      <c r="V397" t="n">
        <v>913</v>
      </c>
      <c r="W397" t="n">
        <v>19991</v>
      </c>
    </row>
    <row r="398">
      <c r="A398" t="inlineStr">
        <is>
          <t>Ponds Age Miracle Serum Wajah Anti Aging +Glowing Serum With Retinol&amp;Niacinamide 15Ml</t>
        </is>
      </c>
      <c r="B398" t="inlineStr">
        <is>
          <t>Pond's</t>
        </is>
      </c>
      <c r="C398" t="inlineStr">
        <is>
          <t>15%</t>
        </is>
      </c>
      <c r="D398" t="n">
        <v>79300</v>
      </c>
      <c r="E398" t="n">
        <v>93300</v>
      </c>
      <c r="F398" t="n">
        <v>79300</v>
      </c>
      <c r="G398" t="n">
        <v>93300</v>
      </c>
      <c r="H398" t="n">
        <v>79300</v>
      </c>
      <c r="I398" t="n">
        <v>93300</v>
      </c>
      <c r="J398" t="b">
        <v>0</v>
      </c>
      <c r="K398" t="inlineStr">
        <is>
          <t>Unilever Indonesia Official Shop</t>
        </is>
      </c>
      <c r="L398" t="inlineStr">
        <is>
          <t>KOTA BEKASI</t>
        </is>
      </c>
      <c r="M398" t="n">
        <v>4879449161</v>
      </c>
      <c r="N398" t="n">
        <v>14318452</v>
      </c>
      <c r="O398">
        <f>HYPERLINK("https://shopee.co.id/api/v4/item/get?itemid=4879449161&amp;shopid=14318452", "Ponds Age Miracle Serum Wajah Anti Aging +Glowing Serum With Retinol&amp;Niacinamide 15Ml")</f>
        <v/>
      </c>
      <c r="P398" t="n">
        <v>1598</v>
      </c>
      <c r="Q398" t="n">
        <v>938</v>
      </c>
      <c r="R398" t="n">
        <v>4.91350453558196</v>
      </c>
      <c r="S398" t="n">
        <v>31</v>
      </c>
      <c r="T398" t="n">
        <v>16</v>
      </c>
      <c r="U398" t="n">
        <v>92</v>
      </c>
      <c r="V398" t="n">
        <v>1009</v>
      </c>
      <c r="W398" t="n">
        <v>14509</v>
      </c>
    </row>
    <row r="399">
      <c r="A399" t="inlineStr">
        <is>
          <t>Lifebuoy Antibacterial Body Wash Sabun Mandi Cair Mild Care 100 ml</t>
        </is>
      </c>
      <c r="B399" t="inlineStr">
        <is>
          <t>0</t>
        </is>
      </c>
      <c r="C399" t="inlineStr">
        <is>
          <t>10%</t>
        </is>
      </c>
      <c r="D399" t="n">
        <v>16600</v>
      </c>
      <c r="E399" t="n">
        <v>18500</v>
      </c>
      <c r="F399" t="n">
        <v>16600</v>
      </c>
      <c r="G399" t="n">
        <v>18500</v>
      </c>
      <c r="H399" t="n">
        <v>16600</v>
      </c>
      <c r="I399" t="n">
        <v>18500</v>
      </c>
      <c r="J399" t="b">
        <v>1</v>
      </c>
      <c r="K399" t="inlineStr">
        <is>
          <t>Unilever Indonesia Official Shop</t>
        </is>
      </c>
      <c r="L399" t="inlineStr">
        <is>
          <t>KOTA BEKASI</t>
        </is>
      </c>
      <c r="M399" t="n">
        <v>1008956369</v>
      </c>
      <c r="N399" t="n">
        <v>14318452</v>
      </c>
      <c r="O399">
        <f>HYPERLINK("https://shopee.co.id/api/v4/item/get?itemid=1008956369&amp;shopid=14318452", "Lifebuoy Antibacterial Body Wash Sabun Mandi Cair Mild Care 100 ml")</f>
        <v/>
      </c>
      <c r="P399" t="n">
        <v>266</v>
      </c>
      <c r="Q399" t="n">
        <v>128</v>
      </c>
      <c r="R399" t="n">
        <v>4.928698050029545</v>
      </c>
      <c r="S399" t="n">
        <v>12</v>
      </c>
      <c r="T399" t="n">
        <v>5</v>
      </c>
      <c r="U399" t="n">
        <v>38</v>
      </c>
      <c r="V399" t="n">
        <v>230</v>
      </c>
      <c r="W399" t="n">
        <v>4794</v>
      </c>
    </row>
    <row r="400">
      <c r="A400" t="inlineStr">
        <is>
          <t>Pepsodent Sensitive Mineral Expert Pasta Gigi Gum Care Pasta Gigi Sensitive 100G</t>
        </is>
      </c>
      <c r="B400" t="inlineStr">
        <is>
          <t>0</t>
        </is>
      </c>
      <c r="C400" t="inlineStr">
        <is>
          <t>27%</t>
        </is>
      </c>
      <c r="D400" t="n">
        <v>27700</v>
      </c>
      <c r="E400" t="n">
        <v>37700</v>
      </c>
      <c r="F400" t="n">
        <v>27700</v>
      </c>
      <c r="G400" t="n">
        <v>37700</v>
      </c>
      <c r="H400" t="n">
        <v>27700</v>
      </c>
      <c r="I400" t="n">
        <v>37700</v>
      </c>
      <c r="J400" t="b">
        <v>1</v>
      </c>
      <c r="K400" t="inlineStr">
        <is>
          <t>Unilever Indonesia Official Shop</t>
        </is>
      </c>
      <c r="L400" t="inlineStr">
        <is>
          <t>KOTA BEKASI</t>
        </is>
      </c>
      <c r="M400" t="n">
        <v>127358089</v>
      </c>
      <c r="N400" t="n">
        <v>14318452</v>
      </c>
      <c r="O400">
        <f>HYPERLINK("https://shopee.co.id/api/v4/item/get?itemid=127358089&amp;shopid=14318452", "Pepsodent Sensitive Mineral Expert Pasta Gigi Gum Care Pasta Gigi Sensitive 100G")</f>
        <v/>
      </c>
      <c r="P400" t="n">
        <v>689</v>
      </c>
      <c r="Q400" t="n">
        <v>373</v>
      </c>
      <c r="R400" t="n">
        <v>4.918659386179627</v>
      </c>
      <c r="S400" t="n">
        <v>21</v>
      </c>
      <c r="T400" t="n">
        <v>23</v>
      </c>
      <c r="U400" t="n">
        <v>73</v>
      </c>
      <c r="V400" t="n">
        <v>565</v>
      </c>
      <c r="W400" t="n">
        <v>9940</v>
      </c>
    </row>
    <row r="401">
      <c r="A401" t="inlineStr">
        <is>
          <t>Ponds Bright Beauty Shake &amp; Clean 100ml</t>
        </is>
      </c>
      <c r="B401" t="inlineStr">
        <is>
          <t>Pond's</t>
        </is>
      </c>
      <c r="C401" t="inlineStr">
        <is>
          <t>11%</t>
        </is>
      </c>
      <c r="D401" t="n">
        <v>27200</v>
      </c>
      <c r="E401" t="n">
        <v>30700</v>
      </c>
      <c r="F401" t="n">
        <v>27200</v>
      </c>
      <c r="G401" t="n">
        <v>30700</v>
      </c>
      <c r="H401" t="n">
        <v>27200</v>
      </c>
      <c r="I401" t="n">
        <v>30700</v>
      </c>
      <c r="J401" t="b">
        <v>1</v>
      </c>
      <c r="K401" t="inlineStr">
        <is>
          <t>Unilever Indonesia Official Shop</t>
        </is>
      </c>
      <c r="L401" t="inlineStr">
        <is>
          <t>KOTA BEKASI</t>
        </is>
      </c>
      <c r="M401" t="n">
        <v>127358181</v>
      </c>
      <c r="N401" t="n">
        <v>14318452</v>
      </c>
      <c r="O401">
        <f>HYPERLINK("https://shopee.co.id/api/v4/item/get?itemid=127358181&amp;shopid=14318452", "Ponds Bright Beauty Shake &amp; Clean 100ml")</f>
        <v/>
      </c>
      <c r="P401" t="n">
        <v>256</v>
      </c>
      <c r="Q401" t="n">
        <v>413</v>
      </c>
      <c r="R401" t="n">
        <v>4.935141117874931</v>
      </c>
      <c r="S401" t="n">
        <v>16</v>
      </c>
      <c r="T401" t="n">
        <v>16</v>
      </c>
      <c r="U401" t="n">
        <v>48</v>
      </c>
      <c r="V401" t="n">
        <v>385</v>
      </c>
      <c r="W401" t="n">
        <v>8572</v>
      </c>
    </row>
    <row r="402">
      <c r="A402" t="inlineStr">
        <is>
          <t>Molto Trika Pelicin Pakaian Pewangi Baju Japanese Peach 400Ml Wangi Tahan Lama 72 Jam</t>
        </is>
      </c>
      <c r="B402" t="inlineStr">
        <is>
          <t>Molto</t>
        </is>
      </c>
      <c r="C402" t="inlineStr">
        <is>
          <t>6%</t>
        </is>
      </c>
      <c r="D402" t="n">
        <v>8200</v>
      </c>
      <c r="E402" t="n">
        <v>8700</v>
      </c>
      <c r="F402" t="n">
        <v>8200</v>
      </c>
      <c r="G402" t="n">
        <v>8700</v>
      </c>
      <c r="H402" t="n">
        <v>8200</v>
      </c>
      <c r="I402" t="n">
        <v>8700</v>
      </c>
      <c r="J402" t="b">
        <v>1</v>
      </c>
      <c r="K402" t="inlineStr">
        <is>
          <t>Unilever Indonesia Official Shop</t>
        </is>
      </c>
      <c r="L402" t="inlineStr">
        <is>
          <t>KOTA BEKASI</t>
        </is>
      </c>
      <c r="M402" t="n">
        <v>5528219654</v>
      </c>
      <c r="N402" t="n">
        <v>14318452</v>
      </c>
      <c r="O402">
        <f>HYPERLINK("https://shopee.co.id/api/v4/item/get?itemid=5528219654&amp;shopid=14318452", "Molto Trika Pelicin Pakaian Pewangi Baju Japanese Peach 400Ml Wangi Tahan Lama 72 Jam")</f>
        <v/>
      </c>
      <c r="P402" t="n">
        <v>1701</v>
      </c>
      <c r="Q402" t="n">
        <v>5931</v>
      </c>
      <c r="R402" t="n">
        <v>4.937487973831057</v>
      </c>
      <c r="S402" t="n">
        <v>105</v>
      </c>
      <c r="T402" t="n">
        <v>63</v>
      </c>
      <c r="U402" t="n">
        <v>372</v>
      </c>
      <c r="V402" t="n">
        <v>3903</v>
      </c>
      <c r="W402" t="n">
        <v>78731</v>
      </c>
    </row>
    <row r="403">
      <c r="A403" t="inlineStr">
        <is>
          <t>Pepsodent Pasta Gigi Complete 8 Plus Whitening Toothpaste 190G Multi Pack</t>
        </is>
      </c>
      <c r="B403" t="inlineStr">
        <is>
          <t>Pepsodent</t>
        </is>
      </c>
      <c r="C403" t="inlineStr">
        <is>
          <t>23%</t>
        </is>
      </c>
      <c r="D403" t="n">
        <v>52500</v>
      </c>
      <c r="E403" t="n">
        <v>68500</v>
      </c>
      <c r="F403" t="n">
        <v>52500</v>
      </c>
      <c r="G403" t="n">
        <v>68500</v>
      </c>
      <c r="H403" t="n">
        <v>52500</v>
      </c>
      <c r="I403" t="n">
        <v>68500</v>
      </c>
      <c r="J403" t="b">
        <v>1</v>
      </c>
      <c r="K403" t="inlineStr">
        <is>
          <t>Unilever Indonesia Official Shop</t>
        </is>
      </c>
      <c r="L403" t="inlineStr">
        <is>
          <t>KOTA BEKASI</t>
        </is>
      </c>
      <c r="M403" t="n">
        <v>9617201582</v>
      </c>
      <c r="N403" t="n">
        <v>14318452</v>
      </c>
      <c r="O403">
        <f>HYPERLINK("https://shopee.co.id/api/v4/item/get?itemid=9617201582&amp;shopid=14318452", "Pepsodent Pasta Gigi Complete 8 Plus Whitening Toothpaste 190G Multi Pack")</f>
        <v/>
      </c>
      <c r="P403" t="n">
        <v>721</v>
      </c>
      <c r="Q403" t="n">
        <v>2081</v>
      </c>
      <c r="R403" t="n">
        <v>4.889009009009009</v>
      </c>
      <c r="S403" t="n">
        <v>15</v>
      </c>
      <c r="T403" t="n">
        <v>15</v>
      </c>
      <c r="U403" t="n">
        <v>40</v>
      </c>
      <c r="V403" t="n">
        <v>129</v>
      </c>
      <c r="W403" t="n">
        <v>2578</v>
      </c>
    </row>
    <row r="404">
      <c r="A404" t="inlineStr">
        <is>
          <t>Molto Pelembut Dan Pewangi Pakaian Japanese Peach 720 Ml - Pelembut Baju Pouch</t>
        </is>
      </c>
      <c r="B404" t="inlineStr">
        <is>
          <t>Molto</t>
        </is>
      </c>
      <c r="C404" t="inlineStr">
        <is>
          <t>14%</t>
        </is>
      </c>
      <c r="D404" t="n">
        <v>22400</v>
      </c>
      <c r="E404" t="n">
        <v>26100</v>
      </c>
      <c r="F404" t="n">
        <v>22400</v>
      </c>
      <c r="G404" t="n">
        <v>26100</v>
      </c>
      <c r="H404" t="n">
        <v>22400</v>
      </c>
      <c r="I404" t="n">
        <v>26100</v>
      </c>
      <c r="J404" t="b">
        <v>1</v>
      </c>
      <c r="K404" t="inlineStr">
        <is>
          <t>Unilever Indonesia Official Shop</t>
        </is>
      </c>
      <c r="L404" t="inlineStr">
        <is>
          <t>KAB. BANYUASIN</t>
        </is>
      </c>
      <c r="M404" t="n">
        <v>4528221249</v>
      </c>
      <c r="N404" t="n">
        <v>14318452</v>
      </c>
      <c r="O404">
        <f>HYPERLINK("https://shopee.co.id/api/v4/item/get?itemid=4528221249&amp;shopid=14318452", "Molto Pelembut Dan Pewangi Pakaian Japanese Peach 720 Ml - Pelembut Baju Pouch")</f>
        <v/>
      </c>
      <c r="P404" t="n">
        <v>279</v>
      </c>
      <c r="Q404" t="n">
        <v>29</v>
      </c>
      <c r="R404" t="n">
        <v>4.949274094804967</v>
      </c>
      <c r="S404" t="n">
        <v>27</v>
      </c>
      <c r="T404" t="n">
        <v>14</v>
      </c>
      <c r="U404" t="n">
        <v>59</v>
      </c>
      <c r="V404" t="n">
        <v>616</v>
      </c>
      <c r="W404" t="n">
        <v>16444</v>
      </c>
    </row>
    <row r="405">
      <c r="A405" t="inlineStr">
        <is>
          <t>Vaseline Lotion Healthy Bright Insta Radiance 190ml</t>
        </is>
      </c>
      <c r="B405" t="inlineStr">
        <is>
          <t>0</t>
        </is>
      </c>
      <c r="C405" t="inlineStr">
        <is>
          <t>9%</t>
        </is>
      </c>
      <c r="D405" t="n">
        <v>44300</v>
      </c>
      <c r="E405" t="n">
        <v>48800</v>
      </c>
      <c r="F405" t="n">
        <v>44300</v>
      </c>
      <c r="G405" t="n">
        <v>48800</v>
      </c>
      <c r="H405" t="n">
        <v>44300</v>
      </c>
      <c r="I405" t="n">
        <v>48800</v>
      </c>
      <c r="J405" t="b">
        <v>1</v>
      </c>
      <c r="K405" t="inlineStr">
        <is>
          <t>Unilever Indonesia Official Shop</t>
        </is>
      </c>
      <c r="L405" t="inlineStr">
        <is>
          <t>KOTA BEKASI</t>
        </is>
      </c>
      <c r="M405" t="n">
        <v>127345848</v>
      </c>
      <c r="N405" t="n">
        <v>14318452</v>
      </c>
      <c r="O405">
        <f>HYPERLINK("https://shopee.co.id/api/v4/item/get?itemid=127345848&amp;shopid=14318452", "Vaseline Lotion Healthy Bright Insta Radiance 190ml")</f>
        <v/>
      </c>
      <c r="P405" t="n">
        <v>191</v>
      </c>
      <c r="Q405" t="n">
        <v>248</v>
      </c>
      <c r="R405" t="n">
        <v>4.918582803972443</v>
      </c>
      <c r="S405" t="n">
        <v>31</v>
      </c>
      <c r="T405" t="n">
        <v>14</v>
      </c>
      <c r="U405" t="n">
        <v>82</v>
      </c>
      <c r="V405" t="n">
        <v>580</v>
      </c>
      <c r="W405" t="n">
        <v>10470</v>
      </c>
    </row>
    <row r="406">
      <c r="A406" t="inlineStr">
        <is>
          <t>Ponds Men Facial Scrub Lightning Oil Clear 100g Anti Bakteri</t>
        </is>
      </c>
      <c r="B406" t="inlineStr">
        <is>
          <t>Pond's</t>
        </is>
      </c>
      <c r="C406" t="inlineStr">
        <is>
          <t>13%</t>
        </is>
      </c>
      <c r="D406" t="n">
        <v>33300</v>
      </c>
      <c r="E406" t="n">
        <v>38100</v>
      </c>
      <c r="F406" t="n">
        <v>33300</v>
      </c>
      <c r="G406" t="n">
        <v>38100</v>
      </c>
      <c r="H406" t="n">
        <v>33300</v>
      </c>
      <c r="I406" t="n">
        <v>38100</v>
      </c>
      <c r="J406" t="b">
        <v>1</v>
      </c>
      <c r="K406" t="inlineStr">
        <is>
          <t>Unilever Indonesia Official Shop</t>
        </is>
      </c>
      <c r="L406" t="inlineStr">
        <is>
          <t>KOTA BEKASI</t>
        </is>
      </c>
      <c r="M406" t="n">
        <v>2364537186</v>
      </c>
      <c r="N406" t="n">
        <v>14318452</v>
      </c>
      <c r="O406">
        <f>HYPERLINK("https://shopee.co.id/api/v4/item/get?itemid=2364537186&amp;shopid=14318452", "Ponds Men Facial Scrub Lightning Oil Clear 100g Anti Bakteri")</f>
        <v/>
      </c>
      <c r="P406" t="n">
        <v>513</v>
      </c>
      <c r="Q406" t="n">
        <v>489</v>
      </c>
      <c r="R406" t="n">
        <v>4.900356448476993</v>
      </c>
      <c r="S406" t="n">
        <v>19</v>
      </c>
      <c r="T406" t="n">
        <v>16</v>
      </c>
      <c r="U406" t="n">
        <v>74</v>
      </c>
      <c r="V406" t="n">
        <v>346</v>
      </c>
      <c r="W406" t="n">
        <v>5718</v>
      </c>
    </row>
    <row r="407">
      <c r="A407" t="inlineStr">
        <is>
          <t>Lux Blue Peony Sabun Cair Refill 400ml</t>
        </is>
      </c>
      <c r="B407" t="inlineStr">
        <is>
          <t>0</t>
        </is>
      </c>
      <c r="C407" t="inlineStr">
        <is>
          <t>24%</t>
        </is>
      </c>
      <c r="D407" t="n">
        <v>22500</v>
      </c>
      <c r="E407" t="n">
        <v>29500</v>
      </c>
      <c r="F407" t="n">
        <v>22500</v>
      </c>
      <c r="G407" t="n">
        <v>29500</v>
      </c>
      <c r="H407" t="n">
        <v>22500</v>
      </c>
      <c r="I407" t="n">
        <v>29500</v>
      </c>
      <c r="J407" t="b">
        <v>1</v>
      </c>
      <c r="K407" t="inlineStr">
        <is>
          <t>Unilever Indonesia Official Shop</t>
        </is>
      </c>
      <c r="L407" t="inlineStr">
        <is>
          <t>KOTA SEMARANG</t>
        </is>
      </c>
      <c r="M407" t="n">
        <v>127014697</v>
      </c>
      <c r="N407" t="n">
        <v>14318452</v>
      </c>
      <c r="O407">
        <f>HYPERLINK("https://shopee.co.id/api/v4/item/get?itemid=127014697&amp;shopid=14318452", "Lux Blue Peony Sabun Cair Refill 400ml")</f>
        <v/>
      </c>
      <c r="P407" t="n">
        <v>205</v>
      </c>
      <c r="Q407" t="n">
        <v>10</v>
      </c>
      <c r="R407" t="n">
        <v>4.922649285919678</v>
      </c>
      <c r="S407" t="n">
        <v>30</v>
      </c>
      <c r="T407" t="n">
        <v>23</v>
      </c>
      <c r="U407" t="n">
        <v>65</v>
      </c>
      <c r="V407" t="n">
        <v>494</v>
      </c>
      <c r="W407" t="n">
        <v>9823</v>
      </c>
    </row>
    <row r="408">
      <c r="A408" t="inlineStr">
        <is>
          <t>Dove Conditioner Perawatan Rambut Rusak Kondisioner 160 ML</t>
        </is>
      </c>
      <c r="B408" t="inlineStr">
        <is>
          <t>0</t>
        </is>
      </c>
      <c r="C408" t="inlineStr">
        <is>
          <t>3%</t>
        </is>
      </c>
      <c r="D408" t="n">
        <v>35400</v>
      </c>
      <c r="E408" t="n">
        <v>36400</v>
      </c>
      <c r="F408" t="n">
        <v>35400</v>
      </c>
      <c r="G408" t="n">
        <v>36400</v>
      </c>
      <c r="H408" t="n">
        <v>35400</v>
      </c>
      <c r="I408" t="n">
        <v>36400</v>
      </c>
      <c r="J408" t="b">
        <v>1</v>
      </c>
      <c r="K408" t="inlineStr">
        <is>
          <t>Unilever Indonesia Official Shop</t>
        </is>
      </c>
      <c r="L408" t="inlineStr">
        <is>
          <t>KOTA BEKASI</t>
        </is>
      </c>
      <c r="M408" t="n">
        <v>126957919</v>
      </c>
      <c r="N408" t="n">
        <v>14318452</v>
      </c>
      <c r="O408">
        <f>HYPERLINK("https://shopee.co.id/api/v4/item/get?itemid=126957919&amp;shopid=14318452", "Dove Conditioner Perawatan Rambut Rusak Kondisioner 160 ML")</f>
        <v/>
      </c>
      <c r="P408" t="n">
        <v>329</v>
      </c>
      <c r="Q408" t="n">
        <v>235</v>
      </c>
      <c r="R408" t="n">
        <v>4.925014068655036</v>
      </c>
      <c r="S408" t="n">
        <v>20</v>
      </c>
      <c r="T408" t="n">
        <v>11</v>
      </c>
      <c r="U408" t="n">
        <v>44</v>
      </c>
      <c r="V408" t="n">
        <v>339</v>
      </c>
      <c r="W408" t="n">
        <v>6696</v>
      </c>
    </row>
    <row r="409">
      <c r="A409" t="inlineStr">
        <is>
          <t>Pepsodent Pasta Gigi Pencegah Gigi Berlubang Fresh Cool Mint 190 gr</t>
        </is>
      </c>
      <c r="B409" t="inlineStr">
        <is>
          <t>0</t>
        </is>
      </c>
      <c r="C409" t="inlineStr">
        <is>
          <t>20%</t>
        </is>
      </c>
      <c r="D409" t="n">
        <v>12900</v>
      </c>
      <c r="E409" t="n">
        <v>16200</v>
      </c>
      <c r="F409" t="n">
        <v>12900</v>
      </c>
      <c r="G409" t="n">
        <v>16200</v>
      </c>
      <c r="H409" t="n">
        <v>12900</v>
      </c>
      <c r="I409" t="n">
        <v>16200</v>
      </c>
      <c r="J409" t="b">
        <v>1</v>
      </c>
      <c r="K409" t="inlineStr">
        <is>
          <t>Unilever Indonesia Official Shop</t>
        </is>
      </c>
      <c r="L409" t="inlineStr">
        <is>
          <t>KOTA BEKASI</t>
        </is>
      </c>
      <c r="M409" t="n">
        <v>1040153460</v>
      </c>
      <c r="N409" t="n">
        <v>14318452</v>
      </c>
      <c r="O409">
        <f>HYPERLINK("https://shopee.co.id/api/v4/item/get?itemid=1040153460&amp;shopid=14318452", "Pepsodent Pasta Gigi Pencegah Gigi Berlubang Fresh Cool Mint 190 gr")</f>
        <v/>
      </c>
      <c r="P409" t="n">
        <v>525</v>
      </c>
      <c r="Q409" t="n">
        <v>594</v>
      </c>
      <c r="R409" t="n">
        <v>4.933353322793436</v>
      </c>
      <c r="S409" t="n">
        <v>66</v>
      </c>
      <c r="T409" t="n">
        <v>32</v>
      </c>
      <c r="U409" t="n">
        <v>189</v>
      </c>
      <c r="V409" t="n">
        <v>1707</v>
      </c>
      <c r="W409" t="n">
        <v>34692</v>
      </c>
    </row>
    <row r="410">
      <c r="A410" t="inlineStr">
        <is>
          <t>Closeup White Attraction Natural Smile 100gr Close Up Pasta Gigi Pemutih Lemon Twinpack</t>
        </is>
      </c>
      <c r="B410" t="inlineStr"/>
      <c r="C410" t="inlineStr">
        <is>
          <t>24%</t>
        </is>
      </c>
      <c r="D410" t="n">
        <v>27500</v>
      </c>
      <c r="E410" t="n">
        <v>36400</v>
      </c>
      <c r="F410" t="n">
        <v>27500</v>
      </c>
      <c r="G410" t="n">
        <v>36400</v>
      </c>
      <c r="H410" t="n">
        <v>27500</v>
      </c>
      <c r="I410" t="n">
        <v>36400</v>
      </c>
      <c r="J410" t="b">
        <v>1</v>
      </c>
      <c r="K410" t="inlineStr">
        <is>
          <t>Unilever Indonesia Official Shop</t>
        </is>
      </c>
      <c r="L410" t="inlineStr">
        <is>
          <t>KOTA BEKASI</t>
        </is>
      </c>
      <c r="M410" t="n">
        <v>5432141050</v>
      </c>
      <c r="N410" t="n">
        <v>14318452</v>
      </c>
      <c r="O410">
        <f>HYPERLINK("https://shopee.co.id/api/v4/item/get?itemid=5432141050&amp;shopid=14318452", "Closeup White Attraction Natural Smile 100gr Close Up Pasta Gigi Pemutih Lemon Twinpack")</f>
        <v/>
      </c>
      <c r="P410" t="n">
        <v>1908</v>
      </c>
      <c r="Q410" t="n">
        <v>268</v>
      </c>
      <c r="R410" t="n">
        <v>4.936472896737797</v>
      </c>
      <c r="S410" t="n">
        <v>19</v>
      </c>
      <c r="T410" t="n">
        <v>12</v>
      </c>
      <c r="U410" t="n">
        <v>59</v>
      </c>
      <c r="V410" t="n">
        <v>551</v>
      </c>
      <c r="W410" t="n">
        <v>11591</v>
      </c>
    </row>
    <row r="411">
      <c r="A411" t="inlineStr">
        <is>
          <t>Ponds Men Pollution Out Face Wash 100g Anti Bakteri</t>
        </is>
      </c>
      <c r="B411" t="inlineStr">
        <is>
          <t>Pond's</t>
        </is>
      </c>
      <c r="C411" t="inlineStr">
        <is>
          <t>14%</t>
        </is>
      </c>
      <c r="D411" t="n">
        <v>43000</v>
      </c>
      <c r="E411" t="n">
        <v>50000</v>
      </c>
      <c r="F411" t="n">
        <v>43000</v>
      </c>
      <c r="G411" t="n">
        <v>50000</v>
      </c>
      <c r="H411" t="n">
        <v>43000</v>
      </c>
      <c r="I411" t="n">
        <v>50000</v>
      </c>
      <c r="J411" t="b">
        <v>1</v>
      </c>
      <c r="K411" t="inlineStr">
        <is>
          <t>Unilever Indonesia Official Shop</t>
        </is>
      </c>
      <c r="L411" t="inlineStr">
        <is>
          <t>KOTA BEKASI</t>
        </is>
      </c>
      <c r="M411" t="n">
        <v>127358168</v>
      </c>
      <c r="N411" t="n">
        <v>14318452</v>
      </c>
      <c r="O411">
        <f>HYPERLINK("https://shopee.co.id/api/v4/item/get?itemid=127358168&amp;shopid=14318452", "Ponds Men Pollution Out Face Wash 100g Anti Bakteri")</f>
        <v/>
      </c>
      <c r="P411" t="n">
        <v>342</v>
      </c>
      <c r="Q411" t="n">
        <v>389</v>
      </c>
      <c r="R411" t="n">
        <v>4.919512645375669</v>
      </c>
      <c r="S411" t="n">
        <v>11</v>
      </c>
      <c r="T411" t="n">
        <v>6</v>
      </c>
      <c r="U411" t="n">
        <v>39</v>
      </c>
      <c r="V411" t="n">
        <v>296</v>
      </c>
      <c r="W411" t="n">
        <v>5065</v>
      </c>
    </row>
    <row r="412">
      <c r="A412" t="inlineStr">
        <is>
          <t>Rexona Men Anti Perspirant Deodorant Roll On Ice Cool 45ml Twin Pack</t>
        </is>
      </c>
      <c r="B412" t="inlineStr">
        <is>
          <t>Rexona</t>
        </is>
      </c>
      <c r="C412" t="inlineStr">
        <is>
          <t>1%</t>
        </is>
      </c>
      <c r="D412" t="n">
        <v>38800</v>
      </c>
      <c r="E412" t="n">
        <v>39100</v>
      </c>
      <c r="F412" t="n">
        <v>38800</v>
      </c>
      <c r="G412" t="n">
        <v>39100</v>
      </c>
      <c r="H412" t="n">
        <v>38800</v>
      </c>
      <c r="I412" t="n">
        <v>39100</v>
      </c>
      <c r="J412" t="b">
        <v>1</v>
      </c>
      <c r="K412" t="inlineStr">
        <is>
          <t>Unilever Indonesia Official Shop</t>
        </is>
      </c>
      <c r="L412" t="inlineStr">
        <is>
          <t>KOTA BEKASI</t>
        </is>
      </c>
      <c r="M412" t="n">
        <v>3631481499</v>
      </c>
      <c r="N412" t="n">
        <v>14318452</v>
      </c>
      <c r="O412">
        <f>HYPERLINK("https://shopee.co.id/api/v4/item/get?itemid=3631481499&amp;shopid=14318452", "Rexona Men Anti Perspirant Deodorant Roll On Ice Cool 45ml Twin Pack")</f>
        <v/>
      </c>
      <c r="P412" t="n">
        <v>1149</v>
      </c>
      <c r="Q412" t="n">
        <v>3860</v>
      </c>
      <c r="R412" t="n">
        <v>4.902564102564103</v>
      </c>
      <c r="S412" t="n">
        <v>26</v>
      </c>
      <c r="T412" t="n">
        <v>16</v>
      </c>
      <c r="U412" t="n">
        <v>60</v>
      </c>
      <c r="V412" t="n">
        <v>301</v>
      </c>
      <c r="W412" t="n">
        <v>5448</v>
      </c>
    </row>
    <row r="413">
      <c r="A413" t="inlineStr">
        <is>
          <t>Vaseline Healthy Bright Vitamin Body Serum Firm Glow - Body Lotion Serum Pencerah 180Ml</t>
        </is>
      </c>
      <c r="B413" t="inlineStr"/>
      <c r="C413" t="inlineStr">
        <is>
          <t>12%</t>
        </is>
      </c>
      <c r="D413" t="n">
        <v>30400</v>
      </c>
      <c r="E413" t="n">
        <v>34500</v>
      </c>
      <c r="F413" t="n">
        <v>30400</v>
      </c>
      <c r="G413" t="n">
        <v>34500</v>
      </c>
      <c r="H413" t="n">
        <v>30400</v>
      </c>
      <c r="I413" t="n">
        <v>34500</v>
      </c>
      <c r="J413" t="b">
        <v>0</v>
      </c>
      <c r="K413" t="inlineStr">
        <is>
          <t>Unilever Indonesia Official Shop</t>
        </is>
      </c>
      <c r="L413" t="inlineStr">
        <is>
          <t>KOTA BEKASI</t>
        </is>
      </c>
      <c r="M413" t="n">
        <v>13026932157</v>
      </c>
      <c r="N413" t="n">
        <v>14318452</v>
      </c>
      <c r="O413">
        <f>HYPERLINK("https://shopee.co.id/api/v4/item/get?itemid=13026932157&amp;shopid=14318452", "Vaseline Healthy Bright Vitamin Body Serum Firm Glow - Body Lotion Serum Pencerah 180Ml")</f>
        <v/>
      </c>
      <c r="P413" t="n">
        <v>376</v>
      </c>
      <c r="Q413" t="n">
        <v>1405</v>
      </c>
      <c r="R413" t="n">
        <v>4.918918918918919</v>
      </c>
      <c r="S413" t="n">
        <v>7</v>
      </c>
      <c r="T413" t="n">
        <v>4</v>
      </c>
      <c r="U413" t="n">
        <v>20</v>
      </c>
      <c r="V413" t="n">
        <v>244</v>
      </c>
      <c r="W413" t="n">
        <v>3721</v>
      </c>
    </row>
    <row r="414">
      <c r="A414" t="inlineStr">
        <is>
          <t>Sariwangi Teh Mawar Celup Isi 25 Twinpack</t>
        </is>
      </c>
      <c r="B414" t="inlineStr">
        <is>
          <t>Sari Wangi</t>
        </is>
      </c>
      <c r="C414" t="inlineStr">
        <is>
          <t>26%</t>
        </is>
      </c>
      <c r="D414" t="n">
        <v>9000</v>
      </c>
      <c r="E414" t="n">
        <v>12200</v>
      </c>
      <c r="F414" t="n">
        <v>9000</v>
      </c>
      <c r="G414" t="n">
        <v>12200</v>
      </c>
      <c r="H414" t="n">
        <v>9000</v>
      </c>
      <c r="I414" t="n">
        <v>12200</v>
      </c>
      <c r="J414" t="b">
        <v>1</v>
      </c>
      <c r="K414" t="inlineStr">
        <is>
          <t>Unilever Indonesia Official Shop</t>
        </is>
      </c>
      <c r="L414" t="inlineStr">
        <is>
          <t>KOTA BEKASI</t>
        </is>
      </c>
      <c r="M414" t="n">
        <v>5843552098</v>
      </c>
      <c r="N414" t="n">
        <v>14318452</v>
      </c>
      <c r="O414">
        <f>HYPERLINK("https://shopee.co.id/api/v4/item/get?itemid=5843552098&amp;shopid=14318452", "Sariwangi Teh Mawar Celup Isi 25 Twinpack")</f>
        <v/>
      </c>
      <c r="P414" t="n">
        <v>997</v>
      </c>
      <c r="Q414" t="n">
        <v>461</v>
      </c>
      <c r="R414" t="n">
        <v>4.920475507276081</v>
      </c>
      <c r="S414" t="n">
        <v>12</v>
      </c>
      <c r="T414" t="n">
        <v>11</v>
      </c>
      <c r="U414" t="n">
        <v>28</v>
      </c>
      <c r="V414" t="n">
        <v>262</v>
      </c>
      <c r="W414" t="n">
        <v>4569</v>
      </c>
    </row>
    <row r="415">
      <c r="A415" t="inlineStr">
        <is>
          <t>Lifebuoy Body Wash Refill Antibacterial Mild Care 400ml</t>
        </is>
      </c>
      <c r="B415" t="inlineStr">
        <is>
          <t>Lifebuoy</t>
        </is>
      </c>
      <c r="C415" t="inlineStr">
        <is>
          <t>24%</t>
        </is>
      </c>
      <c r="D415" t="n">
        <v>22500</v>
      </c>
      <c r="E415" t="n">
        <v>29500</v>
      </c>
      <c r="F415" t="n">
        <v>22500</v>
      </c>
      <c r="G415" t="n">
        <v>29500</v>
      </c>
      <c r="H415" t="n">
        <v>22500</v>
      </c>
      <c r="I415" t="n">
        <v>29500</v>
      </c>
      <c r="J415" t="b">
        <v>1</v>
      </c>
      <c r="K415" t="inlineStr">
        <is>
          <t>Unilever Indonesia Official Shop</t>
        </is>
      </c>
      <c r="L415" t="inlineStr">
        <is>
          <t>KOTA BEKASI</t>
        </is>
      </c>
      <c r="M415" t="n">
        <v>224777222</v>
      </c>
      <c r="N415" t="n">
        <v>14318452</v>
      </c>
      <c r="O415">
        <f>HYPERLINK("https://shopee.co.id/api/v4/item/get?itemid=224777222&amp;shopid=14318452", "Lifebuoy Body Wash Refill Antibacterial Mild Care 400ml")</f>
        <v/>
      </c>
      <c r="P415" t="n">
        <v>201</v>
      </c>
      <c r="Q415" t="n">
        <v>2</v>
      </c>
      <c r="R415" t="n">
        <v>4.930068743104473</v>
      </c>
      <c r="S415" t="n">
        <v>31</v>
      </c>
      <c r="T415" t="n">
        <v>20</v>
      </c>
      <c r="U415" t="n">
        <v>65</v>
      </c>
      <c r="V415" t="n">
        <v>521</v>
      </c>
      <c r="W415" t="n">
        <v>11149</v>
      </c>
    </row>
    <row r="416">
      <c r="A416" t="inlineStr">
        <is>
          <t>Vaseline Lotion Healthy Bright Night Repair 200ml Twin Pack</t>
        </is>
      </c>
      <c r="B416" t="inlineStr">
        <is>
          <t>0</t>
        </is>
      </c>
      <c r="C416" t="inlineStr">
        <is>
          <t>10%</t>
        </is>
      </c>
      <c r="D416" t="n">
        <v>85900</v>
      </c>
      <c r="E416" t="n">
        <v>95600</v>
      </c>
      <c r="F416" t="n">
        <v>85900</v>
      </c>
      <c r="G416" t="n">
        <v>95600</v>
      </c>
      <c r="H416" t="n">
        <v>85900</v>
      </c>
      <c r="I416" t="n">
        <v>95600</v>
      </c>
      <c r="J416" t="b">
        <v>1</v>
      </c>
      <c r="K416" t="inlineStr">
        <is>
          <t>Unilever Indonesia Official Shop</t>
        </is>
      </c>
      <c r="L416" t="inlineStr">
        <is>
          <t>KOTA BEKASI</t>
        </is>
      </c>
      <c r="M416" t="n">
        <v>9616975927</v>
      </c>
      <c r="N416" t="n">
        <v>14318452</v>
      </c>
      <c r="O416">
        <f>HYPERLINK("https://shopee.co.id/api/v4/item/get?itemid=9616975927&amp;shopid=14318452", "Vaseline Lotion Healthy Bright Night Repair 200ml Twin Pack")</f>
        <v/>
      </c>
      <c r="P416" t="n">
        <v>121</v>
      </c>
      <c r="Q416" t="n">
        <v>634</v>
      </c>
      <c r="R416" t="n">
        <v>4.900596421471173</v>
      </c>
      <c r="S416" t="n">
        <v>8</v>
      </c>
      <c r="T416" t="n">
        <v>3</v>
      </c>
      <c r="U416" t="n">
        <v>29</v>
      </c>
      <c r="V416" t="n">
        <v>105</v>
      </c>
      <c r="W416" t="n">
        <v>1868</v>
      </c>
    </row>
    <row r="417">
      <c r="A417" t="inlineStr">
        <is>
          <t>Citra Sakura Glow UV Hand And Body Lotion 120 ml</t>
        </is>
      </c>
      <c r="B417" t="inlineStr">
        <is>
          <t>0</t>
        </is>
      </c>
      <c r="C417" t="inlineStr">
        <is>
          <t>1%</t>
        </is>
      </c>
      <c r="D417" t="n">
        <v>15100</v>
      </c>
      <c r="E417" t="n">
        <v>15200</v>
      </c>
      <c r="F417" t="n">
        <v>15100</v>
      </c>
      <c r="G417" t="n">
        <v>15200</v>
      </c>
      <c r="H417" t="n">
        <v>15100</v>
      </c>
      <c r="I417" t="n">
        <v>15200</v>
      </c>
      <c r="J417" t="b">
        <v>1</v>
      </c>
      <c r="K417" t="inlineStr">
        <is>
          <t>Unilever Indonesia Official Shop</t>
        </is>
      </c>
      <c r="L417" t="inlineStr">
        <is>
          <t>KOTA BEKASI</t>
        </is>
      </c>
      <c r="M417" t="n">
        <v>5060790038</v>
      </c>
      <c r="N417" t="n">
        <v>14318452</v>
      </c>
      <c r="O417">
        <f>HYPERLINK("https://shopee.co.id/api/v4/item/get?itemid=5060790038&amp;shopid=14318452", "Citra Sakura Glow UV Hand And Body Lotion 120 ml")</f>
        <v/>
      </c>
      <c r="P417" t="n">
        <v>87</v>
      </c>
      <c r="Q417" t="n">
        <v>465</v>
      </c>
      <c r="R417" t="n">
        <v>4.902973395931142</v>
      </c>
      <c r="S417" t="n">
        <v>3</v>
      </c>
      <c r="T417" t="n">
        <v>7</v>
      </c>
      <c r="U417" t="n">
        <v>29</v>
      </c>
      <c r="V417" t="n">
        <v>157</v>
      </c>
      <c r="W417" t="n">
        <v>2360</v>
      </c>
    </row>
    <row r="418">
      <c r="A418" t="inlineStr">
        <is>
          <t>Citra Hand And Body Lotion Pearly Glow UV 230 ml Twin Pack</t>
        </is>
      </c>
      <c r="B418" t="inlineStr">
        <is>
          <t>0</t>
        </is>
      </c>
      <c r="C418" t="inlineStr">
        <is>
          <t>1%</t>
        </is>
      </c>
      <c r="D418" t="n">
        <v>49900</v>
      </c>
      <c r="E418" t="n">
        <v>50400</v>
      </c>
      <c r="F418" t="n">
        <v>49900</v>
      </c>
      <c r="G418" t="n">
        <v>50400</v>
      </c>
      <c r="H418" t="n">
        <v>49900</v>
      </c>
      <c r="I418" t="n">
        <v>50400</v>
      </c>
      <c r="J418" t="b">
        <v>1</v>
      </c>
      <c r="K418" t="inlineStr">
        <is>
          <t>Unilever Indonesia Official Shop</t>
        </is>
      </c>
      <c r="L418" t="inlineStr">
        <is>
          <t>KOTA BEKASI</t>
        </is>
      </c>
      <c r="M418" t="n">
        <v>4930965812</v>
      </c>
      <c r="N418" t="n">
        <v>14318452</v>
      </c>
      <c r="O418">
        <f>HYPERLINK("https://shopee.co.id/api/v4/item/get?itemid=4930965812&amp;shopid=14318452", "Citra Hand And Body Lotion Pearly Glow UV 230 ml Twin Pack")</f>
        <v/>
      </c>
      <c r="P418" t="n">
        <v>124</v>
      </c>
      <c r="Q418" t="n">
        <v>336</v>
      </c>
      <c r="R418" t="n">
        <v>4.915642915642915</v>
      </c>
      <c r="S418" t="n">
        <v>8</v>
      </c>
      <c r="T418" t="n">
        <v>5</v>
      </c>
      <c r="U418" t="n">
        <v>19</v>
      </c>
      <c r="V418" t="n">
        <v>124</v>
      </c>
      <c r="W418" t="n">
        <v>2287</v>
      </c>
    </row>
    <row r="419">
      <c r="A419" t="inlineStr">
        <is>
          <t>Dove Conditioner Perawatan Rambut Rontok berkurang 99% dengan Nutri Serum dan Dynazinc 160ml</t>
        </is>
      </c>
      <c r="B419" t="inlineStr">
        <is>
          <t>0</t>
        </is>
      </c>
      <c r="C419" t="inlineStr">
        <is>
          <t>3%</t>
        </is>
      </c>
      <c r="D419" t="n">
        <v>35400</v>
      </c>
      <c r="E419" t="n">
        <v>36400</v>
      </c>
      <c r="F419" t="n">
        <v>35400</v>
      </c>
      <c r="G419" t="n">
        <v>36400</v>
      </c>
      <c r="H419" t="n">
        <v>35400</v>
      </c>
      <c r="I419" t="n">
        <v>36400</v>
      </c>
      <c r="J419" t="b">
        <v>1</v>
      </c>
      <c r="K419" t="inlineStr">
        <is>
          <t>Unilever Indonesia Official Shop</t>
        </is>
      </c>
      <c r="L419" t="inlineStr">
        <is>
          <t>KOTA BEKASI</t>
        </is>
      </c>
      <c r="M419" t="n">
        <v>126957927</v>
      </c>
      <c r="N419" t="n">
        <v>14318452</v>
      </c>
      <c r="O419">
        <f>HYPERLINK("https://shopee.co.id/api/v4/item/get?itemid=126957927&amp;shopid=14318452", "Dove Conditioner Perawatan Rambut Rontok berkurang 99% dengan Nutri Serum dan Dynazinc 160ml")</f>
        <v/>
      </c>
      <c r="P419" t="n">
        <v>612</v>
      </c>
      <c r="Q419" t="n">
        <v>582</v>
      </c>
      <c r="R419" t="n">
        <v>4.931188306757782</v>
      </c>
      <c r="S419" t="n">
        <v>13</v>
      </c>
      <c r="T419" t="n">
        <v>17</v>
      </c>
      <c r="U419" t="n">
        <v>66</v>
      </c>
      <c r="V419" t="n">
        <v>504</v>
      </c>
      <c r="W419" t="n">
        <v>9940</v>
      </c>
    </row>
    <row r="420">
      <c r="A420" t="inlineStr">
        <is>
          <t>Sariwangi Teh Hitam Jahe &amp; Kunyit 25 Teh Celup 37.5 gr</t>
        </is>
      </c>
      <c r="B420" t="inlineStr">
        <is>
          <t>Sariwangi</t>
        </is>
      </c>
      <c r="C420" t="inlineStr">
        <is>
          <t>22%</t>
        </is>
      </c>
      <c r="D420" t="n">
        <v>7800</v>
      </c>
      <c r="E420" t="n">
        <v>10000</v>
      </c>
      <c r="F420" t="n">
        <v>7800</v>
      </c>
      <c r="G420" t="n">
        <v>10000</v>
      </c>
      <c r="H420" t="n">
        <v>7800</v>
      </c>
      <c r="I420" t="n">
        <v>10000</v>
      </c>
      <c r="J420" t="b">
        <v>1</v>
      </c>
      <c r="K420" t="inlineStr">
        <is>
          <t>Unilever Indonesia Official Shop</t>
        </is>
      </c>
      <c r="L420" t="inlineStr">
        <is>
          <t>KOTA SEMARANG</t>
        </is>
      </c>
      <c r="M420" t="n">
        <v>4764769785</v>
      </c>
      <c r="N420" t="n">
        <v>14318452</v>
      </c>
      <c r="O420">
        <f>HYPERLINK("https://shopee.co.id/api/v4/item/get?itemid=4764769785&amp;shopid=14318452", "Sariwangi Teh Hitam Jahe &amp; Kunyit 25 Teh Celup 37.5 gr")</f>
        <v/>
      </c>
      <c r="P420" t="n">
        <v>861</v>
      </c>
      <c r="Q420" t="n">
        <v>275</v>
      </c>
      <c r="R420" t="n">
        <v>4.911579523679168</v>
      </c>
      <c r="S420" t="n">
        <v>9</v>
      </c>
      <c r="T420" t="n">
        <v>5</v>
      </c>
      <c r="U420" t="n">
        <v>26</v>
      </c>
      <c r="V420" t="n">
        <v>220</v>
      </c>
      <c r="W420" t="n">
        <v>3393</v>
      </c>
    </row>
    <row r="421">
      <c r="A421" t="inlineStr">
        <is>
          <t>Ponds Facial Foam Acne Solution 100gr Twin Pack</t>
        </is>
      </c>
      <c r="B421" t="inlineStr">
        <is>
          <t>Pond's</t>
        </is>
      </c>
      <c r="C421" t="inlineStr">
        <is>
          <t>14%</t>
        </is>
      </c>
      <c r="D421" t="n">
        <v>63500</v>
      </c>
      <c r="E421" t="n">
        <v>74200</v>
      </c>
      <c r="F421" t="n">
        <v>63500</v>
      </c>
      <c r="G421" t="n">
        <v>74200</v>
      </c>
      <c r="H421" t="n">
        <v>63500</v>
      </c>
      <c r="I421" t="n">
        <v>74200</v>
      </c>
      <c r="J421" t="b">
        <v>1</v>
      </c>
      <c r="K421" t="inlineStr">
        <is>
          <t>Unilever Indonesia Official Shop</t>
        </is>
      </c>
      <c r="L421" t="inlineStr">
        <is>
          <t>KOTA BEKASI</t>
        </is>
      </c>
      <c r="M421" t="n">
        <v>4931693107</v>
      </c>
      <c r="N421" t="n">
        <v>14318452</v>
      </c>
      <c r="O421">
        <f>HYPERLINK("https://shopee.co.id/api/v4/item/get?itemid=4931693107&amp;shopid=14318452", "Ponds Facial Foam Acne Solution 100gr Twin Pack")</f>
        <v/>
      </c>
      <c r="P421" t="n">
        <v>157</v>
      </c>
      <c r="Q421" t="n">
        <v>445</v>
      </c>
      <c r="R421" t="n">
        <v>4.934721790488032</v>
      </c>
      <c r="S421" t="n">
        <v>6</v>
      </c>
      <c r="T421" t="n">
        <v>1</v>
      </c>
      <c r="U421" t="n">
        <v>13</v>
      </c>
      <c r="V421" t="n">
        <v>161</v>
      </c>
      <c r="W421" t="n">
        <v>3037</v>
      </c>
    </row>
    <row r="422">
      <c r="A422" t="inlineStr">
        <is>
          <t>Super Pell Pembersih Lantai Himalayan Berries Pouch 700 ml</t>
        </is>
      </c>
      <c r="B422" t="inlineStr">
        <is>
          <t>0</t>
        </is>
      </c>
      <c r="C422" t="inlineStr">
        <is>
          <t>18%</t>
        </is>
      </c>
      <c r="D422" t="n">
        <v>13800</v>
      </c>
      <c r="E422" t="n">
        <v>16800</v>
      </c>
      <c r="F422" t="n">
        <v>13800</v>
      </c>
      <c r="G422" t="n">
        <v>16800</v>
      </c>
      <c r="H422" t="n">
        <v>13800</v>
      </c>
      <c r="I422" t="n">
        <v>16800</v>
      </c>
      <c r="J422" t="b">
        <v>1</v>
      </c>
      <c r="K422" t="inlineStr">
        <is>
          <t>Unilever Indonesia Official Shop</t>
        </is>
      </c>
      <c r="L422" t="inlineStr">
        <is>
          <t>KOTA MAKASSAR</t>
        </is>
      </c>
      <c r="M422" t="n">
        <v>1862435277</v>
      </c>
      <c r="N422" t="n">
        <v>14318452</v>
      </c>
      <c r="O422">
        <f>HYPERLINK("https://shopee.co.id/api/v4/item/get?itemid=1862435277&amp;shopid=14318452", "Super Pell Pembersih Lantai Himalayan Berries Pouch 700 ml")</f>
        <v/>
      </c>
      <c r="P422" t="n">
        <v>38</v>
      </c>
      <c r="Q422" t="n">
        <v>71</v>
      </c>
      <c r="R422" t="n">
        <v>4.940164404511566</v>
      </c>
      <c r="S422" t="n">
        <v>23</v>
      </c>
      <c r="T422" t="n">
        <v>7</v>
      </c>
      <c r="U422" t="n">
        <v>48</v>
      </c>
      <c r="V422" t="n">
        <v>423</v>
      </c>
      <c r="W422" t="n">
        <v>9963</v>
      </c>
    </row>
    <row r="423">
      <c r="A423" t="inlineStr">
        <is>
          <t>Rexona Men Deodorant Roll On Antiperspirant Adventure 72 Jam Kesegaran Nonstop 45Ml</t>
        </is>
      </c>
      <c r="B423" t="inlineStr">
        <is>
          <t>0</t>
        </is>
      </c>
      <c r="C423" t="inlineStr">
        <is>
          <t>1%</t>
        </is>
      </c>
      <c r="D423" t="n">
        <v>19500</v>
      </c>
      <c r="E423" t="n">
        <v>19600</v>
      </c>
      <c r="F423" t="n">
        <v>19500</v>
      </c>
      <c r="G423" t="n">
        <v>19600</v>
      </c>
      <c r="H423" t="n">
        <v>19500</v>
      </c>
      <c r="I423" t="n">
        <v>19600</v>
      </c>
      <c r="J423" t="b">
        <v>1</v>
      </c>
      <c r="K423" t="inlineStr">
        <is>
          <t>Unilever Indonesia Official Shop</t>
        </is>
      </c>
      <c r="L423" t="inlineStr">
        <is>
          <t>KOTA BEKASI</t>
        </is>
      </c>
      <c r="M423" t="n">
        <v>2219266898</v>
      </c>
      <c r="N423" t="n">
        <v>14318452</v>
      </c>
      <c r="O423">
        <f>HYPERLINK("https://shopee.co.id/api/v4/item/get?itemid=2219266898&amp;shopid=14318452", "Rexona Men Deodorant Roll On Antiperspirant Adventure 72 Jam Kesegaran Nonstop 45Ml")</f>
        <v/>
      </c>
      <c r="P423" t="n">
        <v>324</v>
      </c>
      <c r="Q423" t="n">
        <v>1805</v>
      </c>
      <c r="R423" t="n">
        <v>4.922253922967189</v>
      </c>
      <c r="S423" t="n">
        <v>16</v>
      </c>
      <c r="T423" t="n">
        <v>8</v>
      </c>
      <c r="U423" t="n">
        <v>39</v>
      </c>
      <c r="V423" t="n">
        <v>273</v>
      </c>
      <c r="W423" t="n">
        <v>5273</v>
      </c>
    </row>
    <row r="424">
      <c r="A424" t="inlineStr">
        <is>
          <t>Zwitsal Kids Hair Lotion Spray Natural And Nourisihing 100Ml - Pelebat Rambut Anak</t>
        </is>
      </c>
      <c r="B424" t="inlineStr">
        <is>
          <t>None</t>
        </is>
      </c>
      <c r="C424" t="inlineStr">
        <is>
          <t>18%</t>
        </is>
      </c>
      <c r="D424" t="n">
        <v>18700</v>
      </c>
      <c r="E424" t="n">
        <v>22900</v>
      </c>
      <c r="F424" t="n">
        <v>18700</v>
      </c>
      <c r="G424" t="n">
        <v>22900</v>
      </c>
      <c r="H424" t="n">
        <v>18700</v>
      </c>
      <c r="I424" t="n">
        <v>22900</v>
      </c>
      <c r="J424" t="b">
        <v>1</v>
      </c>
      <c r="K424" t="inlineStr">
        <is>
          <t>Unilever Indonesia Official Shop</t>
        </is>
      </c>
      <c r="L424" t="inlineStr">
        <is>
          <t>KOTA BEKASI</t>
        </is>
      </c>
      <c r="M424" t="n">
        <v>4918311128</v>
      </c>
      <c r="N424" t="n">
        <v>14318452</v>
      </c>
      <c r="O424">
        <f>HYPERLINK("https://shopee.co.id/api/v4/item/get?itemid=4918311128&amp;shopid=14318452", "Zwitsal Kids Hair Lotion Spray Natural And Nourisihing 100Ml - Pelebat Rambut Anak")</f>
        <v/>
      </c>
      <c r="P424" t="n">
        <v>1927</v>
      </c>
      <c r="Q424" t="n">
        <v>2037</v>
      </c>
      <c r="R424" t="n">
        <v>4.901847087285435</v>
      </c>
      <c r="S424" t="n">
        <v>80</v>
      </c>
      <c r="T424" t="n">
        <v>76</v>
      </c>
      <c r="U424" t="n">
        <v>292</v>
      </c>
      <c r="V424" t="n">
        <v>1441</v>
      </c>
      <c r="W424" t="n">
        <v>24157</v>
      </c>
    </row>
    <row r="425">
      <c r="A425" t="inlineStr">
        <is>
          <t>ZWITSAL KIDS SHAMPOO BLUE CLEAN &amp; FRESH 180ml TWINPACK</t>
        </is>
      </c>
      <c r="B425" t="inlineStr">
        <is>
          <t>0</t>
        </is>
      </c>
      <c r="C425" t="inlineStr">
        <is>
          <t>18%</t>
        </is>
      </c>
      <c r="D425" t="n">
        <v>30400</v>
      </c>
      <c r="E425" t="n">
        <v>37100</v>
      </c>
      <c r="F425" t="n">
        <v>30400</v>
      </c>
      <c r="G425" t="n">
        <v>37100</v>
      </c>
      <c r="H425" t="n">
        <v>30400</v>
      </c>
      <c r="I425" t="n">
        <v>37100</v>
      </c>
      <c r="J425" t="b">
        <v>1</v>
      </c>
      <c r="K425" t="inlineStr">
        <is>
          <t>Unilever Indonesia Official Shop</t>
        </is>
      </c>
      <c r="L425" t="inlineStr">
        <is>
          <t>KOTA BEKASI</t>
        </is>
      </c>
      <c r="M425" t="n">
        <v>3831431752</v>
      </c>
      <c r="N425" t="n">
        <v>14318452</v>
      </c>
      <c r="O425">
        <f>HYPERLINK("https://shopee.co.id/api/v4/item/get?itemid=3831431752&amp;shopid=14318452", "ZWITSAL KIDS SHAMPOO BLUE CLEAN &amp; FRESH 180ml TWINPACK")</f>
        <v/>
      </c>
      <c r="P425" t="n">
        <v>414</v>
      </c>
      <c r="Q425" t="n">
        <v>567</v>
      </c>
      <c r="R425" t="n">
        <v>4.954202401372212</v>
      </c>
      <c r="S425" t="n">
        <v>8</v>
      </c>
      <c r="T425" t="n">
        <v>3</v>
      </c>
      <c r="U425" t="n">
        <v>18</v>
      </c>
      <c r="V425" t="n">
        <v>194</v>
      </c>
      <c r="W425" t="n">
        <v>5608</v>
      </c>
    </row>
    <row r="426">
      <c r="A426" t="inlineStr">
        <is>
          <t>Zwitsal Shampoo Aloe Vera Kemiri Seledri 300 Ml - Baby Shampo, Sampo Baby Aloe Vera</t>
        </is>
      </c>
      <c r="B426" t="inlineStr">
        <is>
          <t>0</t>
        </is>
      </c>
      <c r="C426" t="inlineStr">
        <is>
          <t>18%</t>
        </is>
      </c>
      <c r="D426" t="n">
        <v>27900</v>
      </c>
      <c r="E426" t="n">
        <v>33900</v>
      </c>
      <c r="F426" t="n">
        <v>27900</v>
      </c>
      <c r="G426" t="n">
        <v>33900</v>
      </c>
      <c r="H426" t="n">
        <v>27900</v>
      </c>
      <c r="I426" t="n">
        <v>33900</v>
      </c>
      <c r="J426" t="b">
        <v>1</v>
      </c>
      <c r="K426" t="inlineStr">
        <is>
          <t>Unilever Indonesia Official Shop</t>
        </is>
      </c>
      <c r="L426" t="inlineStr">
        <is>
          <t>KOTA BEKASI</t>
        </is>
      </c>
      <c r="M426" t="n">
        <v>976680659</v>
      </c>
      <c r="N426" t="n">
        <v>14318452</v>
      </c>
      <c r="O426">
        <f>HYPERLINK("https://shopee.co.id/api/v4/item/get?itemid=976680659&amp;shopid=14318452", "Zwitsal Shampoo Aloe Vera Kemiri Seledri 300 Ml - Baby Shampo, Sampo Baby Aloe Vera")</f>
        <v/>
      </c>
      <c r="P426" t="n">
        <v>254</v>
      </c>
      <c r="Q426" t="n">
        <v>966</v>
      </c>
      <c r="R426" t="n">
        <v>4.920400451489424</v>
      </c>
      <c r="S426" t="n">
        <v>153</v>
      </c>
      <c r="T426" t="n">
        <v>118</v>
      </c>
      <c r="U426" t="n">
        <v>452</v>
      </c>
      <c r="V426" t="n">
        <v>3010</v>
      </c>
      <c r="W426" t="n">
        <v>57402</v>
      </c>
    </row>
    <row r="427">
      <c r="A427" t="inlineStr">
        <is>
          <t>Vaseline Petroleum Jelly Original 100 Ml - Repairing Jelly, Kulit Rusak, Jelly Cream</t>
        </is>
      </c>
      <c r="B427" t="inlineStr">
        <is>
          <t>Vaseline</t>
        </is>
      </c>
      <c r="C427" t="inlineStr">
        <is>
          <t>14%</t>
        </is>
      </c>
      <c r="D427" t="n">
        <v>47400</v>
      </c>
      <c r="E427" t="n">
        <v>55000</v>
      </c>
      <c r="F427" t="n">
        <v>47400</v>
      </c>
      <c r="G427" t="n">
        <v>55000</v>
      </c>
      <c r="H427" t="n">
        <v>47400</v>
      </c>
      <c r="I427" t="n">
        <v>55000</v>
      </c>
      <c r="J427" t="b">
        <v>1</v>
      </c>
      <c r="K427" t="inlineStr">
        <is>
          <t>Unilever Indonesia Official Shop</t>
        </is>
      </c>
      <c r="L427" t="inlineStr">
        <is>
          <t>KOTA BEKASI</t>
        </is>
      </c>
      <c r="M427" t="n">
        <v>253774713</v>
      </c>
      <c r="N427" t="n">
        <v>14318452</v>
      </c>
      <c r="O427">
        <f>HYPERLINK("https://shopee.co.id/api/v4/item/get?itemid=253774713&amp;shopid=14318452", "Vaseline Petroleum Jelly Original 100 Ml - Repairing Jelly, Kulit Rusak, Jelly Cream")</f>
        <v/>
      </c>
      <c r="P427" t="n">
        <v>903</v>
      </c>
      <c r="Q427" t="n">
        <v>2134</v>
      </c>
      <c r="R427" t="n">
        <v>4.93103937454683</v>
      </c>
      <c r="S427" t="n">
        <v>80</v>
      </c>
      <c r="T427" t="n">
        <v>69</v>
      </c>
      <c r="U427" t="n">
        <v>333</v>
      </c>
      <c r="V427" t="n">
        <v>3210</v>
      </c>
      <c r="W427" t="n">
        <v>59760</v>
      </c>
    </row>
    <row r="428">
      <c r="A428" t="inlineStr">
        <is>
          <t>Lifebuoy Sabun Mandi Pump Antibakteri Mild Care Activ Silver+ Formula &amp; Milk Cream 500Ml</t>
        </is>
      </c>
      <c r="B428" t="inlineStr">
        <is>
          <t>Lifebuoy</t>
        </is>
      </c>
      <c r="C428" t="inlineStr">
        <is>
          <t>19%</t>
        </is>
      </c>
      <c r="D428" t="n">
        <v>55700</v>
      </c>
      <c r="E428" t="n">
        <v>68400</v>
      </c>
      <c r="F428" t="n">
        <v>55700</v>
      </c>
      <c r="G428" t="n">
        <v>68400</v>
      </c>
      <c r="H428" t="n">
        <v>55700</v>
      </c>
      <c r="I428" t="n">
        <v>68400</v>
      </c>
      <c r="J428" t="b">
        <v>1</v>
      </c>
      <c r="K428" t="inlineStr">
        <is>
          <t>Unilever Indonesia Official Shop</t>
        </is>
      </c>
      <c r="L428" t="inlineStr">
        <is>
          <t>KOTA BEKASI</t>
        </is>
      </c>
      <c r="M428" t="n">
        <v>224777223</v>
      </c>
      <c r="N428" t="n">
        <v>14318452</v>
      </c>
      <c r="O428">
        <f>HYPERLINK("https://shopee.co.id/api/v4/item/get?itemid=224777223&amp;shopid=14318452", "Lifebuoy Sabun Mandi Pump Antibakteri Mild Care Activ Silver+ Formula &amp; Milk Cream 500Ml")</f>
        <v/>
      </c>
      <c r="P428" t="n">
        <v>141</v>
      </c>
      <c r="Q428" t="n">
        <v>289</v>
      </c>
      <c r="R428" t="n">
        <v>4.900396301188904</v>
      </c>
      <c r="S428" t="n">
        <v>86</v>
      </c>
      <c r="T428" t="n">
        <v>57</v>
      </c>
      <c r="U428" t="n">
        <v>215</v>
      </c>
      <c r="V428" t="n">
        <v>968</v>
      </c>
      <c r="W428" t="n">
        <v>17613</v>
      </c>
    </row>
    <row r="429">
      <c r="A429" t="inlineStr">
        <is>
          <t>Zwitsal Baby Cologne Natural Soft Touch 100 ml Twin Pack</t>
        </is>
      </c>
      <c r="B429" t="inlineStr">
        <is>
          <t>Zwitsal</t>
        </is>
      </c>
      <c r="C429" t="inlineStr">
        <is>
          <t>18%</t>
        </is>
      </c>
      <c r="D429" t="n">
        <v>38100</v>
      </c>
      <c r="E429" t="n">
        <v>46600</v>
      </c>
      <c r="F429" t="n">
        <v>38100</v>
      </c>
      <c r="G429" t="n">
        <v>46600</v>
      </c>
      <c r="H429" t="n">
        <v>38100</v>
      </c>
      <c r="I429" t="n">
        <v>46600</v>
      </c>
      <c r="J429" t="b">
        <v>1</v>
      </c>
      <c r="K429" t="inlineStr">
        <is>
          <t>Unilever Indonesia Official Shop</t>
        </is>
      </c>
      <c r="L429" t="inlineStr">
        <is>
          <t>KOTA BEKASI</t>
        </is>
      </c>
      <c r="M429" t="n">
        <v>3431286610</v>
      </c>
      <c r="N429" t="n">
        <v>14318452</v>
      </c>
      <c r="O429">
        <f>HYPERLINK("https://shopee.co.id/api/v4/item/get?itemid=3431286610&amp;shopid=14318452", "Zwitsal Baby Cologne Natural Soft Touch 100 ml Twin Pack")</f>
        <v/>
      </c>
      <c r="P429" t="n">
        <v>201</v>
      </c>
      <c r="Q429" t="n">
        <v>3538</v>
      </c>
      <c r="R429" t="n">
        <v>4.943068510775169</v>
      </c>
      <c r="S429" t="n">
        <v>13</v>
      </c>
      <c r="T429" t="n">
        <v>8</v>
      </c>
      <c r="U429" t="n">
        <v>25</v>
      </c>
      <c r="V429" t="n">
        <v>232</v>
      </c>
      <c r="W429" t="n">
        <v>5941</v>
      </c>
    </row>
    <row r="430">
      <c r="A430" t="inlineStr">
        <is>
          <t>Sunsilk Hijab Shampo Anti Ketombe &amp; Menthol Dingin 160Ml Rambut Segar &amp; Harum 48 Jam</t>
        </is>
      </c>
      <c r="B430" t="inlineStr">
        <is>
          <t>Sunsilk</t>
        </is>
      </c>
      <c r="C430" t="inlineStr">
        <is>
          <t>9%</t>
        </is>
      </c>
      <c r="D430" t="n">
        <v>26600</v>
      </c>
      <c r="E430" t="n">
        <v>29200</v>
      </c>
      <c r="F430" t="n">
        <v>26600</v>
      </c>
      <c r="G430" t="n">
        <v>29200</v>
      </c>
      <c r="H430" t="n">
        <v>26600</v>
      </c>
      <c r="I430" t="n">
        <v>29200</v>
      </c>
      <c r="J430" t="b">
        <v>1</v>
      </c>
      <c r="K430" t="inlineStr">
        <is>
          <t>Unilever Indonesia Official Shop</t>
        </is>
      </c>
      <c r="L430" t="inlineStr">
        <is>
          <t>KOTA BEKASI</t>
        </is>
      </c>
      <c r="M430" t="n">
        <v>127000673</v>
      </c>
      <c r="N430" t="n">
        <v>14318452</v>
      </c>
      <c r="O430">
        <f>HYPERLINK("https://shopee.co.id/api/v4/item/get?itemid=127000673&amp;shopid=14318452", "Sunsilk Hijab Shampo Anti Ketombe &amp; Menthol Dingin 160Ml Rambut Segar &amp; Harum 48 Jam")</f>
        <v/>
      </c>
      <c r="P430" t="n">
        <v>538</v>
      </c>
      <c r="Q430" t="n">
        <v>461</v>
      </c>
      <c r="R430" t="n">
        <v>4.925155539047266</v>
      </c>
      <c r="S430" t="n">
        <v>42</v>
      </c>
      <c r="T430" t="n">
        <v>35</v>
      </c>
      <c r="U430" t="n">
        <v>151</v>
      </c>
      <c r="V430" t="n">
        <v>1081</v>
      </c>
      <c r="W430" t="n">
        <v>20766</v>
      </c>
    </row>
    <row r="431">
      <c r="A431" t="inlineStr">
        <is>
          <t>Glow &amp; Lovely Multivitamin Cream 46gr</t>
        </is>
      </c>
      <c r="B431" t="inlineStr">
        <is>
          <t>Glow &amp; Lovely</t>
        </is>
      </c>
      <c r="C431" t="inlineStr">
        <is>
          <t>15%</t>
        </is>
      </c>
      <c r="D431" t="n">
        <v>32400</v>
      </c>
      <c r="E431" t="n">
        <v>38200</v>
      </c>
      <c r="F431" t="n">
        <v>32400</v>
      </c>
      <c r="G431" t="n">
        <v>38200</v>
      </c>
      <c r="H431" t="n">
        <v>32400</v>
      </c>
      <c r="I431" t="n">
        <v>38200</v>
      </c>
      <c r="J431" t="b">
        <v>0</v>
      </c>
      <c r="K431" t="inlineStr">
        <is>
          <t>Unilever Indonesia Official Shop</t>
        </is>
      </c>
      <c r="L431" t="inlineStr">
        <is>
          <t>KOTA SEMARANG</t>
        </is>
      </c>
      <c r="M431" t="n">
        <v>5181209291</v>
      </c>
      <c r="N431" t="n">
        <v>14318452</v>
      </c>
      <c r="O431">
        <f>HYPERLINK("https://shopee.co.id/api/v4/item/get?itemid=5181209291&amp;shopid=14318452", "Glow &amp; Lovely Multivitamin Cream 46gr")</f>
        <v/>
      </c>
      <c r="P431" t="n">
        <v>134</v>
      </c>
      <c r="Q431" t="n">
        <v>273</v>
      </c>
      <c r="R431" t="n">
        <v>4.898534385569334</v>
      </c>
      <c r="S431" t="n">
        <v>7</v>
      </c>
      <c r="T431" t="n">
        <v>6</v>
      </c>
      <c r="U431" t="n">
        <v>25</v>
      </c>
      <c r="V431" t="n">
        <v>177</v>
      </c>
      <c r="W431" t="n">
        <v>2447</v>
      </c>
    </row>
    <row r="432">
      <c r="A432" t="inlineStr">
        <is>
          <t>Lifebuoy Antibacterial Body Wash Refill Matcha Green Tea 250 ml</t>
        </is>
      </c>
      <c r="B432" t="inlineStr">
        <is>
          <t>Lifebuoy</t>
        </is>
      </c>
      <c r="C432" t="inlineStr">
        <is>
          <t>12%</t>
        </is>
      </c>
      <c r="D432" t="n">
        <v>18000</v>
      </c>
      <c r="E432" t="n">
        <v>20500</v>
      </c>
      <c r="F432" t="n">
        <v>18000</v>
      </c>
      <c r="G432" t="n">
        <v>20500</v>
      </c>
      <c r="H432" t="n">
        <v>18000</v>
      </c>
      <c r="I432" t="n">
        <v>20500</v>
      </c>
      <c r="J432" t="b">
        <v>1</v>
      </c>
      <c r="K432" t="inlineStr">
        <is>
          <t>Unilever Indonesia Official Shop</t>
        </is>
      </c>
      <c r="L432" t="inlineStr">
        <is>
          <t>KOTA BEKASI</t>
        </is>
      </c>
      <c r="M432" t="n">
        <v>1008956373</v>
      </c>
      <c r="N432" t="n">
        <v>14318452</v>
      </c>
      <c r="O432">
        <f>HYPERLINK("https://shopee.co.id/api/v4/item/get?itemid=1008956373&amp;shopid=14318452", "Lifebuoy Antibacterial Body Wash Refill Matcha Green Tea 250 ml")</f>
        <v/>
      </c>
      <c r="P432" t="n">
        <v>124</v>
      </c>
      <c r="Q432" t="n">
        <v>204</v>
      </c>
      <c r="R432" t="n">
        <v>4.897768991810223</v>
      </c>
      <c r="S432" t="n">
        <v>15</v>
      </c>
      <c r="T432" t="n">
        <v>7</v>
      </c>
      <c r="U432" t="n">
        <v>37</v>
      </c>
      <c r="V432" t="n">
        <v>211</v>
      </c>
      <c r="W432" t="n">
        <v>3272</v>
      </c>
    </row>
    <row r="433">
      <c r="A433" t="inlineStr">
        <is>
          <t>Rinso Molto Deterjen Cair Perfume Essence 700ml - Deterjen Parfum, Deterjen Pewangi</t>
        </is>
      </c>
      <c r="B433" t="inlineStr">
        <is>
          <t>Rinso</t>
        </is>
      </c>
      <c r="C433" t="inlineStr">
        <is>
          <t>33%</t>
        </is>
      </c>
      <c r="D433" t="n">
        <v>21000</v>
      </c>
      <c r="E433" t="n">
        <v>31500</v>
      </c>
      <c r="F433" t="n">
        <v>21000</v>
      </c>
      <c r="G433" t="n">
        <v>31500</v>
      </c>
      <c r="H433" t="n">
        <v>21000</v>
      </c>
      <c r="I433" t="n">
        <v>31500</v>
      </c>
      <c r="J433" t="b">
        <v>1</v>
      </c>
      <c r="K433" t="inlineStr">
        <is>
          <t>Unilever Indonesia Official Shop</t>
        </is>
      </c>
      <c r="L433" t="inlineStr">
        <is>
          <t>KOTA BEKASI</t>
        </is>
      </c>
      <c r="M433" t="n">
        <v>1041656699</v>
      </c>
      <c r="N433" t="n">
        <v>14318452</v>
      </c>
      <c r="O433">
        <f>HYPERLINK("https://shopee.co.id/api/v4/item/get?itemid=1041656699&amp;shopid=14318452", "Rinso Molto Deterjen Cair Perfume Essence 700ml - Deterjen Parfum, Deterjen Pewangi")</f>
        <v/>
      </c>
      <c r="P433" t="n">
        <v>331</v>
      </c>
      <c r="Q433" t="n">
        <v>771</v>
      </c>
      <c r="R433" t="n">
        <v>4.940861125218667</v>
      </c>
      <c r="S433" t="n">
        <v>32</v>
      </c>
      <c r="T433" t="n">
        <v>17</v>
      </c>
      <c r="U433" t="n">
        <v>84</v>
      </c>
      <c r="V433" t="n">
        <v>716</v>
      </c>
      <c r="W433" t="n">
        <v>16880</v>
      </c>
    </row>
    <row r="434">
      <c r="A434" t="inlineStr">
        <is>
          <t>Rexona Men Deodorant Roll On Sport Defence 45 ml Anti Bakteri</t>
        </is>
      </c>
      <c r="B434" t="inlineStr">
        <is>
          <t>0</t>
        </is>
      </c>
      <c r="C434" t="inlineStr">
        <is>
          <t>1%</t>
        </is>
      </c>
      <c r="D434" t="n">
        <v>19500</v>
      </c>
      <c r="E434" t="n">
        <v>19600</v>
      </c>
      <c r="F434" t="n">
        <v>19500</v>
      </c>
      <c r="G434" t="n">
        <v>19600</v>
      </c>
      <c r="H434" t="n">
        <v>19500</v>
      </c>
      <c r="I434" t="n">
        <v>19600</v>
      </c>
      <c r="J434" t="b">
        <v>1</v>
      </c>
      <c r="K434" t="inlineStr">
        <is>
          <t>Unilever Indonesia Official Shop</t>
        </is>
      </c>
      <c r="L434" t="inlineStr">
        <is>
          <t>KOTA BEKASI</t>
        </is>
      </c>
      <c r="M434" t="n">
        <v>4865421751</v>
      </c>
      <c r="N434" t="n">
        <v>14318452</v>
      </c>
      <c r="O434">
        <f>HYPERLINK("https://shopee.co.id/api/v4/item/get?itemid=4865421751&amp;shopid=14318452", "Rexona Men Deodorant Roll On Sport Defence 45 ml Anti Bakteri")</f>
        <v/>
      </c>
      <c r="P434" t="n">
        <v>182</v>
      </c>
      <c r="Q434" t="n">
        <v>3406</v>
      </c>
      <c r="R434" t="n">
        <v>4.926054216867469</v>
      </c>
      <c r="S434" t="n">
        <v>20</v>
      </c>
      <c r="T434" t="n">
        <v>5</v>
      </c>
      <c r="U434" t="n">
        <v>42</v>
      </c>
      <c r="V434" t="n">
        <v>325</v>
      </c>
      <c r="W434" t="n">
        <v>6252</v>
      </c>
    </row>
    <row r="435">
      <c r="A435" t="inlineStr">
        <is>
          <t>Ponds Micellar Water Brightening Rose 235ml 99% Makeup Remover dgn Niacinamide &amp; Vitamin C</t>
        </is>
      </c>
      <c r="B435" t="inlineStr">
        <is>
          <t>0</t>
        </is>
      </c>
      <c r="C435" t="inlineStr">
        <is>
          <t>17%</t>
        </is>
      </c>
      <c r="D435" t="n">
        <v>45800</v>
      </c>
      <c r="E435" t="n">
        <v>55000</v>
      </c>
      <c r="F435" t="n">
        <v>45800</v>
      </c>
      <c r="G435" t="n">
        <v>55000</v>
      </c>
      <c r="H435" t="n">
        <v>45800</v>
      </c>
      <c r="I435" t="n">
        <v>55000</v>
      </c>
      <c r="J435" t="b">
        <v>1</v>
      </c>
      <c r="K435" t="inlineStr">
        <is>
          <t>Unilever Indonesia Official Shop</t>
        </is>
      </c>
      <c r="L435" t="inlineStr">
        <is>
          <t>KOTA BEKASI</t>
        </is>
      </c>
      <c r="M435" t="n">
        <v>2662431045</v>
      </c>
      <c r="N435" t="n">
        <v>14318452</v>
      </c>
      <c r="O435">
        <f>HYPERLINK("https://shopee.co.id/api/v4/item/get?itemid=2662431045&amp;shopid=14318452", "Ponds Micellar Water Brightening Rose 235ml 99% Makeup Remover dgn Niacinamide &amp; Vitamin C")</f>
        <v/>
      </c>
      <c r="P435" t="n">
        <v>528</v>
      </c>
      <c r="Q435" t="n">
        <v>1088</v>
      </c>
      <c r="R435" t="n">
        <v>4.927593971938333</v>
      </c>
      <c r="S435" t="n">
        <v>30</v>
      </c>
      <c r="T435" t="n">
        <v>15</v>
      </c>
      <c r="U435" t="n">
        <v>88</v>
      </c>
      <c r="V435" t="n">
        <v>506</v>
      </c>
      <c r="W435" t="n">
        <v>10910</v>
      </c>
    </row>
    <row r="436">
      <c r="A436" t="inlineStr">
        <is>
          <t>Rinso Molto Detergen Cair Japanese Peach 700ml</t>
        </is>
      </c>
      <c r="B436" t="inlineStr">
        <is>
          <t>Rinso</t>
        </is>
      </c>
      <c r="C436" t="inlineStr">
        <is>
          <t>32%</t>
        </is>
      </c>
      <c r="D436" t="n">
        <v>20900</v>
      </c>
      <c r="E436" t="n">
        <v>30800</v>
      </c>
      <c r="F436" t="n">
        <v>20900</v>
      </c>
      <c r="G436" t="n">
        <v>30800</v>
      </c>
      <c r="H436" t="n">
        <v>20900</v>
      </c>
      <c r="I436" t="n">
        <v>30800</v>
      </c>
      <c r="J436" t="b">
        <v>1</v>
      </c>
      <c r="K436" t="inlineStr">
        <is>
          <t>Unilever Indonesia Official Shop</t>
        </is>
      </c>
      <c r="L436" t="inlineStr">
        <is>
          <t>KOTA BEKASI</t>
        </is>
      </c>
      <c r="M436" t="n">
        <v>3142207205</v>
      </c>
      <c r="N436" t="n">
        <v>14318452</v>
      </c>
      <c r="O436">
        <f>HYPERLINK("https://shopee.co.id/api/v4/item/get?itemid=3142207205&amp;shopid=14318452", "Rinso Molto Detergen Cair Japanese Peach 700ml")</f>
        <v/>
      </c>
      <c r="P436" t="n">
        <v>666</v>
      </c>
      <c r="Q436" t="n">
        <v>701</v>
      </c>
      <c r="R436" t="n">
        <v>4.944791731138206</v>
      </c>
      <c r="S436" t="n">
        <v>33</v>
      </c>
      <c r="T436" t="n">
        <v>21</v>
      </c>
      <c r="U436" t="n">
        <v>61</v>
      </c>
      <c r="V436" t="n">
        <v>591</v>
      </c>
      <c r="W436" t="n">
        <v>15458</v>
      </c>
    </row>
    <row r="437">
      <c r="A437" t="inlineStr">
        <is>
          <t>Zwitsal Kids Sabun Mandi Anak Sabun Anak Clean &amp; Fresh Bubble Bath Busa Melimpah 250Ml</t>
        </is>
      </c>
      <c r="B437" t="inlineStr">
        <is>
          <t>Zwitsal</t>
        </is>
      </c>
      <c r="C437" t="inlineStr">
        <is>
          <t>19%</t>
        </is>
      </c>
      <c r="D437" t="n">
        <v>16900</v>
      </c>
      <c r="E437" t="n">
        <v>20800</v>
      </c>
      <c r="F437" t="n">
        <v>16900</v>
      </c>
      <c r="G437" t="n">
        <v>20800</v>
      </c>
      <c r="H437" t="n">
        <v>16900</v>
      </c>
      <c r="I437" t="n">
        <v>20800</v>
      </c>
      <c r="J437" t="b">
        <v>1</v>
      </c>
      <c r="K437" t="inlineStr">
        <is>
          <t>Unilever Indonesia Official Shop</t>
        </is>
      </c>
      <c r="L437" t="inlineStr">
        <is>
          <t>KOTA BEKASI</t>
        </is>
      </c>
      <c r="M437" t="n">
        <v>2889007321</v>
      </c>
      <c r="N437" t="n">
        <v>14318452</v>
      </c>
      <c r="O437">
        <f>HYPERLINK("https://shopee.co.id/api/v4/item/get?itemid=2889007321&amp;shopid=14318452", "Zwitsal Kids Sabun Mandi Anak Sabun Anak Clean &amp; Fresh Bubble Bath Busa Melimpah 250Ml")</f>
        <v/>
      </c>
      <c r="P437" t="n">
        <v>367</v>
      </c>
      <c r="Q437" t="n">
        <v>1380</v>
      </c>
      <c r="R437" t="n">
        <v>4.939330658899818</v>
      </c>
      <c r="S437" t="n">
        <v>27</v>
      </c>
      <c r="T437" t="n">
        <v>13</v>
      </c>
      <c r="U437" t="n">
        <v>86</v>
      </c>
      <c r="V437" t="n">
        <v>785</v>
      </c>
      <c r="W437" t="n">
        <v>17286</v>
      </c>
    </row>
    <row r="438">
      <c r="A438" t="inlineStr">
        <is>
          <t>Sunsilk Super Shampoo Bye Bye Rontok 300ml Rambut 10X* Lebih Kuat with Collagen &amp; Ginseng</t>
        </is>
      </c>
      <c r="B438" t="inlineStr">
        <is>
          <t>None</t>
        </is>
      </c>
      <c r="C438" t="inlineStr">
        <is>
          <t>15%</t>
        </is>
      </c>
      <c r="D438" t="n">
        <v>43600</v>
      </c>
      <c r="E438" t="n">
        <v>51100</v>
      </c>
      <c r="F438" t="n">
        <v>43600</v>
      </c>
      <c r="G438" t="n">
        <v>51100</v>
      </c>
      <c r="H438" t="n">
        <v>43600</v>
      </c>
      <c r="I438" t="n">
        <v>51100</v>
      </c>
      <c r="J438" t="b">
        <v>1</v>
      </c>
      <c r="K438" t="inlineStr">
        <is>
          <t>Unilever Indonesia Official Shop</t>
        </is>
      </c>
      <c r="L438" t="inlineStr">
        <is>
          <t>KOTA BEKASI</t>
        </is>
      </c>
      <c r="M438" t="n">
        <v>3461619242</v>
      </c>
      <c r="N438" t="n">
        <v>14318452</v>
      </c>
      <c r="O438">
        <f>HYPERLINK("https://shopee.co.id/api/v4/item/get?itemid=3461619242&amp;shopid=14318452", "Sunsilk Super Shampoo Bye Bye Rontok 300ml Rambut 10X* Lebih Kuat with Collagen &amp; Ginseng")</f>
        <v/>
      </c>
      <c r="P438" t="n">
        <v>1267</v>
      </c>
      <c r="Q438" t="n">
        <v>1946</v>
      </c>
      <c r="R438" t="n">
        <v>4.892415386706538</v>
      </c>
      <c r="S438" t="n">
        <v>60</v>
      </c>
      <c r="T438" t="n">
        <v>42</v>
      </c>
      <c r="U438" t="n">
        <v>161</v>
      </c>
      <c r="V438" t="n">
        <v>919</v>
      </c>
      <c r="W438" t="n">
        <v>13539</v>
      </c>
    </row>
    <row r="439">
      <c r="A439" t="inlineStr">
        <is>
          <t>Lifebuoy Sabun Batang Mild Care 110 gr Twin Pack</t>
        </is>
      </c>
      <c r="B439" t="inlineStr"/>
      <c r="C439" t="inlineStr">
        <is>
          <t>3%</t>
        </is>
      </c>
      <c r="D439" t="n">
        <v>46300</v>
      </c>
      <c r="E439" t="n">
        <v>47700</v>
      </c>
      <c r="F439" t="n">
        <v>46300</v>
      </c>
      <c r="G439" t="n">
        <v>47700</v>
      </c>
      <c r="H439" t="n">
        <v>46300</v>
      </c>
      <c r="I439" t="n">
        <v>47700</v>
      </c>
      <c r="J439" t="b">
        <v>1</v>
      </c>
      <c r="K439" t="inlineStr">
        <is>
          <t>Unilever Indonesia Official Shop</t>
        </is>
      </c>
      <c r="L439" t="inlineStr">
        <is>
          <t>KOTA BEKASI</t>
        </is>
      </c>
      <c r="M439" t="n">
        <v>5332143275</v>
      </c>
      <c r="N439" t="n">
        <v>14318452</v>
      </c>
      <c r="O439">
        <f>HYPERLINK("https://shopee.co.id/api/v4/item/get?itemid=5332143275&amp;shopid=14318452", "Lifebuoy Sabun Batang Mild Care 110 gr Twin Pack")</f>
        <v/>
      </c>
      <c r="P439" t="n">
        <v>299</v>
      </c>
      <c r="Q439" t="n">
        <v>413</v>
      </c>
      <c r="R439" t="n">
        <v>4.944235588972431</v>
      </c>
      <c r="S439" t="n">
        <v>12</v>
      </c>
      <c r="T439" t="n">
        <v>6</v>
      </c>
      <c r="U439" t="n">
        <v>16</v>
      </c>
      <c r="V439" t="n">
        <v>169</v>
      </c>
      <c r="W439" t="n">
        <v>4588</v>
      </c>
    </row>
    <row r="440">
      <c r="A440" t="inlineStr">
        <is>
          <t>Lifebuoy Sabun Mandi Batang Bar Soap Matcha green Tea 110g Isi 4Pcs - Sabun Antiseptik Anti Bakteri</t>
        </is>
      </c>
      <c r="B440" t="inlineStr">
        <is>
          <t>0</t>
        </is>
      </c>
      <c r="C440" t="inlineStr">
        <is>
          <t>3%</t>
        </is>
      </c>
      <c r="D440" t="n">
        <v>26200</v>
      </c>
      <c r="E440" t="n">
        <v>26900</v>
      </c>
      <c r="F440" t="n">
        <v>26200</v>
      </c>
      <c r="G440" t="n">
        <v>26900</v>
      </c>
      <c r="H440" t="n">
        <v>26200</v>
      </c>
      <c r="I440" t="n">
        <v>26900</v>
      </c>
      <c r="J440" t="b">
        <v>1</v>
      </c>
      <c r="K440" t="inlineStr">
        <is>
          <t>Unilever Indonesia Official Shop</t>
        </is>
      </c>
      <c r="L440" t="inlineStr">
        <is>
          <t>KOTA BEKASI</t>
        </is>
      </c>
      <c r="M440" t="n">
        <v>1862435220</v>
      </c>
      <c r="N440" t="n">
        <v>14318452</v>
      </c>
      <c r="O440">
        <f>HYPERLINK("https://shopee.co.id/api/v4/item/get?itemid=1862435220&amp;shopid=14318452", "Lifebuoy Sabun Mandi Batang Bar Soap Matcha green Tea 110g Isi 4Pcs - Sabun Antiseptik Anti Bakteri")</f>
        <v/>
      </c>
      <c r="P440" t="n">
        <v>837</v>
      </c>
      <c r="Q440" t="n">
        <v>442</v>
      </c>
      <c r="R440" t="n">
        <v>4.936524719264985</v>
      </c>
      <c r="S440" t="n">
        <v>40</v>
      </c>
      <c r="T440" t="n">
        <v>34</v>
      </c>
      <c r="U440" t="n">
        <v>142</v>
      </c>
      <c r="V440" t="n">
        <v>1214</v>
      </c>
      <c r="W440" t="n">
        <v>26011</v>
      </c>
    </row>
    <row r="441">
      <c r="A441" t="inlineStr">
        <is>
          <t>Sunsilk Shampo Thick And Long Aloevera Dan Biotin 170Ml Rambut 2X Lebih Panjang</t>
        </is>
      </c>
      <c r="B441" t="inlineStr">
        <is>
          <t>Sunsilk</t>
        </is>
      </c>
      <c r="C441" t="inlineStr">
        <is>
          <t>9%</t>
        </is>
      </c>
      <c r="D441" t="n">
        <v>24400</v>
      </c>
      <c r="E441" t="n">
        <v>26900</v>
      </c>
      <c r="F441" t="n">
        <v>24400</v>
      </c>
      <c r="G441" t="n">
        <v>26900</v>
      </c>
      <c r="H441" t="n">
        <v>24400</v>
      </c>
      <c r="I441" t="n">
        <v>26900</v>
      </c>
      <c r="J441" t="b">
        <v>1</v>
      </c>
      <c r="K441" t="inlineStr">
        <is>
          <t>Unilever Indonesia Official Shop</t>
        </is>
      </c>
      <c r="L441" t="inlineStr">
        <is>
          <t>KOTA BEKASI</t>
        </is>
      </c>
      <c r="M441" t="n">
        <v>1807661274</v>
      </c>
      <c r="N441" t="n">
        <v>14318452</v>
      </c>
      <c r="O441">
        <f>HYPERLINK("https://shopee.co.id/api/v4/item/get?itemid=1807661274&amp;shopid=14318452", "Sunsilk Shampo Thick And Long Aloevera Dan Biotin 170Ml Rambut 2X Lebih Panjang")</f>
        <v/>
      </c>
      <c r="P441" t="n">
        <v>169</v>
      </c>
      <c r="Q441" t="n">
        <v>328</v>
      </c>
      <c r="R441" t="n">
        <v>4.920357844206851</v>
      </c>
      <c r="S441" t="n">
        <v>6</v>
      </c>
      <c r="T441" t="n">
        <v>6</v>
      </c>
      <c r="U441" t="n">
        <v>33</v>
      </c>
      <c r="V441" t="n">
        <v>260</v>
      </c>
      <c r="W441" t="n">
        <v>4279</v>
      </c>
    </row>
    <row r="442">
      <c r="A442" t="inlineStr">
        <is>
          <t>Lifebuoy Body Wash Refill Matcha Green Tea 450ml</t>
        </is>
      </c>
      <c r="B442" t="inlineStr">
        <is>
          <t>Lifebuoy</t>
        </is>
      </c>
      <c r="C442" t="inlineStr">
        <is>
          <t>24%</t>
        </is>
      </c>
      <c r="D442" t="n">
        <v>23600</v>
      </c>
      <c r="E442" t="n">
        <v>31000</v>
      </c>
      <c r="F442" t="n">
        <v>23600</v>
      </c>
      <c r="G442" t="n">
        <v>31000</v>
      </c>
      <c r="H442" t="n">
        <v>23600</v>
      </c>
      <c r="I442" t="n">
        <v>31000</v>
      </c>
      <c r="J442" t="b">
        <v>1</v>
      </c>
      <c r="K442" t="inlineStr">
        <is>
          <t>Unilever Indonesia Official Shop</t>
        </is>
      </c>
      <c r="L442" t="inlineStr">
        <is>
          <t>KOTA SEMARANG</t>
        </is>
      </c>
      <c r="M442" t="n">
        <v>1862435216</v>
      </c>
      <c r="N442" t="n">
        <v>14318452</v>
      </c>
      <c r="O442">
        <f>HYPERLINK("https://shopee.co.id/api/v4/item/get?itemid=1862435216&amp;shopid=14318452", "Lifebuoy Body Wash Refill Matcha Green Tea 450ml")</f>
        <v/>
      </c>
      <c r="P442" t="n">
        <v>220</v>
      </c>
      <c r="Q442" t="n">
        <v>3</v>
      </c>
      <c r="R442" t="n">
        <v>4.91980402269211</v>
      </c>
      <c r="S442" t="n">
        <v>19</v>
      </c>
      <c r="T442" t="n">
        <v>17</v>
      </c>
      <c r="U442" t="n">
        <v>54</v>
      </c>
      <c r="V442" t="n">
        <v>387</v>
      </c>
      <c r="W442" t="n">
        <v>7279</v>
      </c>
    </row>
    <row r="443">
      <c r="A443" t="inlineStr">
        <is>
          <t>Glow &amp; Lovely Powder Cream 40gr</t>
        </is>
      </c>
      <c r="B443" t="inlineStr">
        <is>
          <t>0</t>
        </is>
      </c>
      <c r="C443" t="inlineStr">
        <is>
          <t>16%</t>
        </is>
      </c>
      <c r="D443" t="n">
        <v>43300</v>
      </c>
      <c r="E443" t="n">
        <v>51800</v>
      </c>
      <c r="F443" t="n">
        <v>43300</v>
      </c>
      <c r="G443" t="n">
        <v>51800</v>
      </c>
      <c r="H443" t="n">
        <v>43300</v>
      </c>
      <c r="I443" t="n">
        <v>51800</v>
      </c>
      <c r="J443" t="b">
        <v>1</v>
      </c>
      <c r="K443" t="inlineStr">
        <is>
          <t>Unilever Indonesia Official Shop</t>
        </is>
      </c>
      <c r="L443" t="inlineStr">
        <is>
          <t>KOTA BEKASI</t>
        </is>
      </c>
      <c r="M443" t="n">
        <v>1084017160</v>
      </c>
      <c r="N443" t="n">
        <v>14318452</v>
      </c>
      <c r="O443">
        <f>HYPERLINK("https://shopee.co.id/api/v4/item/get?itemid=1084017160&amp;shopid=14318452", "Glow &amp; Lovely Powder Cream 40gr")</f>
        <v/>
      </c>
      <c r="P443" t="n">
        <v>396</v>
      </c>
      <c r="Q443" t="n">
        <v>269</v>
      </c>
      <c r="R443" t="n">
        <v>4.918218176803199</v>
      </c>
      <c r="S443" t="n">
        <v>16</v>
      </c>
      <c r="T443" t="n">
        <v>9</v>
      </c>
      <c r="U443" t="n">
        <v>46</v>
      </c>
      <c r="V443" t="n">
        <v>413</v>
      </c>
      <c r="W443" t="n">
        <v>6769</v>
      </c>
    </row>
    <row r="444">
      <c r="A444" t="inlineStr">
        <is>
          <t>Jawara Cabai Tabur Bawang Goreng 35 gr</t>
        </is>
      </c>
      <c r="B444" t="inlineStr">
        <is>
          <t>Jawara</t>
        </is>
      </c>
      <c r="C444" t="inlineStr">
        <is>
          <t>9%</t>
        </is>
      </c>
      <c r="D444" t="n">
        <v>7500</v>
      </c>
      <c r="E444" t="n">
        <v>8200</v>
      </c>
      <c r="F444" t="n">
        <v>7500</v>
      </c>
      <c r="G444" t="n">
        <v>8200</v>
      </c>
      <c r="H444" t="n">
        <v>7500</v>
      </c>
      <c r="I444" t="n">
        <v>8200</v>
      </c>
      <c r="J444" t="b">
        <v>1</v>
      </c>
      <c r="K444" t="inlineStr">
        <is>
          <t>Unilever Indonesia Official Shop</t>
        </is>
      </c>
      <c r="L444" t="inlineStr">
        <is>
          <t>KAB. BANYUASIN</t>
        </is>
      </c>
      <c r="M444" t="n">
        <v>4850855703</v>
      </c>
      <c r="N444" t="n">
        <v>14318452</v>
      </c>
      <c r="O444">
        <f>HYPERLINK("https://shopee.co.id/api/v4/item/get?itemid=4850855703&amp;shopid=14318452", "Jawara Cabai Tabur Bawang Goreng 35 gr")</f>
        <v/>
      </c>
      <c r="P444" t="n">
        <v>397</v>
      </c>
      <c r="Q444" t="n">
        <v>293</v>
      </c>
      <c r="R444" t="n">
        <v>4.909870129870129</v>
      </c>
      <c r="S444" t="n">
        <v>9</v>
      </c>
      <c r="T444" t="n">
        <v>8</v>
      </c>
      <c r="U444" t="n">
        <v>32</v>
      </c>
      <c r="V444" t="n">
        <v>223</v>
      </c>
      <c r="W444" t="n">
        <v>3578</v>
      </c>
    </row>
    <row r="445">
      <c r="A445" t="inlineStr">
        <is>
          <t>Lifebuoy Sabun Cair Mild Care Refill 825ml (Paket Isi 4)</t>
        </is>
      </c>
      <c r="B445" t="inlineStr">
        <is>
          <t>Lifebuoy</t>
        </is>
      </c>
      <c r="C445" t="inlineStr">
        <is>
          <t>38%</t>
        </is>
      </c>
      <c r="D445" t="n">
        <v>138200</v>
      </c>
      <c r="E445" t="n">
        <v>222400</v>
      </c>
      <c r="F445" t="n">
        <v>138200</v>
      </c>
      <c r="G445" t="n">
        <v>222400</v>
      </c>
      <c r="H445" t="n">
        <v>138200</v>
      </c>
      <c r="I445" t="n">
        <v>222400</v>
      </c>
      <c r="J445" t="b">
        <v>1</v>
      </c>
      <c r="K445" t="inlineStr">
        <is>
          <t>Unilever Indonesia Official Shop</t>
        </is>
      </c>
      <c r="L445" t="inlineStr">
        <is>
          <t>KOTA DENPASAR</t>
        </is>
      </c>
      <c r="M445" t="n">
        <v>7831328638</v>
      </c>
      <c r="N445" t="n">
        <v>14318452</v>
      </c>
      <c r="O445">
        <f>HYPERLINK("https://shopee.co.id/api/v4/item/get?itemid=7831328638&amp;shopid=14318452", "Lifebuoy Sabun Cair Mild Care Refill 825ml (Paket Isi 4)")</f>
        <v/>
      </c>
      <c r="P445" t="n">
        <v>1006</v>
      </c>
      <c r="Q445" t="n">
        <v>11</v>
      </c>
      <c r="R445" t="n">
        <v>4.942929177171671</v>
      </c>
      <c r="S445" t="n">
        <v>44</v>
      </c>
      <c r="T445" t="n">
        <v>25</v>
      </c>
      <c r="U445" t="n">
        <v>67</v>
      </c>
      <c r="V445" t="n">
        <v>391</v>
      </c>
      <c r="W445" t="n">
        <v>12570</v>
      </c>
    </row>
    <row r="446">
      <c r="A446" t="inlineStr">
        <is>
          <t>Vaseline Men Oil Control Face Wash 100 gr - Twin Pack</t>
        </is>
      </c>
      <c r="B446" t="inlineStr">
        <is>
          <t>Vaseline</t>
        </is>
      </c>
      <c r="C446" t="inlineStr">
        <is>
          <t>15%</t>
        </is>
      </c>
      <c r="D446" t="n">
        <v>57600</v>
      </c>
      <c r="E446" t="n">
        <v>67600</v>
      </c>
      <c r="F446" t="n">
        <v>57600</v>
      </c>
      <c r="G446" t="n">
        <v>67600</v>
      </c>
      <c r="H446" t="n">
        <v>57600</v>
      </c>
      <c r="I446" t="n">
        <v>67600</v>
      </c>
      <c r="J446" t="b">
        <v>1</v>
      </c>
      <c r="K446" t="inlineStr">
        <is>
          <t>Unilever Indonesia Official Shop</t>
        </is>
      </c>
      <c r="L446" t="inlineStr">
        <is>
          <t>KOTA BEKASI</t>
        </is>
      </c>
      <c r="M446" t="n">
        <v>6031818399</v>
      </c>
      <c r="N446" t="n">
        <v>14318452</v>
      </c>
      <c r="O446">
        <f>HYPERLINK("https://shopee.co.id/api/v4/item/get?itemid=6031818399&amp;shopid=14318452", "Vaseline Men Oil Control Face Wash 100 gr - Twin Pack")</f>
        <v/>
      </c>
      <c r="P446" t="n">
        <v>382</v>
      </c>
      <c r="Q446" t="n">
        <v>276</v>
      </c>
      <c r="R446" t="n">
        <v>4.940611053896327</v>
      </c>
      <c r="S446" t="n">
        <v>6</v>
      </c>
      <c r="T446" t="n">
        <v>2</v>
      </c>
      <c r="U446" t="n">
        <v>16</v>
      </c>
      <c r="V446" t="n">
        <v>117</v>
      </c>
      <c r="W446" t="n">
        <v>2774</v>
      </c>
    </row>
    <row r="447">
      <c r="A447" t="inlineStr">
        <is>
          <t>Molto Trika Pewangi Pakaian Pelicin Pakaian Japanese Peach Wangi 72 Jam 400Mlx2</t>
        </is>
      </c>
      <c r="B447" t="inlineStr">
        <is>
          <t>Molto</t>
        </is>
      </c>
      <c r="C447" t="inlineStr">
        <is>
          <t>8%</t>
        </is>
      </c>
      <c r="D447" t="n">
        <v>15600</v>
      </c>
      <c r="E447" t="n">
        <v>16900</v>
      </c>
      <c r="F447" t="n">
        <v>15600</v>
      </c>
      <c r="G447" t="n">
        <v>16900</v>
      </c>
      <c r="H447" t="n">
        <v>15600</v>
      </c>
      <c r="I447" t="n">
        <v>16900</v>
      </c>
      <c r="J447" t="b">
        <v>1</v>
      </c>
      <c r="K447" t="inlineStr">
        <is>
          <t>Unilever Indonesia Official Shop</t>
        </is>
      </c>
      <c r="L447" t="inlineStr">
        <is>
          <t>KOTA BEKASI</t>
        </is>
      </c>
      <c r="M447" t="n">
        <v>5631163172</v>
      </c>
      <c r="N447" t="n">
        <v>14318452</v>
      </c>
      <c r="O447">
        <f>HYPERLINK("https://shopee.co.id/api/v4/item/get?itemid=5631163172&amp;shopid=14318452", "Molto Trika Pewangi Pakaian Pelicin Pakaian Japanese Peach Wangi 72 Jam 400Mlx2")</f>
        <v/>
      </c>
      <c r="P447" t="n">
        <v>1784</v>
      </c>
      <c r="Q447" t="n">
        <v>2964</v>
      </c>
      <c r="R447" t="n">
        <v>4.943843238999079</v>
      </c>
      <c r="S447" t="n">
        <v>53</v>
      </c>
      <c r="T447" t="n">
        <v>33</v>
      </c>
      <c r="U447" t="n">
        <v>122</v>
      </c>
      <c r="V447" t="n">
        <v>1111</v>
      </c>
      <c r="W447" t="n">
        <v>27988</v>
      </c>
    </row>
    <row r="448">
      <c r="A448" t="inlineStr">
        <is>
          <t>Citra Marine Collagen Body Wash 400 ml</t>
        </is>
      </c>
      <c r="B448" t="inlineStr"/>
      <c r="C448" t="inlineStr">
        <is>
          <t>21%</t>
        </is>
      </c>
      <c r="D448" t="n">
        <v>32300</v>
      </c>
      <c r="E448" t="n">
        <v>40700</v>
      </c>
      <c r="F448" t="n">
        <v>32300</v>
      </c>
      <c r="G448" t="n">
        <v>40700</v>
      </c>
      <c r="H448" t="n">
        <v>32300</v>
      </c>
      <c r="I448" t="n">
        <v>40700</v>
      </c>
      <c r="J448" t="b">
        <v>1</v>
      </c>
      <c r="K448" t="inlineStr">
        <is>
          <t>Unilever Indonesia Official Shop</t>
        </is>
      </c>
      <c r="L448" t="inlineStr">
        <is>
          <t>KOTA BEKASI</t>
        </is>
      </c>
      <c r="M448" t="n">
        <v>8719049381</v>
      </c>
      <c r="N448" t="n">
        <v>14318452</v>
      </c>
      <c r="O448">
        <f>HYPERLINK("https://shopee.co.id/api/v4/item/get?itemid=8719049381&amp;shopid=14318452", "Citra Marine Collagen Body Wash 400 ml")</f>
        <v/>
      </c>
      <c r="P448" t="n">
        <v>94</v>
      </c>
      <c r="Q448" t="n">
        <v>498</v>
      </c>
      <c r="R448" t="n">
        <v>4.933014354066986</v>
      </c>
      <c r="S448" t="n">
        <v>2</v>
      </c>
      <c r="T448" t="n">
        <v>2</v>
      </c>
      <c r="U448" t="n">
        <v>13</v>
      </c>
      <c r="V448" t="n">
        <v>114</v>
      </c>
      <c r="W448" t="n">
        <v>2168</v>
      </c>
    </row>
    <row r="449">
      <c r="A449" t="inlineStr">
        <is>
          <t>Buavita Jus Buah Asli Jambu Guava Juice 100% Vitamin C Harian 500Ml</t>
        </is>
      </c>
      <c r="B449" t="inlineStr">
        <is>
          <t>Buavita</t>
        </is>
      </c>
      <c r="C449" t="inlineStr">
        <is>
          <t>25%</t>
        </is>
      </c>
      <c r="D449" t="n">
        <v>10600</v>
      </c>
      <c r="E449" t="n">
        <v>14100</v>
      </c>
      <c r="F449" t="n">
        <v>10600</v>
      </c>
      <c r="G449" t="n">
        <v>14100</v>
      </c>
      <c r="H449" t="n">
        <v>10600</v>
      </c>
      <c r="I449" t="n">
        <v>14100</v>
      </c>
      <c r="J449" t="b">
        <v>1</v>
      </c>
      <c r="K449" t="inlineStr">
        <is>
          <t>Unilever Indonesia Official Shop</t>
        </is>
      </c>
      <c r="L449" t="inlineStr">
        <is>
          <t>KOTA BEKASI</t>
        </is>
      </c>
      <c r="M449" t="n">
        <v>1921369024</v>
      </c>
      <c r="N449" t="n">
        <v>14318452</v>
      </c>
      <c r="O449">
        <f>HYPERLINK("https://shopee.co.id/api/v4/item/get?itemid=1921369024&amp;shopid=14318452", "Buavita Jus Buah Asli Jambu Guava Juice 100% Vitamin C Harian 500Ml")</f>
        <v/>
      </c>
      <c r="P449" t="n">
        <v>193</v>
      </c>
      <c r="Q449" t="n">
        <v>298</v>
      </c>
      <c r="R449" t="n">
        <v>4.840748695918993</v>
      </c>
      <c r="S449" t="n">
        <v>31</v>
      </c>
      <c r="T449" t="n">
        <v>23</v>
      </c>
      <c r="U449" t="n">
        <v>54</v>
      </c>
      <c r="V449" t="n">
        <v>225</v>
      </c>
      <c r="W449" t="n">
        <v>2929</v>
      </c>
    </row>
    <row r="450">
      <c r="A450" t="inlineStr">
        <is>
          <t>Vaseline Men Face Wash Oil Control 100G</t>
        </is>
      </c>
      <c r="B450" t="inlineStr">
        <is>
          <t>Vaseline</t>
        </is>
      </c>
      <c r="C450" t="inlineStr">
        <is>
          <t>13%</t>
        </is>
      </c>
      <c r="D450" t="n">
        <v>29800</v>
      </c>
      <c r="E450" t="n">
        <v>34100</v>
      </c>
      <c r="F450" t="n">
        <v>29800</v>
      </c>
      <c r="G450" t="n">
        <v>34100</v>
      </c>
      <c r="H450" t="n">
        <v>29800</v>
      </c>
      <c r="I450" t="n">
        <v>34100</v>
      </c>
      <c r="J450" t="b">
        <v>1</v>
      </c>
      <c r="K450" t="inlineStr">
        <is>
          <t>Unilever Indonesia Official Shop</t>
        </is>
      </c>
      <c r="L450" t="inlineStr">
        <is>
          <t>KOTA BEKASI</t>
        </is>
      </c>
      <c r="M450" t="n">
        <v>127331878</v>
      </c>
      <c r="N450" t="n">
        <v>14318452</v>
      </c>
      <c r="O450">
        <f>HYPERLINK("https://shopee.co.id/api/v4/item/get?itemid=127331878&amp;shopid=14318452", "Vaseline Men Face Wash Oil Control 100G")</f>
        <v/>
      </c>
      <c r="P450" t="n">
        <v>518</v>
      </c>
      <c r="Q450" t="n">
        <v>558</v>
      </c>
      <c r="R450" t="n">
        <v>4.908949306145568</v>
      </c>
      <c r="S450" t="n">
        <v>14</v>
      </c>
      <c r="T450" t="n">
        <v>9</v>
      </c>
      <c r="U450" t="n">
        <v>59</v>
      </c>
      <c r="V450" t="n">
        <v>445</v>
      </c>
      <c r="W450" t="n">
        <v>6536</v>
      </c>
    </row>
    <row r="451">
      <c r="A451" t="inlineStr">
        <is>
          <t>Citra Hand and Body Lotion Sun Protected Glow SPF 20 230ml</t>
        </is>
      </c>
      <c r="B451" t="inlineStr">
        <is>
          <t>None</t>
        </is>
      </c>
      <c r="C451" t="inlineStr">
        <is>
          <t>2%</t>
        </is>
      </c>
      <c r="D451" t="n">
        <v>32400</v>
      </c>
      <c r="E451" t="n">
        <v>33100</v>
      </c>
      <c r="F451" t="n">
        <v>32400</v>
      </c>
      <c r="G451" t="n">
        <v>33100</v>
      </c>
      <c r="H451" t="n">
        <v>32400</v>
      </c>
      <c r="I451" t="n">
        <v>33100</v>
      </c>
      <c r="J451" t="b">
        <v>1</v>
      </c>
      <c r="K451" t="inlineStr">
        <is>
          <t>Unilever Indonesia Official Shop</t>
        </is>
      </c>
      <c r="L451" t="inlineStr">
        <is>
          <t>KOTA BEKASI</t>
        </is>
      </c>
      <c r="M451" t="n">
        <v>7031996193</v>
      </c>
      <c r="N451" t="n">
        <v>14318452</v>
      </c>
      <c r="O451">
        <f>HYPERLINK("https://shopee.co.id/api/v4/item/get?itemid=7031996193&amp;shopid=14318452", "Citra Hand and Body Lotion Sun Protected Glow SPF 20 230ml")</f>
        <v/>
      </c>
      <c r="P451" t="n">
        <v>186</v>
      </c>
      <c r="Q451" t="n">
        <v>308</v>
      </c>
      <c r="R451" t="n">
        <v>4.909965034965035</v>
      </c>
      <c r="S451" t="n">
        <v>8</v>
      </c>
      <c r="T451" t="n">
        <v>3</v>
      </c>
      <c r="U451" t="n">
        <v>29</v>
      </c>
      <c r="V451" t="n">
        <v>210</v>
      </c>
      <c r="W451" t="n">
        <v>3182</v>
      </c>
    </row>
    <row r="452">
      <c r="A452" t="inlineStr">
        <is>
          <t>Clear Anti Dandruff Shampo Anti Ketombe Super Fresh Apple 160ml Membunuh Bakteri</t>
        </is>
      </c>
      <c r="B452" t="inlineStr">
        <is>
          <t>0</t>
        </is>
      </c>
      <c r="C452" t="inlineStr">
        <is>
          <t>17%</t>
        </is>
      </c>
      <c r="D452" t="n">
        <v>30100</v>
      </c>
      <c r="E452" t="n">
        <v>36200</v>
      </c>
      <c r="F452" t="n">
        <v>30100</v>
      </c>
      <c r="G452" t="n">
        <v>36200</v>
      </c>
      <c r="H452" t="n">
        <v>30100</v>
      </c>
      <c r="I452" t="n">
        <v>36200</v>
      </c>
      <c r="J452" t="b">
        <v>1</v>
      </c>
      <c r="K452" t="inlineStr">
        <is>
          <t>Unilever Indonesia Official Shop</t>
        </is>
      </c>
      <c r="L452" t="inlineStr">
        <is>
          <t>KOTA BEKASI</t>
        </is>
      </c>
      <c r="M452" t="n">
        <v>1465737723</v>
      </c>
      <c r="N452" t="n">
        <v>14318452</v>
      </c>
      <c r="O452">
        <f>HYPERLINK("https://shopee.co.id/api/v4/item/get?itemid=1465737723&amp;shopid=14318452", "Clear Anti Dandruff Shampo Anti Ketombe Super Fresh Apple 160ml Membunuh Bakteri")</f>
        <v/>
      </c>
      <c r="P452" t="n">
        <v>162</v>
      </c>
      <c r="Q452" t="n">
        <v>198</v>
      </c>
      <c r="R452" t="n">
        <v>4.938490655311095</v>
      </c>
      <c r="S452" t="n">
        <v>3</v>
      </c>
      <c r="T452" t="n">
        <v>4</v>
      </c>
      <c r="U452" t="n">
        <v>19</v>
      </c>
      <c r="V452" t="n">
        <v>201</v>
      </c>
      <c r="W452" t="n">
        <v>4001</v>
      </c>
    </row>
    <row r="453">
      <c r="A453" t="inlineStr">
        <is>
          <t>Pepsodent Sikat Gigi Nature Essentials Siwak Isi 2</t>
        </is>
      </c>
      <c r="B453" t="inlineStr"/>
      <c r="C453" t="inlineStr">
        <is>
          <t>27%</t>
        </is>
      </c>
      <c r="D453" t="n">
        <v>15500</v>
      </c>
      <c r="E453" t="n">
        <v>21300</v>
      </c>
      <c r="F453" t="n">
        <v>15500</v>
      </c>
      <c r="G453" t="n">
        <v>21300</v>
      </c>
      <c r="H453" t="n">
        <v>15500</v>
      </c>
      <c r="I453" t="n">
        <v>21300</v>
      </c>
      <c r="J453" t="b">
        <v>1</v>
      </c>
      <c r="K453" t="inlineStr">
        <is>
          <t>Unilever Indonesia Official Shop</t>
        </is>
      </c>
      <c r="L453" t="inlineStr">
        <is>
          <t>KOTA BEKASI</t>
        </is>
      </c>
      <c r="M453" t="n">
        <v>8753554084</v>
      </c>
      <c r="N453" t="n">
        <v>14318452</v>
      </c>
      <c r="O453">
        <f>HYPERLINK("https://shopee.co.id/api/v4/item/get?itemid=8753554084&amp;shopid=14318452", "Pepsodent Sikat Gigi Nature Essentials Siwak Isi 2")</f>
        <v/>
      </c>
      <c r="P453" t="n">
        <v>2144</v>
      </c>
      <c r="Q453" t="n">
        <v>38</v>
      </c>
      <c r="R453" t="n">
        <v>4.915577999780437</v>
      </c>
      <c r="S453" t="n">
        <v>18</v>
      </c>
      <c r="T453" t="n">
        <v>11</v>
      </c>
      <c r="U453" t="n">
        <v>72</v>
      </c>
      <c r="V453" t="n">
        <v>520</v>
      </c>
      <c r="W453" t="n">
        <v>8488</v>
      </c>
    </row>
    <row r="454">
      <c r="A454" t="inlineStr">
        <is>
          <t>Zwitsal Natural Baby Milky Bath Rich Honey 250 ml</t>
        </is>
      </c>
      <c r="B454" t="inlineStr">
        <is>
          <t>0</t>
        </is>
      </c>
      <c r="C454" t="inlineStr">
        <is>
          <t>17%</t>
        </is>
      </c>
      <c r="D454" t="n">
        <v>25500</v>
      </c>
      <c r="E454" t="n">
        <v>30900</v>
      </c>
      <c r="F454" t="n">
        <v>25500</v>
      </c>
      <c r="G454" t="n">
        <v>30900</v>
      </c>
      <c r="H454" t="n">
        <v>25500</v>
      </c>
      <c r="I454" t="n">
        <v>30900</v>
      </c>
      <c r="J454" t="b">
        <v>1</v>
      </c>
      <c r="K454" t="inlineStr">
        <is>
          <t>Unilever Indonesia Official Shop</t>
        </is>
      </c>
      <c r="L454" t="inlineStr">
        <is>
          <t>KOTA BEKASI</t>
        </is>
      </c>
      <c r="M454" t="n">
        <v>3758016080</v>
      </c>
      <c r="N454" t="n">
        <v>14318452</v>
      </c>
      <c r="O454">
        <f>HYPERLINK("https://shopee.co.id/api/v4/item/get?itemid=3758016080&amp;shopid=14318452", "Zwitsal Natural Baby Milky Bath Rich Honey 250 ml")</f>
        <v/>
      </c>
      <c r="P454" t="n">
        <v>144</v>
      </c>
      <c r="Q454" t="n">
        <v>252</v>
      </c>
      <c r="R454" t="n">
        <v>4.922971741112124</v>
      </c>
      <c r="S454" t="n">
        <v>5</v>
      </c>
      <c r="T454" t="n">
        <v>1</v>
      </c>
      <c r="U454" t="n">
        <v>16</v>
      </c>
      <c r="V454" t="n">
        <v>117</v>
      </c>
      <c r="W454" t="n">
        <v>2056</v>
      </c>
    </row>
    <row r="455">
      <c r="A455" t="inlineStr">
        <is>
          <t>Rinso Molto Detergent Cair Rose Fresh 1.65L - Deterjen Pewangi, Liquid Detergent</t>
        </is>
      </c>
      <c r="B455" t="inlineStr">
        <is>
          <t>Rinso</t>
        </is>
      </c>
      <c r="C455" t="inlineStr">
        <is>
          <t>21%</t>
        </is>
      </c>
      <c r="D455" t="n">
        <v>43000</v>
      </c>
      <c r="E455" t="n">
        <v>54600</v>
      </c>
      <c r="F455" t="n">
        <v>43000</v>
      </c>
      <c r="G455" t="n">
        <v>54600</v>
      </c>
      <c r="H455" t="n">
        <v>43000</v>
      </c>
      <c r="I455" t="n">
        <v>54600</v>
      </c>
      <c r="J455" t="b">
        <v>1</v>
      </c>
      <c r="K455" t="inlineStr">
        <is>
          <t>Unilever Indonesia Official Shop</t>
        </is>
      </c>
      <c r="L455" t="inlineStr">
        <is>
          <t>KOTA BEKASI</t>
        </is>
      </c>
      <c r="M455" t="n">
        <v>3243452394</v>
      </c>
      <c r="N455" t="n">
        <v>14318452</v>
      </c>
      <c r="O455">
        <f>HYPERLINK("https://shopee.co.id/api/v4/item/get?itemid=3243452394&amp;shopid=14318452", "Rinso Molto Detergent Cair Rose Fresh 1.65L - Deterjen Pewangi, Liquid Detergent")</f>
        <v/>
      </c>
      <c r="P455" t="n">
        <v>962</v>
      </c>
      <c r="Q455" t="n">
        <v>629</v>
      </c>
      <c r="R455" t="n">
        <v>4.943229972422143</v>
      </c>
      <c r="S455" t="n">
        <v>39</v>
      </c>
      <c r="T455" t="n">
        <v>16</v>
      </c>
      <c r="U455" t="n">
        <v>64</v>
      </c>
      <c r="V455" t="n">
        <v>526</v>
      </c>
      <c r="W455" t="n">
        <v>14232</v>
      </c>
    </row>
    <row r="456">
      <c r="A456" t="inlineStr">
        <is>
          <t>Molto Pewangi Flower Shower 280 mL</t>
        </is>
      </c>
      <c r="B456" t="inlineStr">
        <is>
          <t>0</t>
        </is>
      </c>
      <c r="C456" t="inlineStr">
        <is>
          <t>42%</t>
        </is>
      </c>
      <c r="D456" t="n">
        <v>5300</v>
      </c>
      <c r="E456" t="n">
        <v>9200</v>
      </c>
      <c r="F456" t="n">
        <v>5300</v>
      </c>
      <c r="G456" t="n">
        <v>9200</v>
      </c>
      <c r="H456" t="n">
        <v>5300</v>
      </c>
      <c r="I456" t="n">
        <v>9200</v>
      </c>
      <c r="J456" t="b">
        <v>1</v>
      </c>
      <c r="K456" t="inlineStr">
        <is>
          <t>Unilever Indonesia Official Shop</t>
        </is>
      </c>
      <c r="L456" t="inlineStr">
        <is>
          <t>KOTA BEKASI</t>
        </is>
      </c>
      <c r="M456" t="n">
        <v>1921369022</v>
      </c>
      <c r="N456" t="n">
        <v>14318452</v>
      </c>
      <c r="O456">
        <f>HYPERLINK("https://shopee.co.id/api/v4/item/get?itemid=1921369022&amp;shopid=14318452", "Molto Pewangi Flower Shower 280 mL")</f>
        <v/>
      </c>
      <c r="P456" t="n">
        <v>761</v>
      </c>
      <c r="Q456" t="n">
        <v>1361</v>
      </c>
      <c r="R456" t="n">
        <v>4.885653409090909</v>
      </c>
      <c r="S456" t="n">
        <v>32</v>
      </c>
      <c r="T456" t="n">
        <v>23</v>
      </c>
      <c r="U456" t="n">
        <v>140</v>
      </c>
      <c r="V456" t="n">
        <v>650</v>
      </c>
      <c r="W456" t="n">
        <v>9011</v>
      </c>
    </row>
    <row r="457">
      <c r="A457" t="inlineStr">
        <is>
          <t>Citra Sakura Glow UV Hand And Body Lotion 120 ml</t>
        </is>
      </c>
      <c r="B457" t="inlineStr">
        <is>
          <t>0</t>
        </is>
      </c>
      <c r="C457" t="inlineStr">
        <is>
          <t>1%</t>
        </is>
      </c>
      <c r="D457" t="n">
        <v>16200</v>
      </c>
      <c r="E457" t="n">
        <v>16300</v>
      </c>
      <c r="F457" t="n">
        <v>16200</v>
      </c>
      <c r="G457" t="n">
        <v>16300</v>
      </c>
      <c r="H457" t="n">
        <v>16200</v>
      </c>
      <c r="I457" t="n">
        <v>16300</v>
      </c>
      <c r="J457" t="b">
        <v>1</v>
      </c>
      <c r="K457" t="inlineStr">
        <is>
          <t>Unilever Indonesia Official Shop</t>
        </is>
      </c>
      <c r="L457" t="inlineStr">
        <is>
          <t>KOTA BEKASI</t>
        </is>
      </c>
      <c r="M457" t="n">
        <v>1040516932</v>
      </c>
      <c r="N457" t="n">
        <v>14318452</v>
      </c>
      <c r="O457">
        <f>HYPERLINK("https://shopee.co.id/api/v4/item/get?itemid=1040516932&amp;shopid=14318452", "Citra Sakura Glow UV Hand And Body Lotion 120 ml")</f>
        <v/>
      </c>
      <c r="P457" t="n">
        <v>134</v>
      </c>
      <c r="Q457" t="n">
        <v>465</v>
      </c>
      <c r="R457" t="n">
        <v>4.908658310120706</v>
      </c>
      <c r="S457" t="n">
        <v>23</v>
      </c>
      <c r="T457" t="n">
        <v>14</v>
      </c>
      <c r="U457" t="n">
        <v>68</v>
      </c>
      <c r="V457" t="n">
        <v>524</v>
      </c>
      <c r="W457" t="n">
        <v>7989</v>
      </c>
    </row>
    <row r="458">
      <c r="A458" t="inlineStr">
        <is>
          <t>Lifebuoy Body Wash Refill Cool Fresh Antibakteri 400ml Twin Pack</t>
        </is>
      </c>
      <c r="B458" t="inlineStr">
        <is>
          <t>Lifebuoy</t>
        </is>
      </c>
      <c r="C458" t="inlineStr">
        <is>
          <t>28%</t>
        </is>
      </c>
      <c r="D458" t="n">
        <v>45000</v>
      </c>
      <c r="E458" t="n">
        <v>62800</v>
      </c>
      <c r="F458" t="n">
        <v>45000</v>
      </c>
      <c r="G458" t="n">
        <v>62800</v>
      </c>
      <c r="H458" t="n">
        <v>45000</v>
      </c>
      <c r="I458" t="n">
        <v>62800</v>
      </c>
      <c r="J458" t="b">
        <v>1</v>
      </c>
      <c r="K458" t="inlineStr">
        <is>
          <t>Unilever Indonesia Official Shop</t>
        </is>
      </c>
      <c r="L458" t="inlineStr">
        <is>
          <t>KOTA BEKASI</t>
        </is>
      </c>
      <c r="M458" t="n">
        <v>4531329914</v>
      </c>
      <c r="N458" t="n">
        <v>14318452</v>
      </c>
      <c r="O458">
        <f>HYPERLINK("https://shopee.co.id/api/v4/item/get?itemid=4531329914&amp;shopid=14318452", "Lifebuoy Body Wash Refill Cool Fresh Antibakteri 400ml Twin Pack")</f>
        <v/>
      </c>
      <c r="P458" t="n">
        <v>127</v>
      </c>
      <c r="Q458" t="n">
        <v>8</v>
      </c>
      <c r="R458" t="n">
        <v>4.934779116465863</v>
      </c>
      <c r="S458" t="n">
        <v>18</v>
      </c>
      <c r="T458" t="n">
        <v>10</v>
      </c>
      <c r="U458" t="n">
        <v>40</v>
      </c>
      <c r="V458" t="n">
        <v>238</v>
      </c>
      <c r="W458" t="n">
        <v>5924</v>
      </c>
    </row>
    <row r="459">
      <c r="A459" t="inlineStr">
        <is>
          <t>Molto Pewangi Sports Fresh 780 Ml</t>
        </is>
      </c>
      <c r="B459" t="inlineStr"/>
      <c r="C459" t="inlineStr">
        <is>
          <t>8%</t>
        </is>
      </c>
      <c r="D459" t="n">
        <v>14500</v>
      </c>
      <c r="E459" t="n">
        <v>15800</v>
      </c>
      <c r="F459" t="n">
        <v>14500</v>
      </c>
      <c r="G459" t="n">
        <v>15800</v>
      </c>
      <c r="H459" t="n">
        <v>14500</v>
      </c>
      <c r="I459" t="n">
        <v>15800</v>
      </c>
      <c r="J459" t="b">
        <v>0</v>
      </c>
      <c r="K459" t="inlineStr">
        <is>
          <t>Unilever Indonesia Official Shop</t>
        </is>
      </c>
      <c r="L459" t="inlineStr">
        <is>
          <t>KOTA BEKASI</t>
        </is>
      </c>
      <c r="M459" t="n">
        <v>6679233907</v>
      </c>
      <c r="N459" t="n">
        <v>14318452</v>
      </c>
      <c r="O459">
        <f>HYPERLINK("https://shopee.co.id/api/v4/item/get?itemid=6679233907&amp;shopid=14318452", "Molto Pewangi Sports Fresh 780 Ml")</f>
        <v/>
      </c>
      <c r="P459" t="n">
        <v>629</v>
      </c>
      <c r="Q459" t="n">
        <v>419</v>
      </c>
      <c r="R459" t="n">
        <v>4.950286510763513</v>
      </c>
      <c r="S459" t="n">
        <v>7</v>
      </c>
      <c r="T459" t="n">
        <v>1</v>
      </c>
      <c r="U459" t="n">
        <v>30</v>
      </c>
      <c r="V459" t="n">
        <v>242</v>
      </c>
      <c r="W459" t="n">
        <v>6182</v>
      </c>
    </row>
    <row r="460">
      <c r="A460" t="inlineStr">
        <is>
          <t>Vaseline Lotion Intensive Care Advanced Stregth 200Ml</t>
        </is>
      </c>
      <c r="B460" t="inlineStr">
        <is>
          <t>0</t>
        </is>
      </c>
      <c r="C460" t="inlineStr">
        <is>
          <t>10%</t>
        </is>
      </c>
      <c r="D460" t="n">
        <v>43800</v>
      </c>
      <c r="E460" t="n">
        <v>48800</v>
      </c>
      <c r="F460" t="n">
        <v>43800</v>
      </c>
      <c r="G460" t="n">
        <v>48800</v>
      </c>
      <c r="H460" t="n">
        <v>43800</v>
      </c>
      <c r="I460" t="n">
        <v>48800</v>
      </c>
      <c r="J460" t="b">
        <v>1</v>
      </c>
      <c r="K460" t="inlineStr">
        <is>
          <t>Unilever Indonesia Official Shop</t>
        </is>
      </c>
      <c r="L460" t="inlineStr">
        <is>
          <t>KOTA BEKASI</t>
        </is>
      </c>
      <c r="M460" t="n">
        <v>127357981</v>
      </c>
      <c r="N460" t="n">
        <v>14318452</v>
      </c>
      <c r="O460">
        <f>HYPERLINK("https://shopee.co.id/api/v4/item/get?itemid=127357981&amp;shopid=14318452", "Vaseline Lotion Intensive Care Advanced Stregth 200Ml")</f>
        <v/>
      </c>
      <c r="P460" t="n">
        <v>269</v>
      </c>
      <c r="Q460" t="n">
        <v>273</v>
      </c>
      <c r="R460" t="n">
        <v>4.927384907451352</v>
      </c>
      <c r="S460" t="n">
        <v>15</v>
      </c>
      <c r="T460" t="n">
        <v>7</v>
      </c>
      <c r="U460" t="n">
        <v>56</v>
      </c>
      <c r="V460" t="n">
        <v>423</v>
      </c>
      <c r="W460" t="n">
        <v>7928</v>
      </c>
    </row>
    <row r="461">
      <c r="A461" t="inlineStr">
        <is>
          <t>Ponds Micellar Water Hydrating Aloe 100ml 99% Makeup Remover dgn Niacinamide &amp; Vitamin C</t>
        </is>
      </c>
      <c r="B461" t="inlineStr">
        <is>
          <t>0</t>
        </is>
      </c>
      <c r="C461" t="inlineStr">
        <is>
          <t>20%</t>
        </is>
      </c>
      <c r="D461" t="n">
        <v>22700</v>
      </c>
      <c r="E461" t="n">
        <v>28500</v>
      </c>
      <c r="F461" t="n">
        <v>22700</v>
      </c>
      <c r="G461" t="n">
        <v>28500</v>
      </c>
      <c r="H461" t="n">
        <v>22700</v>
      </c>
      <c r="I461" t="n">
        <v>28500</v>
      </c>
      <c r="J461" t="b">
        <v>1</v>
      </c>
      <c r="K461" t="inlineStr">
        <is>
          <t>Unilever Indonesia Official Shop</t>
        </is>
      </c>
      <c r="L461" t="inlineStr">
        <is>
          <t>KOTA BEKASI</t>
        </is>
      </c>
      <c r="M461" t="n">
        <v>2662431021</v>
      </c>
      <c r="N461" t="n">
        <v>14318452</v>
      </c>
      <c r="O461">
        <f>HYPERLINK("https://shopee.co.id/api/v4/item/get?itemid=2662431021&amp;shopid=14318452", "Ponds Micellar Water Hydrating Aloe 100ml 99% Makeup Remover dgn Niacinamide &amp; Vitamin C")</f>
        <v/>
      </c>
      <c r="P461" t="n">
        <v>174</v>
      </c>
      <c r="Q461" t="n">
        <v>415</v>
      </c>
      <c r="R461" t="n">
        <v>4.906002265005663</v>
      </c>
      <c r="S461" t="n">
        <v>24</v>
      </c>
      <c r="T461" t="n">
        <v>16</v>
      </c>
      <c r="U461" t="n">
        <v>69</v>
      </c>
      <c r="V461" t="n">
        <v>472</v>
      </c>
      <c r="W461" t="n">
        <v>7368</v>
      </c>
    </row>
    <row r="462">
      <c r="A462" t="inlineStr">
        <is>
          <t>Citra Gel Multifungsi Tomato Bright Uv 180 Ml - Hydrating Gel, Multifunction Gel</t>
        </is>
      </c>
      <c r="B462" t="inlineStr">
        <is>
          <t>Citra</t>
        </is>
      </c>
      <c r="C462" t="inlineStr">
        <is>
          <t>2%</t>
        </is>
      </c>
      <c r="D462" t="n">
        <v>31400</v>
      </c>
      <c r="E462" t="n">
        <v>32200</v>
      </c>
      <c r="F462" t="n">
        <v>31400</v>
      </c>
      <c r="G462" t="n">
        <v>32200</v>
      </c>
      <c r="H462" t="n">
        <v>31400</v>
      </c>
      <c r="I462" t="n">
        <v>32200</v>
      </c>
      <c r="J462" t="b">
        <v>1</v>
      </c>
      <c r="K462" t="inlineStr">
        <is>
          <t>Unilever Indonesia Official Shop</t>
        </is>
      </c>
      <c r="L462" t="inlineStr">
        <is>
          <t>KOTA BEKASI</t>
        </is>
      </c>
      <c r="M462" t="n">
        <v>2497133946</v>
      </c>
      <c r="N462" t="n">
        <v>14318452</v>
      </c>
      <c r="O462">
        <f>HYPERLINK("https://shopee.co.id/api/v4/item/get?itemid=2497133946&amp;shopid=14318452", "Citra Gel Multifungsi Tomato Bright Uv 180 Ml - Hydrating Gel, Multifunction Gel")</f>
        <v/>
      </c>
      <c r="P462" t="n">
        <v>679</v>
      </c>
      <c r="Q462" t="n">
        <v>2055</v>
      </c>
      <c r="R462" t="n">
        <v>4.9118542204415</v>
      </c>
      <c r="S462" t="n">
        <v>40</v>
      </c>
      <c r="T462" t="n">
        <v>30</v>
      </c>
      <c r="U462" t="n">
        <v>186</v>
      </c>
      <c r="V462" t="n">
        <v>1666</v>
      </c>
      <c r="W462" t="n">
        <v>24035</v>
      </c>
    </row>
    <row r="463">
      <c r="A463" t="inlineStr">
        <is>
          <t>Lifebuoy Body Wash Refill Total 10 Antibakteri 825ml Multi Pack</t>
        </is>
      </c>
      <c r="B463" t="inlineStr">
        <is>
          <t>Lifebuoy</t>
        </is>
      </c>
      <c r="C463" t="inlineStr">
        <is>
          <t>30%</t>
        </is>
      </c>
      <c r="D463" t="n">
        <v>121700</v>
      </c>
      <c r="E463" t="n">
        <v>173900</v>
      </c>
      <c r="F463" t="n">
        <v>121700</v>
      </c>
      <c r="G463" t="n">
        <v>173900</v>
      </c>
      <c r="H463" t="n">
        <v>121700</v>
      </c>
      <c r="I463" t="n">
        <v>173900</v>
      </c>
      <c r="J463" t="b">
        <v>1</v>
      </c>
      <c r="K463" t="inlineStr">
        <is>
          <t>Unilever Indonesia Official Shop</t>
        </is>
      </c>
      <c r="L463" t="inlineStr">
        <is>
          <t>KOTA BEKASI</t>
        </is>
      </c>
      <c r="M463" t="n">
        <v>6731377179</v>
      </c>
      <c r="N463" t="n">
        <v>14318452</v>
      </c>
      <c r="O463">
        <f>HYPERLINK("https://shopee.co.id/api/v4/item/get?itemid=6731377179&amp;shopid=14318452", "Lifebuoy Body Wash Refill Total 10 Antibakteri 825ml Multi Pack")</f>
        <v/>
      </c>
      <c r="P463" t="n">
        <v>460</v>
      </c>
      <c r="Q463" t="n">
        <v>2684</v>
      </c>
      <c r="R463" t="n">
        <v>4.939379243452958</v>
      </c>
      <c r="S463" t="n">
        <v>35</v>
      </c>
      <c r="T463" t="n">
        <v>19</v>
      </c>
      <c r="U463" t="n">
        <v>55</v>
      </c>
      <c r="V463" t="n">
        <v>330</v>
      </c>
      <c r="W463" t="n">
        <v>9875</v>
      </c>
    </row>
    <row r="464">
      <c r="A464" t="inlineStr">
        <is>
          <t>Pepsodent Pasta Gigi Sweet Strawberry 50 gr x3</t>
        </is>
      </c>
      <c r="B464" t="inlineStr">
        <is>
          <t>0</t>
        </is>
      </c>
      <c r="C464" t="inlineStr">
        <is>
          <t>18%</t>
        </is>
      </c>
      <c r="D464" t="n">
        <v>16000</v>
      </c>
      <c r="E464" t="n">
        <v>19500</v>
      </c>
      <c r="F464" t="n">
        <v>16000</v>
      </c>
      <c r="G464" t="n">
        <v>19500</v>
      </c>
      <c r="H464" t="n">
        <v>16000</v>
      </c>
      <c r="I464" t="n">
        <v>19500</v>
      </c>
      <c r="J464" t="b">
        <v>1</v>
      </c>
      <c r="K464" t="inlineStr">
        <is>
          <t>Unilever Indonesia Official Shop</t>
        </is>
      </c>
      <c r="L464" t="inlineStr">
        <is>
          <t>KOTA BEKASI</t>
        </is>
      </c>
      <c r="M464" t="n">
        <v>7647598410</v>
      </c>
      <c r="N464" t="n">
        <v>14318452</v>
      </c>
      <c r="O464">
        <f>HYPERLINK("https://shopee.co.id/api/v4/item/get?itemid=7647598410&amp;shopid=14318452", "Pepsodent Pasta Gigi Sweet Strawberry 50 gr x3")</f>
        <v/>
      </c>
      <c r="P464" t="n">
        <v>968</v>
      </c>
      <c r="Q464" t="n">
        <v>6932</v>
      </c>
      <c r="R464" t="n">
        <v>4.933662822624932</v>
      </c>
      <c r="S464" t="n">
        <v>25</v>
      </c>
      <c r="T464" t="n">
        <v>7</v>
      </c>
      <c r="U464" t="n">
        <v>54</v>
      </c>
      <c r="V464" t="n">
        <v>375</v>
      </c>
      <c r="W464" t="n">
        <v>8652</v>
      </c>
    </row>
    <row r="465">
      <c r="A465" t="inlineStr">
        <is>
          <t>Lifebuoy Body Wash Refill Honey Habbatussauda 450ml</t>
        </is>
      </c>
      <c r="B465" t="inlineStr">
        <is>
          <t>Lifebuoy</t>
        </is>
      </c>
      <c r="C465" t="inlineStr">
        <is>
          <t>24%</t>
        </is>
      </c>
      <c r="D465" t="n">
        <v>23600</v>
      </c>
      <c r="E465" t="n">
        <v>31000</v>
      </c>
      <c r="F465" t="n">
        <v>23600</v>
      </c>
      <c r="G465" t="n">
        <v>31000</v>
      </c>
      <c r="H465" t="n">
        <v>23600</v>
      </c>
      <c r="I465" t="n">
        <v>31000</v>
      </c>
      <c r="J465" t="b">
        <v>1</v>
      </c>
      <c r="K465" t="inlineStr">
        <is>
          <t>Unilever Indonesia Official Shop</t>
        </is>
      </c>
      <c r="L465" t="inlineStr">
        <is>
          <t>KOTA SEMARANG</t>
        </is>
      </c>
      <c r="M465" t="n">
        <v>2856471726</v>
      </c>
      <c r="N465" t="n">
        <v>14318452</v>
      </c>
      <c r="O465">
        <f>HYPERLINK("https://shopee.co.id/api/v4/item/get?itemid=2856471726&amp;shopid=14318452", "Lifebuoy Body Wash Refill Honey Habbatussauda 450ml")</f>
        <v/>
      </c>
      <c r="P465" t="n">
        <v>278</v>
      </c>
      <c r="Q465" t="n">
        <v>5</v>
      </c>
      <c r="R465" t="n">
        <v>4.909185262065386</v>
      </c>
      <c r="S465" t="n">
        <v>7</v>
      </c>
      <c r="T465" t="n">
        <v>5</v>
      </c>
      <c r="U465" t="n">
        <v>16</v>
      </c>
      <c r="V465" t="n">
        <v>100</v>
      </c>
      <c r="W465" t="n">
        <v>1799</v>
      </c>
    </row>
    <row r="466">
      <c r="A466" t="inlineStr">
        <is>
          <t>Tresemme Shampoo Keratin Smooth Shampo Rambut Lembut 48 Jam* With Hydrolyzed Keratin 340Ml</t>
        </is>
      </c>
      <c r="B466" t="inlineStr">
        <is>
          <t>0</t>
        </is>
      </c>
      <c r="C466" t="inlineStr">
        <is>
          <t>15%</t>
        </is>
      </c>
      <c r="D466" t="n">
        <v>61900</v>
      </c>
      <c r="E466" t="n">
        <v>73200</v>
      </c>
      <c r="F466" t="n">
        <v>61900</v>
      </c>
      <c r="G466" t="n">
        <v>73200</v>
      </c>
      <c r="H466" t="n">
        <v>61900</v>
      </c>
      <c r="I466" t="n">
        <v>73200</v>
      </c>
      <c r="J466" t="b">
        <v>1</v>
      </c>
      <c r="K466" t="inlineStr">
        <is>
          <t>Unilever Indonesia Official Shop</t>
        </is>
      </c>
      <c r="L466" t="inlineStr">
        <is>
          <t>KOTA BEKASI</t>
        </is>
      </c>
      <c r="M466" t="n">
        <v>1515340675</v>
      </c>
      <c r="N466" t="n">
        <v>14318452</v>
      </c>
      <c r="O466">
        <f>HYPERLINK("https://shopee.co.id/api/v4/item/get?itemid=1515340675&amp;shopid=14318452", "Tresemme Shampoo Keratin Smooth Shampo Rambut Lembut 48 Jam* With Hydrolyzed Keratin 340Ml")</f>
        <v/>
      </c>
      <c r="P466" t="n">
        <v>323</v>
      </c>
      <c r="Q466" t="n">
        <v>480</v>
      </c>
      <c r="R466" t="n">
        <v>4.903622106049291</v>
      </c>
      <c r="S466" t="n">
        <v>113</v>
      </c>
      <c r="T466" t="n">
        <v>76</v>
      </c>
      <c r="U466" t="n">
        <v>285</v>
      </c>
      <c r="V466" t="n">
        <v>1394</v>
      </c>
      <c r="W466" t="n">
        <v>24934</v>
      </c>
    </row>
    <row r="467">
      <c r="A467" t="inlineStr">
        <is>
          <t>Ponds Age Miracle Anti Aging+Glowing Night Cream Moisturizer 50gx2 dgn Retinol&amp;Niacinimide</t>
        </is>
      </c>
      <c r="B467" t="inlineStr">
        <is>
          <t>Pond's</t>
        </is>
      </c>
      <c r="C467" t="inlineStr">
        <is>
          <t>22%</t>
        </is>
      </c>
      <c r="D467" t="n">
        <v>278100</v>
      </c>
      <c r="E467" t="n">
        <v>355400</v>
      </c>
      <c r="F467" t="n">
        <v>278100</v>
      </c>
      <c r="G467" t="n">
        <v>355400</v>
      </c>
      <c r="H467" t="n">
        <v>278100</v>
      </c>
      <c r="I467" t="n">
        <v>355400</v>
      </c>
      <c r="J467" t="b">
        <v>1</v>
      </c>
      <c r="K467" t="inlineStr">
        <is>
          <t>Unilever Indonesia Official Shop</t>
        </is>
      </c>
      <c r="L467" t="inlineStr">
        <is>
          <t>KOTA BEKASI</t>
        </is>
      </c>
      <c r="M467" t="n">
        <v>4358118329</v>
      </c>
      <c r="N467" t="n">
        <v>14318452</v>
      </c>
      <c r="O467">
        <f>HYPERLINK("https://shopee.co.id/api/v4/item/get?itemid=4358118329&amp;shopid=14318452", "Ponds Age Miracle Anti Aging+Glowing Night Cream Moisturizer 50gx2 dgn Retinol&amp;Niacinimide")</f>
        <v/>
      </c>
      <c r="P467" t="n">
        <v>177</v>
      </c>
      <c r="Q467" t="n">
        <v>1827</v>
      </c>
      <c r="R467" t="n">
        <v>4.946979996115751</v>
      </c>
      <c r="S467" t="n">
        <v>5</v>
      </c>
      <c r="T467" t="n">
        <v>7</v>
      </c>
      <c r="U467" t="n">
        <v>22</v>
      </c>
      <c r="V467" t="n">
        <v>194</v>
      </c>
      <c r="W467" t="n">
        <v>4931</v>
      </c>
    </row>
    <row r="468">
      <c r="A468" t="inlineStr">
        <is>
          <t>Zwitsal Natural Baby Bath With Minyak Telon 250 ml x 2 Pcs</t>
        </is>
      </c>
      <c r="B468" t="inlineStr">
        <is>
          <t>0</t>
        </is>
      </c>
      <c r="C468" t="inlineStr">
        <is>
          <t>17%</t>
        </is>
      </c>
      <c r="D468" t="n">
        <v>51100</v>
      </c>
      <c r="E468" t="n">
        <v>61700</v>
      </c>
      <c r="F468" t="n">
        <v>51100</v>
      </c>
      <c r="G468" t="n">
        <v>61700</v>
      </c>
      <c r="H468" t="n">
        <v>51100</v>
      </c>
      <c r="I468" t="n">
        <v>61700</v>
      </c>
      <c r="J468" t="b">
        <v>1</v>
      </c>
      <c r="K468" t="inlineStr">
        <is>
          <t>Unilever Indonesia Official Shop</t>
        </is>
      </c>
      <c r="L468" t="inlineStr">
        <is>
          <t>KOTA DENPASAR</t>
        </is>
      </c>
      <c r="M468" t="n">
        <v>4541018949</v>
      </c>
      <c r="N468" t="n">
        <v>14318452</v>
      </c>
      <c r="O468">
        <f>HYPERLINK("https://shopee.co.id/api/v4/item/get?itemid=4541018949&amp;shopid=14318452", "Zwitsal Natural Baby Bath With Minyak Telon 250 ml x 2 Pcs")</f>
        <v/>
      </c>
      <c r="P468" t="n">
        <v>304</v>
      </c>
      <c r="Q468" t="n">
        <v>124</v>
      </c>
      <c r="R468" t="n">
        <v>4.952789699570816</v>
      </c>
      <c r="S468" t="n">
        <v>6</v>
      </c>
      <c r="T468" t="n">
        <v>3</v>
      </c>
      <c r="U468" t="n">
        <v>21</v>
      </c>
      <c r="V468" t="n">
        <v>178</v>
      </c>
      <c r="W468" t="n">
        <v>5154</v>
      </c>
    </row>
    <row r="469">
      <c r="A469" t="inlineStr">
        <is>
          <t>Pepsodent Action 123 Pasta Gigi Cengkeh 160G</t>
        </is>
      </c>
      <c r="B469" t="inlineStr">
        <is>
          <t>None</t>
        </is>
      </c>
      <c r="C469" t="inlineStr">
        <is>
          <t>20%</t>
        </is>
      </c>
      <c r="D469" t="n">
        <v>18700</v>
      </c>
      <c r="E469" t="n">
        <v>23500</v>
      </c>
      <c r="F469" t="n">
        <v>18700</v>
      </c>
      <c r="G469" t="n">
        <v>23500</v>
      </c>
      <c r="H469" t="n">
        <v>18700</v>
      </c>
      <c r="I469" t="n">
        <v>23500</v>
      </c>
      <c r="J469" t="b">
        <v>0</v>
      </c>
      <c r="K469" t="inlineStr">
        <is>
          <t>Unilever Indonesia Official Shop</t>
        </is>
      </c>
      <c r="L469" t="inlineStr">
        <is>
          <t>KOTA BEKASI</t>
        </is>
      </c>
      <c r="M469" t="n">
        <v>4781659253</v>
      </c>
      <c r="N469" t="n">
        <v>14318452</v>
      </c>
      <c r="O469">
        <f>HYPERLINK("https://shopee.co.id/api/v4/item/get?itemid=4781659253&amp;shopid=14318452", "Pepsodent Action 123 Pasta Gigi Cengkeh 160G")</f>
        <v/>
      </c>
      <c r="P469" t="n">
        <v>210</v>
      </c>
      <c r="Q469" t="n">
        <v>529</v>
      </c>
      <c r="R469" t="n">
        <v>4.941792782305006</v>
      </c>
      <c r="S469" t="n">
        <v>3</v>
      </c>
      <c r="T469" t="n">
        <v>1</v>
      </c>
      <c r="U469" t="n">
        <v>12</v>
      </c>
      <c r="V469" t="n">
        <v>61</v>
      </c>
      <c r="W469" t="n">
        <v>1641</v>
      </c>
    </row>
    <row r="470">
      <c r="A470" t="inlineStr">
        <is>
          <t xml:space="preserve">Citra Volcanic Clay Body Scrub 100 Ml
</t>
        </is>
      </c>
      <c r="B470" t="inlineStr">
        <is>
          <t>None</t>
        </is>
      </c>
      <c r="C470" t="inlineStr">
        <is>
          <t>1%</t>
        </is>
      </c>
      <c r="D470" t="n">
        <v>19200</v>
      </c>
      <c r="E470" t="n">
        <v>19300</v>
      </c>
      <c r="F470" t="n">
        <v>19200</v>
      </c>
      <c r="G470" t="n">
        <v>19300</v>
      </c>
      <c r="H470" t="n">
        <v>19200</v>
      </c>
      <c r="I470" t="n">
        <v>19300</v>
      </c>
      <c r="J470" t="b">
        <v>1</v>
      </c>
      <c r="K470" t="inlineStr">
        <is>
          <t>Unilever Indonesia Official Shop</t>
        </is>
      </c>
      <c r="L470" t="inlineStr">
        <is>
          <t>KOTA BEKASI</t>
        </is>
      </c>
      <c r="M470" t="n">
        <v>8819049421</v>
      </c>
      <c r="N470" t="n">
        <v>14318452</v>
      </c>
      <c r="O470">
        <f>HYPERLINK("https://shopee.co.id/api/v4/item/get?itemid=8819049421&amp;shopid=14318452", "Citra Volcanic Clay Body Scrub 100 Ml
")</f>
        <v/>
      </c>
      <c r="P470" t="n">
        <v>640</v>
      </c>
      <c r="Q470" t="n">
        <v>217</v>
      </c>
      <c r="R470" t="n">
        <v>4.911578947368421</v>
      </c>
      <c r="S470" t="n">
        <v>8</v>
      </c>
      <c r="T470" t="n">
        <v>3</v>
      </c>
      <c r="U470" t="n">
        <v>29</v>
      </c>
      <c r="V470" t="n">
        <v>237</v>
      </c>
      <c r="W470" t="n">
        <v>3523</v>
      </c>
    </row>
    <row r="471">
      <c r="A471" t="inlineStr">
        <is>
          <t>Buavita Jus Buah Asli Jambu 245 Ml - Jus Jambu, Guava Juice, Mengandung Vitamin C</t>
        </is>
      </c>
      <c r="B471" t="inlineStr">
        <is>
          <t>0</t>
        </is>
      </c>
      <c r="C471" t="inlineStr">
        <is>
          <t>21%</t>
        </is>
      </c>
      <c r="D471" t="n">
        <v>5900</v>
      </c>
      <c r="E471" t="n">
        <v>7500</v>
      </c>
      <c r="F471" t="n">
        <v>5900</v>
      </c>
      <c r="G471" t="n">
        <v>7500</v>
      </c>
      <c r="H471" t="n">
        <v>5900</v>
      </c>
      <c r="I471" t="n">
        <v>7500</v>
      </c>
      <c r="J471" t="b">
        <v>1</v>
      </c>
      <c r="K471" t="inlineStr">
        <is>
          <t>Unilever Indonesia Official Shop</t>
        </is>
      </c>
      <c r="L471" t="inlineStr">
        <is>
          <t>KOTA BEKASI</t>
        </is>
      </c>
      <c r="M471" t="n">
        <v>1438264709</v>
      </c>
      <c r="N471" t="n">
        <v>14318452</v>
      </c>
      <c r="O471">
        <f>HYPERLINK("https://shopee.co.id/api/v4/item/get?itemid=1438264709&amp;shopid=14318452", "Buavita Jus Buah Asli Jambu 245 Ml - Jus Jambu, Guava Juice, Mengandung Vitamin C")</f>
        <v/>
      </c>
      <c r="P471" t="n">
        <v>476</v>
      </c>
      <c r="Q471" t="n">
        <v>1979</v>
      </c>
      <c r="R471" t="n">
        <v>4.906777825898658</v>
      </c>
      <c r="S471" t="n">
        <v>19</v>
      </c>
      <c r="T471" t="n">
        <v>23</v>
      </c>
      <c r="U471" t="n">
        <v>98</v>
      </c>
      <c r="V471" t="n">
        <v>524</v>
      </c>
      <c r="W471" t="n">
        <v>8573</v>
      </c>
    </row>
    <row r="472">
      <c r="A472" t="inlineStr">
        <is>
          <t>Lifebuoy Sabun Cuci Tangan Total 10 180 Ml -Sabun Cuci Tangan Antibakteri, Hand Wash Refill</t>
        </is>
      </c>
      <c r="B472" t="inlineStr">
        <is>
          <t>Lifebuoy</t>
        </is>
      </c>
      <c r="C472" t="inlineStr">
        <is>
          <t>17%</t>
        </is>
      </c>
      <c r="D472" t="n">
        <v>11900</v>
      </c>
      <c r="E472" t="n">
        <v>14400</v>
      </c>
      <c r="F472" t="n">
        <v>11900</v>
      </c>
      <c r="G472" t="n">
        <v>14400</v>
      </c>
      <c r="H472" t="n">
        <v>11900</v>
      </c>
      <c r="I472" t="n">
        <v>14400</v>
      </c>
      <c r="J472" t="b">
        <v>1</v>
      </c>
      <c r="K472" t="inlineStr">
        <is>
          <t>Unilever Indonesia Official Shop</t>
        </is>
      </c>
      <c r="L472" t="inlineStr">
        <is>
          <t>KOTA BEKASI</t>
        </is>
      </c>
      <c r="M472" t="n">
        <v>7225666863</v>
      </c>
      <c r="N472" t="n">
        <v>14318452</v>
      </c>
      <c r="O472">
        <f>HYPERLINK("https://shopee.co.id/api/v4/item/get?itemid=7225666863&amp;shopid=14318452", "Lifebuoy Sabun Cuci Tangan Total 10 180 Ml -Sabun Cuci Tangan Antibakteri, Hand Wash Refill")</f>
        <v/>
      </c>
      <c r="P472" t="n">
        <v>660</v>
      </c>
      <c r="Q472" t="n">
        <v>569</v>
      </c>
      <c r="R472" t="n">
        <v>4.938040775733466</v>
      </c>
      <c r="S472" t="n">
        <v>23</v>
      </c>
      <c r="T472" t="n">
        <v>16</v>
      </c>
      <c r="U472" t="n">
        <v>46</v>
      </c>
      <c r="V472" t="n">
        <v>416</v>
      </c>
      <c r="W472" t="n">
        <v>9561</v>
      </c>
    </row>
    <row r="473">
      <c r="A473" t="inlineStr">
        <is>
          <t>Pond's Micellar Water untuk Semua Jenis Kulit, Vitamin &amp; Rose 235ml Twinpack</t>
        </is>
      </c>
      <c r="B473" t="inlineStr">
        <is>
          <t>0</t>
        </is>
      </c>
      <c r="C473" t="inlineStr">
        <is>
          <t>19%</t>
        </is>
      </c>
      <c r="D473" t="n">
        <v>89600</v>
      </c>
      <c r="E473" t="n">
        <v>110000</v>
      </c>
      <c r="F473" t="n">
        <v>89600</v>
      </c>
      <c r="G473" t="n">
        <v>110000</v>
      </c>
      <c r="H473" t="n">
        <v>89600</v>
      </c>
      <c r="I473" t="n">
        <v>110000</v>
      </c>
      <c r="J473" t="b">
        <v>1</v>
      </c>
      <c r="K473" t="inlineStr">
        <is>
          <t>Unilever Indonesia Official Shop</t>
        </is>
      </c>
      <c r="L473" t="inlineStr">
        <is>
          <t>KOTA BEKASI</t>
        </is>
      </c>
      <c r="M473" t="n">
        <v>5558118933</v>
      </c>
      <c r="N473" t="n">
        <v>14318452</v>
      </c>
      <c r="O473">
        <f>HYPERLINK("https://shopee.co.id/api/v4/item/get?itemid=5558118933&amp;shopid=14318452", "Pond's Micellar Water untuk Semua Jenis Kulit, Vitamin &amp; Rose 235ml Twinpack")</f>
        <v/>
      </c>
      <c r="P473" t="n">
        <v>160</v>
      </c>
      <c r="Q473" t="n">
        <v>543</v>
      </c>
      <c r="R473" t="n">
        <v>4.92508865248227</v>
      </c>
      <c r="S473" t="n">
        <v>13</v>
      </c>
      <c r="T473" t="n">
        <v>4</v>
      </c>
      <c r="U473" t="n">
        <v>8</v>
      </c>
      <c r="V473" t="n">
        <v>92</v>
      </c>
      <c r="W473" t="n">
        <v>2140</v>
      </c>
    </row>
    <row r="474">
      <c r="A474" t="inlineStr">
        <is>
          <t>Pepsodent Sensitive Mineral Expert Pasta Gigi Original Pasta Gigi Sensitive 100G</t>
        </is>
      </c>
      <c r="B474" t="inlineStr">
        <is>
          <t>Pepsodent</t>
        </is>
      </c>
      <c r="C474" t="inlineStr">
        <is>
          <t>27%</t>
        </is>
      </c>
      <c r="D474" t="n">
        <v>27700</v>
      </c>
      <c r="E474" t="n">
        <v>37700</v>
      </c>
      <c r="F474" t="n">
        <v>27700</v>
      </c>
      <c r="G474" t="n">
        <v>37700</v>
      </c>
      <c r="H474" t="n">
        <v>27700</v>
      </c>
      <c r="I474" t="n">
        <v>37700</v>
      </c>
      <c r="J474" t="b">
        <v>1</v>
      </c>
      <c r="K474" t="inlineStr">
        <is>
          <t>Unilever Indonesia Official Shop</t>
        </is>
      </c>
      <c r="L474" t="inlineStr">
        <is>
          <t>KOTA BEKASI</t>
        </is>
      </c>
      <c r="M474" t="n">
        <v>127358095</v>
      </c>
      <c r="N474" t="n">
        <v>14318452</v>
      </c>
      <c r="O474">
        <f>HYPERLINK("https://shopee.co.id/api/v4/item/get?itemid=127358095&amp;shopid=14318452", "Pepsodent Sensitive Mineral Expert Pasta Gigi Original Pasta Gigi Sensitive 100G")</f>
        <v/>
      </c>
      <c r="P474" t="n">
        <v>702</v>
      </c>
      <c r="Q474" t="n">
        <v>355</v>
      </c>
      <c r="R474" t="n">
        <v>4.91776798825257</v>
      </c>
      <c r="S474" t="n">
        <v>23</v>
      </c>
      <c r="T474" t="n">
        <v>12</v>
      </c>
      <c r="U474" t="n">
        <v>59</v>
      </c>
      <c r="V474" t="n">
        <v>370</v>
      </c>
      <c r="W474" t="n">
        <v>7027</v>
      </c>
    </row>
    <row r="475">
      <c r="A475" t="inlineStr">
        <is>
          <t>Molto Pewangi Sports Fresh 1.8 L</t>
        </is>
      </c>
      <c r="B475" t="inlineStr"/>
      <c r="C475" t="inlineStr">
        <is>
          <t>11%</t>
        </is>
      </c>
      <c r="D475" t="n">
        <v>29600</v>
      </c>
      <c r="E475" t="n">
        <v>33300</v>
      </c>
      <c r="F475" t="n">
        <v>29600</v>
      </c>
      <c r="G475" t="n">
        <v>33300</v>
      </c>
      <c r="H475" t="n">
        <v>29600</v>
      </c>
      <c r="I475" t="n">
        <v>33300</v>
      </c>
      <c r="J475" t="b">
        <v>1</v>
      </c>
      <c r="K475" t="inlineStr">
        <is>
          <t>Unilever Indonesia Official Shop</t>
        </is>
      </c>
      <c r="L475" t="inlineStr">
        <is>
          <t>KOTA BEKASI</t>
        </is>
      </c>
      <c r="M475" t="n">
        <v>6878334799</v>
      </c>
      <c r="N475" t="n">
        <v>14318452</v>
      </c>
      <c r="O475">
        <f>HYPERLINK("https://shopee.co.id/api/v4/item/get?itemid=6878334799&amp;shopid=14318452", "Molto Pewangi Sports Fresh 1.8 L")</f>
        <v/>
      </c>
      <c r="P475" t="n">
        <v>297</v>
      </c>
      <c r="Q475" t="n">
        <v>474</v>
      </c>
      <c r="R475" t="n">
        <v>4.941660649819495</v>
      </c>
      <c r="S475" t="n">
        <v>18</v>
      </c>
      <c r="T475" t="n">
        <v>11</v>
      </c>
      <c r="U475" t="n">
        <v>38</v>
      </c>
      <c r="V475" t="n">
        <v>241</v>
      </c>
      <c r="W475" t="n">
        <v>6622</v>
      </c>
    </row>
    <row r="476">
      <c r="A476" t="inlineStr">
        <is>
          <t>MOLTO ANTI KUSUT Velvet Bloom Pouch 720mL</t>
        </is>
      </c>
      <c r="B476" t="inlineStr">
        <is>
          <t>None</t>
        </is>
      </c>
      <c r="C476" t="inlineStr">
        <is>
          <t>12%</t>
        </is>
      </c>
      <c r="D476" t="n">
        <v>17600</v>
      </c>
      <c r="E476" t="n">
        <v>19900</v>
      </c>
      <c r="F476" t="n">
        <v>17600</v>
      </c>
      <c r="G476" t="n">
        <v>19900</v>
      </c>
      <c r="H476" t="n">
        <v>17600</v>
      </c>
      <c r="I476" t="n">
        <v>19900</v>
      </c>
      <c r="J476" t="b">
        <v>1</v>
      </c>
      <c r="K476" t="inlineStr">
        <is>
          <t>Unilever Indonesia Official Shop</t>
        </is>
      </c>
      <c r="L476" t="inlineStr">
        <is>
          <t>KOTA BEKASI</t>
        </is>
      </c>
      <c r="M476" t="n">
        <v>10327248461</v>
      </c>
      <c r="N476" t="n">
        <v>14318452</v>
      </c>
      <c r="O476">
        <f>HYPERLINK("https://shopee.co.id/api/v4/item/get?itemid=10327248461&amp;shopid=14318452", "MOLTO ANTI KUSUT Velvet Bloom Pouch 720mL")</f>
        <v/>
      </c>
      <c r="P476" t="n">
        <v>2655</v>
      </c>
      <c r="Q476" t="n">
        <v>6557</v>
      </c>
      <c r="R476" t="n">
        <v>4.927041499330656</v>
      </c>
      <c r="S476" t="n">
        <v>20</v>
      </c>
      <c r="T476" t="n">
        <v>10</v>
      </c>
      <c r="U476" t="n">
        <v>45</v>
      </c>
      <c r="V476" t="n">
        <v>355</v>
      </c>
      <c r="W476" t="n">
        <v>7043</v>
      </c>
    </row>
    <row r="477">
      <c r="A477" t="inlineStr">
        <is>
          <t>Molto Pewangi Fresh Hygiene 780 mL</t>
        </is>
      </c>
      <c r="B477" t="inlineStr"/>
      <c r="C477" t="inlineStr">
        <is>
          <t>8%</t>
        </is>
      </c>
      <c r="D477" t="n">
        <v>15300</v>
      </c>
      <c r="E477" t="n">
        <v>16700</v>
      </c>
      <c r="F477" t="n">
        <v>15300</v>
      </c>
      <c r="G477" t="n">
        <v>16700</v>
      </c>
      <c r="H477" t="n">
        <v>15300</v>
      </c>
      <c r="I477" t="n">
        <v>16700</v>
      </c>
      <c r="J477" t="b">
        <v>1</v>
      </c>
      <c r="K477" t="inlineStr">
        <is>
          <t>Unilever Indonesia Official Shop</t>
        </is>
      </c>
      <c r="L477" t="inlineStr">
        <is>
          <t>KOTA BEKASI</t>
        </is>
      </c>
      <c r="M477" t="n">
        <v>7678324840</v>
      </c>
      <c r="N477" t="n">
        <v>14318452</v>
      </c>
      <c r="O477">
        <f>HYPERLINK("https://shopee.co.id/api/v4/item/get?itemid=7678324840&amp;shopid=14318452", "Molto Pewangi Fresh Hygiene 780 mL")</f>
        <v/>
      </c>
      <c r="P477" t="n">
        <v>399</v>
      </c>
      <c r="Q477" t="n">
        <v>410</v>
      </c>
      <c r="R477" t="n">
        <v>4.937604881769642</v>
      </c>
      <c r="S477" t="n">
        <v>17</v>
      </c>
      <c r="T477" t="n">
        <v>6</v>
      </c>
      <c r="U477" t="n">
        <v>20</v>
      </c>
      <c r="V477" t="n">
        <v>286</v>
      </c>
      <c r="W477" t="n">
        <v>6227</v>
      </c>
    </row>
    <row r="478">
      <c r="A478" t="inlineStr">
        <is>
          <t>Sunlight Lime Botol 750Ml</t>
        </is>
      </c>
      <c r="B478" t="inlineStr">
        <is>
          <t>0</t>
        </is>
      </c>
      <c r="C478" t="inlineStr">
        <is>
          <t>21%</t>
        </is>
      </c>
      <c r="D478" t="n">
        <v>31700</v>
      </c>
      <c r="E478" t="n">
        <v>40300</v>
      </c>
      <c r="F478" t="n">
        <v>31700</v>
      </c>
      <c r="G478" t="n">
        <v>40300</v>
      </c>
      <c r="H478" t="n">
        <v>31700</v>
      </c>
      <c r="I478" t="n">
        <v>40300</v>
      </c>
      <c r="J478" t="b">
        <v>1</v>
      </c>
      <c r="K478" t="inlineStr">
        <is>
          <t>Unilever Indonesia Official Shop</t>
        </is>
      </c>
      <c r="L478" t="inlineStr">
        <is>
          <t>KOTA BEKASI</t>
        </is>
      </c>
      <c r="M478" t="n">
        <v>1921369119</v>
      </c>
      <c r="N478" t="n">
        <v>14318452</v>
      </c>
      <c r="O478">
        <f>HYPERLINK("https://shopee.co.id/api/v4/item/get?itemid=1921369119&amp;shopid=14318452", "Sunlight Lime Botol 750Ml")</f>
        <v/>
      </c>
      <c r="P478" t="n">
        <v>150</v>
      </c>
      <c r="Q478" t="n">
        <v>966</v>
      </c>
      <c r="R478" t="n">
        <v>4.936037951905774</v>
      </c>
      <c r="S478" t="n">
        <v>14</v>
      </c>
      <c r="T478" t="n">
        <v>6</v>
      </c>
      <c r="U478" t="n">
        <v>32</v>
      </c>
      <c r="V478" t="n">
        <v>253</v>
      </c>
      <c r="W478" t="n">
        <v>5808</v>
      </c>
    </row>
    <row r="479">
      <c r="A479" t="inlineStr">
        <is>
          <t>Bango Kecap Manis 520 Ml - Soy Sauce, Kecap Manis Refill, Kecap Manis Pouch</t>
        </is>
      </c>
      <c r="B479" t="inlineStr">
        <is>
          <t>Bango</t>
        </is>
      </c>
      <c r="C479" t="inlineStr">
        <is>
          <t>24%</t>
        </is>
      </c>
      <c r="D479" t="n">
        <v>20700</v>
      </c>
      <c r="E479" t="n">
        <v>27400</v>
      </c>
      <c r="F479" t="n">
        <v>20700</v>
      </c>
      <c r="G479" t="n">
        <v>27400</v>
      </c>
      <c r="H479" t="n">
        <v>20700</v>
      </c>
      <c r="I479" t="n">
        <v>27400</v>
      </c>
      <c r="J479" t="b">
        <v>1</v>
      </c>
      <c r="K479" t="inlineStr">
        <is>
          <t>Unilever Indonesia Official Shop</t>
        </is>
      </c>
      <c r="L479" t="inlineStr">
        <is>
          <t>KAB. BANYUASIN</t>
        </is>
      </c>
      <c r="M479" t="n">
        <v>976680528</v>
      </c>
      <c r="N479" t="n">
        <v>14318452</v>
      </c>
      <c r="O479">
        <f>HYPERLINK("https://shopee.co.id/api/v4/item/get?itemid=976680528&amp;shopid=14318452", "Bango Kecap Manis 520 Ml - Soy Sauce, Kecap Manis Refill, Kecap Manis Pouch")</f>
        <v/>
      </c>
      <c r="P479" t="n">
        <v>5424</v>
      </c>
      <c r="Q479" t="n">
        <v>956</v>
      </c>
      <c r="R479" t="n">
        <v>4.940604253749693</v>
      </c>
      <c r="S479" t="n">
        <v>148</v>
      </c>
      <c r="T479" t="n">
        <v>78</v>
      </c>
      <c r="U479" t="n">
        <v>321</v>
      </c>
      <c r="V479" t="n">
        <v>2429</v>
      </c>
      <c r="W479" t="n">
        <v>62331</v>
      </c>
    </row>
    <row r="480">
      <c r="A480" t="inlineStr">
        <is>
          <t>Sunlight Sabun Cuci Piring Dishwash Jeruk Nipis 10X Bersihkan Lemak Lebih Cepat 700Ml</t>
        </is>
      </c>
      <c r="B480" t="inlineStr">
        <is>
          <t>Sunlight</t>
        </is>
      </c>
      <c r="C480" t="inlineStr">
        <is>
          <t>19%</t>
        </is>
      </c>
      <c r="D480" t="n">
        <v>20100</v>
      </c>
      <c r="E480" t="n">
        <v>24800</v>
      </c>
      <c r="F480" t="n">
        <v>20100</v>
      </c>
      <c r="G480" t="n">
        <v>24800</v>
      </c>
      <c r="H480" t="n">
        <v>20100</v>
      </c>
      <c r="I480" t="n">
        <v>24800</v>
      </c>
      <c r="J480" t="b">
        <v>1</v>
      </c>
      <c r="K480" t="inlineStr">
        <is>
          <t>Unilever Indonesia Official Shop</t>
        </is>
      </c>
      <c r="L480" t="inlineStr">
        <is>
          <t>KOTA MAKASSAR</t>
        </is>
      </c>
      <c r="M480" t="n">
        <v>1040498687</v>
      </c>
      <c r="N480" t="n">
        <v>14318452</v>
      </c>
      <c r="O480">
        <f>HYPERLINK("https://shopee.co.id/api/v4/item/get?itemid=1040498687&amp;shopid=14318452", "Sunlight Sabun Cuci Piring Dishwash Jeruk Nipis 10X Bersihkan Lemak Lebih Cepat 700Ml")</f>
        <v/>
      </c>
      <c r="P480" t="n">
        <v>115</v>
      </c>
      <c r="Q480" t="n">
        <v>1038</v>
      </c>
      <c r="R480" t="n">
        <v>4.943174150985831</v>
      </c>
      <c r="S480" t="n">
        <v>114</v>
      </c>
      <c r="T480" t="n">
        <v>67</v>
      </c>
      <c r="U480" t="n">
        <v>296</v>
      </c>
      <c r="V480" t="n">
        <v>2584</v>
      </c>
      <c r="W480" t="n">
        <v>63709</v>
      </c>
    </row>
    <row r="481">
      <c r="A481" t="inlineStr">
        <is>
          <t>Ponds Bright Beauty Shake &amp; Clean 100ml Twin Pack</t>
        </is>
      </c>
      <c r="B481" t="inlineStr">
        <is>
          <t>Pond's</t>
        </is>
      </c>
      <c r="C481" t="inlineStr">
        <is>
          <t>15%</t>
        </is>
      </c>
      <c r="D481" t="n">
        <v>48400</v>
      </c>
      <c r="E481" t="n">
        <v>57000</v>
      </c>
      <c r="F481" t="n">
        <v>48400</v>
      </c>
      <c r="G481" t="n">
        <v>57000</v>
      </c>
      <c r="H481" t="n">
        <v>48400</v>
      </c>
      <c r="I481" t="n">
        <v>57000</v>
      </c>
      <c r="J481" t="b">
        <v>1</v>
      </c>
      <c r="K481" t="inlineStr">
        <is>
          <t>Unilever Indonesia Official Shop</t>
        </is>
      </c>
      <c r="L481" t="inlineStr">
        <is>
          <t>KOTA BEKASI</t>
        </is>
      </c>
      <c r="M481" t="n">
        <v>7652324435</v>
      </c>
      <c r="N481" t="n">
        <v>14318452</v>
      </c>
      <c r="O481">
        <f>HYPERLINK("https://shopee.co.id/api/v4/item/get?itemid=7652324435&amp;shopid=14318452", "Ponds Bright Beauty Shake &amp; Clean 100ml Twin Pack")</f>
        <v/>
      </c>
      <c r="P481" t="n">
        <v>342</v>
      </c>
      <c r="Q481" t="n">
        <v>204</v>
      </c>
      <c r="R481" t="n">
        <v>4.943669250645994</v>
      </c>
      <c r="S481" t="n">
        <v>10</v>
      </c>
      <c r="T481" t="n">
        <v>8</v>
      </c>
      <c r="U481" t="n">
        <v>24</v>
      </c>
      <c r="V481" t="n">
        <v>113</v>
      </c>
      <c r="W481" t="n">
        <v>3717</v>
      </c>
    </row>
    <row r="482">
      <c r="A482" t="inlineStr">
        <is>
          <t>Vaseline Body Lotion Intensive Advanced Strength Perbaiki Kulit Kering dlm 5 Hari 400Mlx2</t>
        </is>
      </c>
      <c r="B482" t="inlineStr">
        <is>
          <t>0</t>
        </is>
      </c>
      <c r="C482" t="inlineStr">
        <is>
          <t>14%</t>
        </is>
      </c>
      <c r="D482" t="n">
        <v>137900</v>
      </c>
      <c r="E482" t="n">
        <v>160100</v>
      </c>
      <c r="F482" t="n">
        <v>137900</v>
      </c>
      <c r="G482" t="n">
        <v>160100</v>
      </c>
      <c r="H482" t="n">
        <v>137900</v>
      </c>
      <c r="I482" t="n">
        <v>160100</v>
      </c>
      <c r="J482" t="b">
        <v>1</v>
      </c>
      <c r="K482" t="inlineStr">
        <is>
          <t>Unilever Indonesia Official Shop</t>
        </is>
      </c>
      <c r="L482" t="inlineStr">
        <is>
          <t>KOTA BEKASI</t>
        </is>
      </c>
      <c r="M482" t="n">
        <v>5731816502</v>
      </c>
      <c r="N482" t="n">
        <v>14318452</v>
      </c>
      <c r="O482">
        <f>HYPERLINK("https://shopee.co.id/api/v4/item/get?itemid=5731816502&amp;shopid=14318452", "Vaseline Body Lotion Intensive Advanced Strength Perbaiki Kulit Kering dlm 5 Hari 400Mlx2")</f>
        <v/>
      </c>
      <c r="P482" t="n">
        <v>209</v>
      </c>
      <c r="Q482" t="n">
        <v>675</v>
      </c>
      <c r="R482" t="n">
        <v>4.926583052921383</v>
      </c>
      <c r="S482" t="n">
        <v>8</v>
      </c>
      <c r="T482" t="n">
        <v>9</v>
      </c>
      <c r="U482" t="n">
        <v>32</v>
      </c>
      <c r="V482" t="n">
        <v>125</v>
      </c>
      <c r="W482" t="n">
        <v>3097</v>
      </c>
    </row>
    <row r="483">
      <c r="A483" t="inlineStr">
        <is>
          <t>Rinso Molto Deterjen Cair Rose Fresh 700 Ml - Deterjen Parfum, Detergen Liquid</t>
        </is>
      </c>
      <c r="B483" t="inlineStr">
        <is>
          <t>0</t>
        </is>
      </c>
      <c r="C483" t="inlineStr">
        <is>
          <t>34%</t>
        </is>
      </c>
      <c r="D483" t="n">
        <v>20900</v>
      </c>
      <c r="E483" t="n">
        <v>31500</v>
      </c>
      <c r="F483" t="n">
        <v>20900</v>
      </c>
      <c r="G483" t="n">
        <v>31500</v>
      </c>
      <c r="H483" t="n">
        <v>20900</v>
      </c>
      <c r="I483" t="n">
        <v>31500</v>
      </c>
      <c r="J483" t="b">
        <v>1</v>
      </c>
      <c r="K483" t="inlineStr">
        <is>
          <t>Unilever Indonesia Official Shop</t>
        </is>
      </c>
      <c r="L483" t="inlineStr">
        <is>
          <t>KAB. BANYUASIN</t>
        </is>
      </c>
      <c r="M483" t="n">
        <v>1041720129</v>
      </c>
      <c r="N483" t="n">
        <v>14318452</v>
      </c>
      <c r="O483">
        <f>HYPERLINK("https://shopee.co.id/api/v4/item/get?itemid=1041720129&amp;shopid=14318452", "Rinso Molto Deterjen Cair Rose Fresh 700 Ml - Deterjen Parfum, Detergen Liquid")</f>
        <v/>
      </c>
      <c r="P483" t="n">
        <v>103</v>
      </c>
      <c r="Q483" t="n">
        <v>68</v>
      </c>
      <c r="R483" t="n">
        <v>4.938226063976216</v>
      </c>
      <c r="S483" t="n">
        <v>37</v>
      </c>
      <c r="T483" t="n">
        <v>21</v>
      </c>
      <c r="U483" t="n">
        <v>99</v>
      </c>
      <c r="V483" t="n">
        <v>727</v>
      </c>
      <c r="W483" t="n">
        <v>17295</v>
      </c>
    </row>
    <row r="484">
      <c r="A484" t="inlineStr">
        <is>
          <t>Buavita Jus Buah Asli Mangga 1000 Ml - Mango Juice, Jus Mangga</t>
        </is>
      </c>
      <c r="B484" t="inlineStr">
        <is>
          <t>0</t>
        </is>
      </c>
      <c r="C484" t="inlineStr">
        <is>
          <t>28%</t>
        </is>
      </c>
      <c r="D484" t="n">
        <v>19500</v>
      </c>
      <c r="E484" t="n">
        <v>27200</v>
      </c>
      <c r="F484" t="n">
        <v>19500</v>
      </c>
      <c r="G484" t="n">
        <v>27200</v>
      </c>
      <c r="H484" t="n">
        <v>19500</v>
      </c>
      <c r="I484" t="n">
        <v>27200</v>
      </c>
      <c r="J484" t="b">
        <v>1</v>
      </c>
      <c r="K484" t="inlineStr">
        <is>
          <t>Unilever Indonesia Official Shop</t>
        </is>
      </c>
      <c r="L484" t="inlineStr">
        <is>
          <t>KOTA SEMARANG</t>
        </is>
      </c>
      <c r="M484" t="n">
        <v>1438264697</v>
      </c>
      <c r="N484" t="n">
        <v>14318452</v>
      </c>
      <c r="O484">
        <f>HYPERLINK("https://shopee.co.id/api/v4/item/get?itemid=1438264697&amp;shopid=14318452", "Buavita Jus Buah Asli Mangga 1000 Ml - Mango Juice, Jus Mangga")</f>
        <v/>
      </c>
      <c r="P484" t="n">
        <v>295</v>
      </c>
      <c r="Q484" t="n">
        <v>128</v>
      </c>
      <c r="R484" t="n">
        <v>4.874845542806708</v>
      </c>
      <c r="S484" t="n">
        <v>36</v>
      </c>
      <c r="T484" t="n">
        <v>17</v>
      </c>
      <c r="U484" t="n">
        <v>75</v>
      </c>
      <c r="V484" t="n">
        <v>367</v>
      </c>
      <c r="W484" t="n">
        <v>5172</v>
      </c>
    </row>
    <row r="485">
      <c r="A485" t="inlineStr">
        <is>
          <t>Zwitsal Eau De Toilette Body Mist 100Ml x 3 pcs</t>
        </is>
      </c>
      <c r="B485" t="inlineStr">
        <is>
          <t>Zwitsal</t>
        </is>
      </c>
      <c r="C485" t="inlineStr">
        <is>
          <t>8%</t>
        </is>
      </c>
      <c r="D485" t="n">
        <v>85000</v>
      </c>
      <c r="E485" t="n">
        <v>92400</v>
      </c>
      <c r="F485" t="n">
        <v>85000</v>
      </c>
      <c r="G485" t="n">
        <v>92400</v>
      </c>
      <c r="H485" t="n">
        <v>85000</v>
      </c>
      <c r="I485" t="n">
        <v>92400</v>
      </c>
      <c r="J485" t="b">
        <v>1</v>
      </c>
      <c r="K485" t="inlineStr">
        <is>
          <t>Unilever Indonesia Official Shop</t>
        </is>
      </c>
      <c r="L485" t="inlineStr">
        <is>
          <t>KOTA BEKASI</t>
        </is>
      </c>
      <c r="M485" t="n">
        <v>3252845679</v>
      </c>
      <c r="N485" t="n">
        <v>14318452</v>
      </c>
      <c r="O485">
        <f>HYPERLINK("https://shopee.co.id/api/v4/item/get?itemid=3252845679&amp;shopid=14318452", "Zwitsal Eau De Toilette Body Mist 100Ml x 3 pcs")</f>
        <v/>
      </c>
      <c r="P485" t="n">
        <v>803</v>
      </c>
      <c r="Q485" t="n">
        <v>692</v>
      </c>
      <c r="R485" t="n">
        <v>4.883820384889522</v>
      </c>
      <c r="S485" t="n">
        <v>68</v>
      </c>
      <c r="T485" t="n">
        <v>35</v>
      </c>
      <c r="U485" t="n">
        <v>148</v>
      </c>
      <c r="V485" t="n">
        <v>660</v>
      </c>
      <c r="W485" t="n">
        <v>10324</v>
      </c>
    </row>
    <row r="486">
      <c r="A486" t="inlineStr">
        <is>
          <t>Pond's Men Pore Vacuum Peel Of Mask 12ml - Masker Wajah Pria 2x Pakai</t>
        </is>
      </c>
      <c r="B486" t="inlineStr">
        <is>
          <t>Pond's</t>
        </is>
      </c>
      <c r="C486" t="inlineStr">
        <is>
          <t>14%</t>
        </is>
      </c>
      <c r="D486" t="n">
        <v>17200</v>
      </c>
      <c r="E486" t="n">
        <v>20000</v>
      </c>
      <c r="F486" t="n">
        <v>17200</v>
      </c>
      <c r="G486" t="n">
        <v>20000</v>
      </c>
      <c r="H486" t="n">
        <v>17200</v>
      </c>
      <c r="I486" t="n">
        <v>20000</v>
      </c>
      <c r="J486" t="b">
        <v>1</v>
      </c>
      <c r="K486" t="inlineStr">
        <is>
          <t>Unilever Indonesia Official Shop</t>
        </is>
      </c>
      <c r="L486" t="inlineStr">
        <is>
          <t>KAB. BANYUASIN</t>
        </is>
      </c>
      <c r="M486" t="n">
        <v>5756061471</v>
      </c>
      <c r="N486" t="n">
        <v>14318452</v>
      </c>
      <c r="O486">
        <f>HYPERLINK("https://shopee.co.id/api/v4/item/get?itemid=5756061471&amp;shopid=14318452", "Pond's Men Pore Vacuum Peel Of Mask 12ml - Masker Wajah Pria 2x Pakai")</f>
        <v/>
      </c>
      <c r="P486" t="n">
        <v>99</v>
      </c>
      <c r="Q486" t="n">
        <v>19</v>
      </c>
      <c r="R486" t="n">
        <v>4.900492610837438</v>
      </c>
      <c r="S486" t="n">
        <v>5</v>
      </c>
      <c r="T486" t="n">
        <v>0</v>
      </c>
      <c r="U486" t="n">
        <v>11</v>
      </c>
      <c r="V486" t="n">
        <v>59</v>
      </c>
      <c r="W486" t="n">
        <v>940</v>
      </c>
    </row>
    <row r="487">
      <c r="A487" t="inlineStr">
        <is>
          <t>Rinso Molto Deterjen Rose Fresh 770 g - Perlindungan Dari Bakteri</t>
        </is>
      </c>
      <c r="B487" t="inlineStr">
        <is>
          <t>0</t>
        </is>
      </c>
      <c r="C487" t="inlineStr">
        <is>
          <t>13%</t>
        </is>
      </c>
      <c r="D487" t="n">
        <v>24100</v>
      </c>
      <c r="E487" t="n">
        <v>27700</v>
      </c>
      <c r="F487" t="n">
        <v>24100</v>
      </c>
      <c r="G487" t="n">
        <v>27700</v>
      </c>
      <c r="H487" t="n">
        <v>24100</v>
      </c>
      <c r="I487" t="n">
        <v>27700</v>
      </c>
      <c r="J487" t="b">
        <v>1</v>
      </c>
      <c r="K487" t="inlineStr">
        <is>
          <t>Unilever Indonesia Official Shop</t>
        </is>
      </c>
      <c r="L487" t="inlineStr">
        <is>
          <t>KOTA BEKASI</t>
        </is>
      </c>
      <c r="M487" t="n">
        <v>1041656698</v>
      </c>
      <c r="N487" t="n">
        <v>14318452</v>
      </c>
      <c r="O487">
        <f>HYPERLINK("https://shopee.co.id/api/v4/item/get?itemid=1041656698&amp;shopid=14318452", "Rinso Molto Deterjen Rose Fresh 770 g - Perlindungan Dari Bakteri")</f>
        <v/>
      </c>
      <c r="P487" t="n">
        <v>128</v>
      </c>
      <c r="Q487" t="n">
        <v>709</v>
      </c>
      <c r="R487" t="n">
        <v>4.918076729770481</v>
      </c>
      <c r="S487" t="n">
        <v>52</v>
      </c>
      <c r="T487" t="n">
        <v>32</v>
      </c>
      <c r="U487" t="n">
        <v>131</v>
      </c>
      <c r="V487" t="n">
        <v>912</v>
      </c>
      <c r="W487" t="n">
        <v>16787</v>
      </c>
    </row>
    <row r="488">
      <c r="A488" t="inlineStr">
        <is>
          <t>Royco  Bumbu Kaldu Mpasi Kaldu Jamur Tanpa Penguat Rasa 170G</t>
        </is>
      </c>
      <c r="B488" t="inlineStr">
        <is>
          <t>Royco</t>
        </is>
      </c>
      <c r="C488" t="inlineStr">
        <is>
          <t>11%</t>
        </is>
      </c>
      <c r="D488" t="n">
        <v>18300</v>
      </c>
      <c r="E488" t="n">
        <v>20600</v>
      </c>
      <c r="F488" t="n">
        <v>18300</v>
      </c>
      <c r="G488" t="n">
        <v>20600</v>
      </c>
      <c r="H488" t="n">
        <v>18300</v>
      </c>
      <c r="I488" t="n">
        <v>20600</v>
      </c>
      <c r="J488" t="b">
        <v>1</v>
      </c>
      <c r="K488" t="inlineStr">
        <is>
          <t>Unilever Indonesia Official Shop</t>
        </is>
      </c>
      <c r="L488" t="inlineStr">
        <is>
          <t>KOTA BEKASI</t>
        </is>
      </c>
      <c r="M488" t="n">
        <v>4625345519</v>
      </c>
      <c r="N488" t="n">
        <v>14318452</v>
      </c>
      <c r="O488">
        <f>HYPERLINK("https://shopee.co.id/api/v4/item/get?itemid=4625345519&amp;shopid=14318452", "Royco  Bumbu Kaldu Mpasi Kaldu Jamur Tanpa Penguat Rasa 170G")</f>
        <v/>
      </c>
      <c r="P488" t="n">
        <v>418</v>
      </c>
      <c r="Q488" t="n">
        <v>501</v>
      </c>
      <c r="R488" t="n">
        <v>4.923053388404467</v>
      </c>
      <c r="S488" t="n">
        <v>23</v>
      </c>
      <c r="T488" t="n">
        <v>6</v>
      </c>
      <c r="U488" t="n">
        <v>41</v>
      </c>
      <c r="V488" t="n">
        <v>319</v>
      </c>
      <c r="W488" t="n">
        <v>6150</v>
      </c>
    </row>
    <row r="489">
      <c r="A489" t="inlineStr">
        <is>
          <t>Ponds Bright Beauty Perfect Potion Toner+Essence 110 ml 3in1 Hyaluronic Acid&amp;Niacinamide</t>
        </is>
      </c>
      <c r="B489" t="inlineStr">
        <is>
          <t>Pond's</t>
        </is>
      </c>
      <c r="C489" t="inlineStr">
        <is>
          <t>15%</t>
        </is>
      </c>
      <c r="D489" t="n">
        <v>82000</v>
      </c>
      <c r="E489" t="n">
        <v>96200</v>
      </c>
      <c r="F489" t="n">
        <v>82000</v>
      </c>
      <c r="G489" t="n">
        <v>96200</v>
      </c>
      <c r="H489" t="n">
        <v>82000</v>
      </c>
      <c r="I489" t="n">
        <v>96200</v>
      </c>
      <c r="J489" t="b">
        <v>1</v>
      </c>
      <c r="K489" t="inlineStr">
        <is>
          <t>Unilever Indonesia Official Shop</t>
        </is>
      </c>
      <c r="L489" t="inlineStr">
        <is>
          <t>KOTA BEKASI</t>
        </is>
      </c>
      <c r="M489" t="n">
        <v>3206767748</v>
      </c>
      <c r="N489" t="n">
        <v>14318452</v>
      </c>
      <c r="O489">
        <f>HYPERLINK("https://shopee.co.id/api/v4/item/get?itemid=3206767748&amp;shopid=14318452", "Ponds Bright Beauty Perfect Potion Toner+Essence 110 ml 3in1 Hyaluronic Acid&amp;Niacinamide")</f>
        <v/>
      </c>
      <c r="P489" t="n">
        <v>274</v>
      </c>
      <c r="Q489" t="n">
        <v>91</v>
      </c>
      <c r="R489" t="n">
        <v>4.913047600986156</v>
      </c>
      <c r="S489" t="n">
        <v>28</v>
      </c>
      <c r="T489" t="n">
        <v>8</v>
      </c>
      <c r="U489" t="n">
        <v>86</v>
      </c>
      <c r="V489" t="n">
        <v>621</v>
      </c>
      <c r="W489" t="n">
        <v>9806</v>
      </c>
    </row>
    <row r="490">
      <c r="A490" t="inlineStr">
        <is>
          <t>Sunsilk Shampoo Rambut Hitam Berkilau Black Shine Activ-Infusion dengan Urang Aring 320 ml</t>
        </is>
      </c>
      <c r="B490" t="inlineStr">
        <is>
          <t>0</t>
        </is>
      </c>
      <c r="C490" t="inlineStr">
        <is>
          <t>13%</t>
        </is>
      </c>
      <c r="D490" t="n">
        <v>44500</v>
      </c>
      <c r="E490" t="n">
        <v>51100</v>
      </c>
      <c r="F490" t="n">
        <v>44500</v>
      </c>
      <c r="G490" t="n">
        <v>51100</v>
      </c>
      <c r="H490" t="n">
        <v>44500</v>
      </c>
      <c r="I490" t="n">
        <v>51100</v>
      </c>
      <c r="J490" t="b">
        <v>1</v>
      </c>
      <c r="K490" t="inlineStr">
        <is>
          <t>Unilever Indonesia Official Shop</t>
        </is>
      </c>
      <c r="L490" t="inlineStr">
        <is>
          <t>KOTA BEKASI</t>
        </is>
      </c>
      <c r="M490" t="n">
        <v>127020333</v>
      </c>
      <c r="N490" t="n">
        <v>14318452</v>
      </c>
      <c r="O490">
        <f>HYPERLINK("https://shopee.co.id/api/v4/item/get?itemid=127020333&amp;shopid=14318452", "Sunsilk Shampoo Rambut Hitam Berkilau Black Shine Activ-Infusion dengan Urang Aring 320 ml")</f>
        <v/>
      </c>
      <c r="P490" t="n">
        <v>127</v>
      </c>
      <c r="Q490" t="n">
        <v>117</v>
      </c>
      <c r="R490" t="n">
        <v>4.903533906399236</v>
      </c>
      <c r="S490" t="n">
        <v>8</v>
      </c>
      <c r="T490" t="n">
        <v>4</v>
      </c>
      <c r="U490" t="n">
        <v>45</v>
      </c>
      <c r="V490" t="n">
        <v>169</v>
      </c>
      <c r="W490" t="n">
        <v>2915</v>
      </c>
    </row>
    <row r="491">
      <c r="A491" t="inlineStr">
        <is>
          <t>Rinso Molto Detergen Cair Kemasan Hasil Daur Ulang Rose Fresh Double Clean Fresh 200ML</t>
        </is>
      </c>
      <c r="B491" t="inlineStr"/>
      <c r="C491" t="inlineStr">
        <is>
          <t>8%</t>
        </is>
      </c>
      <c r="D491" t="n">
        <v>4600</v>
      </c>
      <c r="E491" t="n">
        <v>5000</v>
      </c>
      <c r="F491" t="n">
        <v>4600</v>
      </c>
      <c r="G491" t="n">
        <v>5000</v>
      </c>
      <c r="H491" t="n">
        <v>4600</v>
      </c>
      <c r="I491" t="n">
        <v>5000</v>
      </c>
      <c r="J491" t="b">
        <v>1</v>
      </c>
      <c r="K491" t="inlineStr">
        <is>
          <t>Unilever Indonesia Official Shop</t>
        </is>
      </c>
      <c r="L491" t="inlineStr">
        <is>
          <t>KOTA BEKASI</t>
        </is>
      </c>
      <c r="M491" t="n">
        <v>11419629000</v>
      </c>
      <c r="N491" t="n">
        <v>14318452</v>
      </c>
      <c r="O491">
        <f>HYPERLINK("https://shopee.co.id/api/v4/item/get?itemid=11419629000&amp;shopid=14318452", "Rinso Molto Detergen Cair Kemasan Hasil Daur Ulang Rose Fresh Double Clean Fresh 200ML")</f>
        <v/>
      </c>
      <c r="P491" t="n">
        <v>1802</v>
      </c>
      <c r="Q491" t="n">
        <v>4971</v>
      </c>
      <c r="R491" t="n">
        <v>4.927780057447682</v>
      </c>
      <c r="S491" t="n">
        <v>24</v>
      </c>
      <c r="T491" t="n">
        <v>7</v>
      </c>
      <c r="U491" t="n">
        <v>53</v>
      </c>
      <c r="V491" t="n">
        <v>305</v>
      </c>
      <c r="W491" t="n">
        <v>6925</v>
      </c>
    </row>
    <row r="492">
      <c r="A492" t="inlineStr">
        <is>
          <t>Buavita Guava 250ml Multi Pack</t>
        </is>
      </c>
      <c r="B492" t="inlineStr">
        <is>
          <t>0</t>
        </is>
      </c>
      <c r="C492" t="inlineStr">
        <is>
          <t>26%</t>
        </is>
      </c>
      <c r="D492" t="n">
        <v>16100</v>
      </c>
      <c r="E492" t="n">
        <v>21700</v>
      </c>
      <c r="F492" t="n">
        <v>16100</v>
      </c>
      <c r="G492" t="n">
        <v>21700</v>
      </c>
      <c r="H492" t="n">
        <v>16100</v>
      </c>
      <c r="I492" t="n">
        <v>21700</v>
      </c>
      <c r="J492" t="b">
        <v>1</v>
      </c>
      <c r="K492" t="inlineStr">
        <is>
          <t>Unilever Indonesia Official Shop</t>
        </is>
      </c>
      <c r="L492" t="inlineStr">
        <is>
          <t>KOTA BEKASI</t>
        </is>
      </c>
      <c r="M492" t="n">
        <v>6331691555</v>
      </c>
      <c r="N492" t="n">
        <v>14318452</v>
      </c>
      <c r="O492">
        <f>HYPERLINK("https://shopee.co.id/api/v4/item/get?itemid=6331691555&amp;shopid=14318452", "Buavita Guava 250ml Multi Pack")</f>
        <v/>
      </c>
      <c r="P492" t="n">
        <v>221</v>
      </c>
      <c r="Q492" t="n">
        <v>657</v>
      </c>
      <c r="R492" t="n">
        <v>4.909974640743871</v>
      </c>
      <c r="S492" t="n">
        <v>11</v>
      </c>
      <c r="T492" t="n">
        <v>3</v>
      </c>
      <c r="U492" t="n">
        <v>26</v>
      </c>
      <c r="V492" t="n">
        <v>111</v>
      </c>
      <c r="W492" t="n">
        <v>2218</v>
      </c>
    </row>
    <row r="493">
      <c r="A493" t="inlineStr">
        <is>
          <t>Rexona Women Deodorant Roll On Antiperspirant Passion 72 Jam Kesegaran 45Ml</t>
        </is>
      </c>
      <c r="B493" t="inlineStr"/>
      <c r="C493" t="inlineStr">
        <is>
          <t>1%</t>
        </is>
      </c>
      <c r="D493" t="n">
        <v>19500</v>
      </c>
      <c r="E493" t="n">
        <v>19600</v>
      </c>
      <c r="F493" t="n">
        <v>19500</v>
      </c>
      <c r="G493" t="n">
        <v>19600</v>
      </c>
      <c r="H493" t="n">
        <v>19500</v>
      </c>
      <c r="I493" t="n">
        <v>19600</v>
      </c>
      <c r="J493" t="b">
        <v>1</v>
      </c>
      <c r="K493" t="inlineStr">
        <is>
          <t>Unilever Indonesia Official Shop</t>
        </is>
      </c>
      <c r="L493" t="inlineStr">
        <is>
          <t>KOTA BEKASI</t>
        </is>
      </c>
      <c r="M493" t="n">
        <v>6831996627</v>
      </c>
      <c r="N493" t="n">
        <v>14318452</v>
      </c>
      <c r="O493">
        <f>HYPERLINK("https://shopee.co.id/api/v4/item/get?itemid=6831996627&amp;shopid=14318452", "Rexona Women Deodorant Roll On Antiperspirant Passion 72 Jam Kesegaran 45Ml")</f>
        <v/>
      </c>
      <c r="P493" t="n">
        <v>290</v>
      </c>
      <c r="Q493" t="n">
        <v>821</v>
      </c>
      <c r="R493" t="n">
        <v>4.930032611918174</v>
      </c>
      <c r="S493" t="n">
        <v>4</v>
      </c>
      <c r="T493" t="n">
        <v>4</v>
      </c>
      <c r="U493" t="n">
        <v>19</v>
      </c>
      <c r="V493" t="n">
        <v>177</v>
      </c>
      <c r="W493" t="n">
        <v>3171</v>
      </c>
    </row>
    <row r="494">
      <c r="A494" t="inlineStr">
        <is>
          <t>Citra Green Tea Anti Acne Facial Foam 50 gr</t>
        </is>
      </c>
      <c r="B494" t="inlineStr">
        <is>
          <t>0</t>
        </is>
      </c>
      <c r="C494" t="inlineStr">
        <is>
          <t>1%</t>
        </is>
      </c>
      <c r="D494" t="n">
        <v>24300</v>
      </c>
      <c r="E494" t="n">
        <v>24500</v>
      </c>
      <c r="F494" t="n">
        <v>24300</v>
      </c>
      <c r="G494" t="n">
        <v>24500</v>
      </c>
      <c r="H494" t="n">
        <v>24300</v>
      </c>
      <c r="I494" t="n">
        <v>24500</v>
      </c>
      <c r="J494" t="b">
        <v>1</v>
      </c>
      <c r="K494" t="inlineStr">
        <is>
          <t>Unilever Indonesia Official Shop</t>
        </is>
      </c>
      <c r="L494" t="inlineStr">
        <is>
          <t>KOTA BEKASI</t>
        </is>
      </c>
      <c r="M494" t="n">
        <v>520602984</v>
      </c>
      <c r="N494" t="n">
        <v>14318452</v>
      </c>
      <c r="O494">
        <f>HYPERLINK("https://shopee.co.id/api/v4/item/get?itemid=520602984&amp;shopid=14318452", "Citra Green Tea Anti Acne Facial Foam 50 gr")</f>
        <v/>
      </c>
      <c r="P494" t="n">
        <v>108</v>
      </c>
      <c r="Q494" t="n">
        <v>223</v>
      </c>
      <c r="R494" t="n">
        <v>4.880489021956087</v>
      </c>
      <c r="S494" t="n">
        <v>8</v>
      </c>
      <c r="T494" t="n">
        <v>10</v>
      </c>
      <c r="U494" t="n">
        <v>48</v>
      </c>
      <c r="V494" t="n">
        <v>321</v>
      </c>
      <c r="W494" t="n">
        <v>3621</v>
      </c>
    </row>
    <row r="495">
      <c r="A495" t="inlineStr">
        <is>
          <t>Pepsodent Nanosoft Sikat Gigi Sensitive Multipack isi 2</t>
        </is>
      </c>
      <c r="B495" t="inlineStr">
        <is>
          <t>Pepsodent</t>
        </is>
      </c>
      <c r="C495" t="inlineStr">
        <is>
          <t>21%</t>
        </is>
      </c>
      <c r="D495" t="n">
        <v>18300</v>
      </c>
      <c r="E495" t="n">
        <v>23200</v>
      </c>
      <c r="F495" t="n">
        <v>18300</v>
      </c>
      <c r="G495" t="n">
        <v>23200</v>
      </c>
      <c r="H495" t="n">
        <v>18300</v>
      </c>
      <c r="I495" t="n">
        <v>23200</v>
      </c>
      <c r="J495" t="b">
        <v>1</v>
      </c>
      <c r="K495" t="inlineStr">
        <is>
          <t>Unilever Indonesia Official Shop</t>
        </is>
      </c>
      <c r="L495" t="inlineStr">
        <is>
          <t>KOTA BEKASI</t>
        </is>
      </c>
      <c r="M495" t="n">
        <v>127331952</v>
      </c>
      <c r="N495" t="n">
        <v>14318452</v>
      </c>
      <c r="O495">
        <f>HYPERLINK("https://shopee.co.id/api/v4/item/get?itemid=127331952&amp;shopid=14318452", "Pepsodent Nanosoft Sikat Gigi Sensitive Multipack isi 2")</f>
        <v/>
      </c>
      <c r="P495" t="n">
        <v>949</v>
      </c>
      <c r="Q495" t="n">
        <v>613</v>
      </c>
      <c r="R495" t="n">
        <v>4.920461445051609</v>
      </c>
      <c r="S495" t="n">
        <v>36</v>
      </c>
      <c r="T495" t="n">
        <v>19</v>
      </c>
      <c r="U495" t="n">
        <v>163</v>
      </c>
      <c r="V495" t="n">
        <v>1068</v>
      </c>
      <c r="W495" t="n">
        <v>18484</v>
      </c>
    </row>
    <row r="496">
      <c r="A496" t="inlineStr">
        <is>
          <t>Clear Shampoo Anti Dandruff Complete Soft Scare 300 Ml - Scalp Care, Scalp Treatment</t>
        </is>
      </c>
      <c r="B496" t="inlineStr">
        <is>
          <t>0</t>
        </is>
      </c>
      <c r="C496" t="inlineStr">
        <is>
          <t>15%</t>
        </is>
      </c>
      <c r="D496" t="n">
        <v>52600</v>
      </c>
      <c r="E496" t="n">
        <v>61800</v>
      </c>
      <c r="F496" t="n">
        <v>52600</v>
      </c>
      <c r="G496" t="n">
        <v>61800</v>
      </c>
      <c r="H496" t="n">
        <v>52600</v>
      </c>
      <c r="I496" t="n">
        <v>61800</v>
      </c>
      <c r="J496" t="b">
        <v>1</v>
      </c>
      <c r="K496" t="inlineStr">
        <is>
          <t>Unilever Indonesia Official Shop</t>
        </is>
      </c>
      <c r="L496" t="inlineStr">
        <is>
          <t>KOTA BEKASI</t>
        </is>
      </c>
      <c r="M496" t="n">
        <v>1465737734</v>
      </c>
      <c r="N496" t="n">
        <v>14318452</v>
      </c>
      <c r="O496">
        <f>HYPERLINK("https://shopee.co.id/api/v4/item/get?itemid=1465737734&amp;shopid=14318452", "Clear Shampoo Anti Dandruff Complete Soft Scare 300 Ml - Scalp Care, Scalp Treatment")</f>
        <v/>
      </c>
      <c r="P496" t="n">
        <v>111</v>
      </c>
      <c r="Q496" t="n">
        <v>686</v>
      </c>
      <c r="R496" t="n">
        <v>4.925228519195612</v>
      </c>
      <c r="S496" t="n">
        <v>22</v>
      </c>
      <c r="T496" t="n">
        <v>9</v>
      </c>
      <c r="U496" t="n">
        <v>33</v>
      </c>
      <c r="V496" t="n">
        <v>240</v>
      </c>
      <c r="W496" t="n">
        <v>5169</v>
      </c>
    </row>
    <row r="497">
      <c r="A497" t="inlineStr">
        <is>
          <t>Dove Body Wash Refill Deeply Nourishing Kulit Lembut 825ml</t>
        </is>
      </c>
      <c r="B497" t="inlineStr">
        <is>
          <t>Dove</t>
        </is>
      </c>
      <c r="C497" t="inlineStr">
        <is>
          <t>19%</t>
        </is>
      </c>
      <c r="D497" t="n">
        <v>54300</v>
      </c>
      <c r="E497" t="n">
        <v>66800</v>
      </c>
      <c r="F497" t="n">
        <v>54300</v>
      </c>
      <c r="G497" t="n">
        <v>66800</v>
      </c>
      <c r="H497" t="n">
        <v>54300</v>
      </c>
      <c r="I497" t="n">
        <v>66800</v>
      </c>
      <c r="J497" t="b">
        <v>1</v>
      </c>
      <c r="K497" t="inlineStr">
        <is>
          <t>Unilever Indonesia Official Shop</t>
        </is>
      </c>
      <c r="L497" t="inlineStr">
        <is>
          <t>KOTA BEKASI</t>
        </is>
      </c>
      <c r="M497" t="n">
        <v>4239098848</v>
      </c>
      <c r="N497" t="n">
        <v>14318452</v>
      </c>
      <c r="O497">
        <f>HYPERLINK("https://shopee.co.id/api/v4/item/get?itemid=4239098848&amp;shopid=14318452", "Dove Body Wash Refill Deeply Nourishing Kulit Lembut 825ml")</f>
        <v/>
      </c>
      <c r="P497" t="n">
        <v>1373</v>
      </c>
      <c r="Q497" t="n">
        <v>10102</v>
      </c>
      <c r="R497" t="n">
        <v>4.953030498005405</v>
      </c>
      <c r="S497" t="n">
        <v>35</v>
      </c>
      <c r="T497" t="n">
        <v>17</v>
      </c>
      <c r="U497" t="n">
        <v>98</v>
      </c>
      <c r="V497" t="n">
        <v>724</v>
      </c>
      <c r="W497" t="n">
        <v>22479</v>
      </c>
    </row>
    <row r="498">
      <c r="A498" t="inlineStr">
        <is>
          <t>Clear Shampoo Ice Cool Menthol 300 Ml - Shampoo Anti Dandruff, Sampo Anti Ketombe</t>
        </is>
      </c>
      <c r="B498" t="inlineStr">
        <is>
          <t>None</t>
        </is>
      </c>
      <c r="C498" t="inlineStr">
        <is>
          <t>15%</t>
        </is>
      </c>
      <c r="D498" t="n">
        <v>52700</v>
      </c>
      <c r="E498" t="n">
        <v>61800</v>
      </c>
      <c r="F498" t="n">
        <v>52700</v>
      </c>
      <c r="G498" t="n">
        <v>61800</v>
      </c>
      <c r="H498" t="n">
        <v>52700</v>
      </c>
      <c r="I498" t="n">
        <v>61800</v>
      </c>
      <c r="J498" t="b">
        <v>1</v>
      </c>
      <c r="K498" t="inlineStr">
        <is>
          <t>Unilever Indonesia Official Shop</t>
        </is>
      </c>
      <c r="L498" t="inlineStr">
        <is>
          <t>KOTA SURABAYA</t>
        </is>
      </c>
      <c r="M498" t="n">
        <v>1589005752</v>
      </c>
      <c r="N498" t="n">
        <v>14318452</v>
      </c>
      <c r="O498">
        <f>HYPERLINK("https://shopee.co.id/api/v4/item/get?itemid=1589005752&amp;shopid=14318452", "Clear Shampoo Ice Cool Menthol 300 Ml - Shampoo Anti Dandruff, Sampo Anti Ketombe")</f>
        <v/>
      </c>
      <c r="P498" t="n">
        <v>75</v>
      </c>
      <c r="Q498" t="n">
        <v>49</v>
      </c>
      <c r="R498" t="n">
        <v>4.933245208195638</v>
      </c>
      <c r="S498" t="n">
        <v>26</v>
      </c>
      <c r="T498" t="n">
        <v>20</v>
      </c>
      <c r="U498" t="n">
        <v>68</v>
      </c>
      <c r="V498" t="n">
        <v>414</v>
      </c>
      <c r="W498" t="n">
        <v>10065</v>
      </c>
    </row>
    <row r="499">
      <c r="A499" t="inlineStr">
        <is>
          <t>Vaseline Lotion Intensive Care Aloe Soothe 400ml</t>
        </is>
      </c>
      <c r="B499" t="inlineStr">
        <is>
          <t>Vaseline</t>
        </is>
      </c>
      <c r="C499" t="inlineStr">
        <is>
          <t>28%</t>
        </is>
      </c>
      <c r="D499" t="n">
        <v>46100</v>
      </c>
      <c r="E499" t="n">
        <v>63600</v>
      </c>
      <c r="F499" t="n">
        <v>46100</v>
      </c>
      <c r="G499" t="n">
        <v>63600</v>
      </c>
      <c r="H499" t="n">
        <v>46100</v>
      </c>
      <c r="I499" t="n">
        <v>63600</v>
      </c>
      <c r="J499" t="b">
        <v>1</v>
      </c>
      <c r="K499" t="inlineStr">
        <is>
          <t>Unilever Indonesia Official Shop</t>
        </is>
      </c>
      <c r="L499" t="inlineStr">
        <is>
          <t>KOTA BEKASI</t>
        </is>
      </c>
      <c r="M499" t="n">
        <v>5461172829</v>
      </c>
      <c r="N499" t="n">
        <v>14318452</v>
      </c>
      <c r="O499">
        <f>HYPERLINK("https://shopee.co.id/api/v4/item/get?itemid=5461172829&amp;shopid=14318452", "Vaseline Lotion Intensive Care Aloe Soothe 400ml")</f>
        <v/>
      </c>
      <c r="P499" t="n">
        <v>1361</v>
      </c>
      <c r="Q499" t="n">
        <v>60</v>
      </c>
      <c r="R499" t="n">
        <v>4.899451653184212</v>
      </c>
      <c r="S499" t="n">
        <v>57</v>
      </c>
      <c r="T499" t="n">
        <v>46</v>
      </c>
      <c r="U499" t="n">
        <v>216</v>
      </c>
      <c r="V499" t="n">
        <v>1066</v>
      </c>
      <c r="W499" t="n">
        <v>17051</v>
      </c>
    </row>
    <row r="500">
      <c r="A500" t="inlineStr">
        <is>
          <t>Clear Anti Dandruff Shampo Anti Ketombe Complete Soft Care 160ml Membunuh Bakteri</t>
        </is>
      </c>
      <c r="B500" t="inlineStr">
        <is>
          <t>0</t>
        </is>
      </c>
      <c r="C500" t="inlineStr">
        <is>
          <t>17%</t>
        </is>
      </c>
      <c r="D500" t="n">
        <v>30200</v>
      </c>
      <c r="E500" t="n">
        <v>36200</v>
      </c>
      <c r="F500" t="n">
        <v>30200</v>
      </c>
      <c r="G500" t="n">
        <v>36200</v>
      </c>
      <c r="H500" t="n">
        <v>30200</v>
      </c>
      <c r="I500" t="n">
        <v>36200</v>
      </c>
      <c r="J500" t="b">
        <v>1</v>
      </c>
      <c r="K500" t="inlineStr">
        <is>
          <t>Unilever Indonesia Official Shop</t>
        </is>
      </c>
      <c r="L500" t="inlineStr">
        <is>
          <t>KOTA SEMARANG</t>
        </is>
      </c>
      <c r="M500" t="n">
        <v>1465737722</v>
      </c>
      <c r="N500" t="n">
        <v>14318452</v>
      </c>
      <c r="O500">
        <f>HYPERLINK("https://shopee.co.id/api/v4/item/get?itemid=1465737722&amp;shopid=14318452", "Clear Anti Dandruff Shampo Anti Ketombe Complete Soft Care 160ml Membunuh Bakteri")</f>
        <v/>
      </c>
      <c r="P500" t="n">
        <v>176</v>
      </c>
      <c r="Q500" t="n">
        <v>315</v>
      </c>
      <c r="R500" t="n">
        <v>4.919712880499801</v>
      </c>
      <c r="S500" t="n">
        <v>18</v>
      </c>
      <c r="T500" t="n">
        <v>12</v>
      </c>
      <c r="U500" t="n">
        <v>52</v>
      </c>
      <c r="V500" t="n">
        <v>408</v>
      </c>
      <c r="W500" t="n">
        <v>7039</v>
      </c>
    </row>
    <row r="501">
      <c r="A501" t="inlineStr">
        <is>
          <t>Citra Cream Wajah Green Tea 40 G - Moisturizer Kulit Berminyak, Anti Acne, Perawatan Jerawat</t>
        </is>
      </c>
      <c r="B501" t="inlineStr">
        <is>
          <t>Citra</t>
        </is>
      </c>
      <c r="C501" t="inlineStr">
        <is>
          <t>2%</t>
        </is>
      </c>
      <c r="D501" t="n">
        <v>47400</v>
      </c>
      <c r="E501" t="n">
        <v>48400</v>
      </c>
      <c r="F501" t="n">
        <v>47400</v>
      </c>
      <c r="G501" t="n">
        <v>48400</v>
      </c>
      <c r="H501" t="n">
        <v>47400</v>
      </c>
      <c r="I501" t="n">
        <v>48400</v>
      </c>
      <c r="J501" t="b">
        <v>1</v>
      </c>
      <c r="K501" t="inlineStr">
        <is>
          <t>Unilever Indonesia Official Shop</t>
        </is>
      </c>
      <c r="L501" t="inlineStr">
        <is>
          <t>KOTA BEKASI</t>
        </is>
      </c>
      <c r="M501" t="n">
        <v>431588484</v>
      </c>
      <c r="N501" t="n">
        <v>14318452</v>
      </c>
      <c r="O501">
        <f>HYPERLINK("https://shopee.co.id/api/v4/item/get?itemid=431588484&amp;shopid=14318452", "Citra Cream Wajah Green Tea 40 G - Moisturizer Kulit Berminyak, Anti Acne, Perawatan Jerawat")</f>
        <v/>
      </c>
      <c r="P501" t="n">
        <v>199</v>
      </c>
      <c r="Q501" t="n">
        <v>928</v>
      </c>
      <c r="R501" t="n">
        <v>4.894836111535913</v>
      </c>
      <c r="S501" t="n">
        <v>32</v>
      </c>
      <c r="T501" t="n">
        <v>27</v>
      </c>
      <c r="U501" t="n">
        <v>218</v>
      </c>
      <c r="V501" t="n">
        <v>1442</v>
      </c>
      <c r="W501" t="n">
        <v>17905</v>
      </c>
    </row>
    <row r="502">
      <c r="A502" t="inlineStr">
        <is>
          <t>Rexona Men Roll On Natural Fresh Lime Cool 45ml</t>
        </is>
      </c>
      <c r="B502" t="inlineStr">
        <is>
          <t>Rexona</t>
        </is>
      </c>
      <c r="C502" t="inlineStr">
        <is>
          <t>1%</t>
        </is>
      </c>
      <c r="D502" t="n">
        <v>22100</v>
      </c>
      <c r="E502" t="n">
        <v>22300</v>
      </c>
      <c r="F502" t="n">
        <v>22100</v>
      </c>
      <c r="G502" t="n">
        <v>22300</v>
      </c>
      <c r="H502" t="n">
        <v>22100</v>
      </c>
      <c r="I502" t="n">
        <v>22300</v>
      </c>
      <c r="J502" t="b">
        <v>1</v>
      </c>
      <c r="K502" t="inlineStr">
        <is>
          <t>Unilever Indonesia Official Shop</t>
        </is>
      </c>
      <c r="L502" t="inlineStr">
        <is>
          <t>KOTA BEKASI</t>
        </is>
      </c>
      <c r="M502" t="n">
        <v>6462041289</v>
      </c>
      <c r="N502" t="n">
        <v>14318452</v>
      </c>
      <c r="O502">
        <f>HYPERLINK("https://shopee.co.id/api/v4/item/get?itemid=6462041289&amp;shopid=14318452", "Rexona Men Roll On Natural Fresh Lime Cool 45ml")</f>
        <v/>
      </c>
      <c r="P502" t="n">
        <v>320</v>
      </c>
      <c r="Q502" t="n">
        <v>478</v>
      </c>
      <c r="R502" t="n">
        <v>4.926137717417203</v>
      </c>
      <c r="S502" t="n">
        <v>12</v>
      </c>
      <c r="T502" t="n">
        <v>4</v>
      </c>
      <c r="U502" t="n">
        <v>22</v>
      </c>
      <c r="V502" t="n">
        <v>213</v>
      </c>
      <c r="W502" t="n">
        <v>3948</v>
      </c>
    </row>
    <row r="503">
      <c r="A503" t="inlineStr">
        <is>
          <t>Molto Pewangi Flower Shower 280 mL</t>
        </is>
      </c>
      <c r="B503" t="inlineStr"/>
      <c r="C503" t="inlineStr">
        <is>
          <t>2%</t>
        </is>
      </c>
      <c r="D503" t="n">
        <v>5000</v>
      </c>
      <c r="E503" t="n">
        <v>5100</v>
      </c>
      <c r="F503" t="n">
        <v>5000</v>
      </c>
      <c r="G503" t="n">
        <v>5100</v>
      </c>
      <c r="H503" t="n">
        <v>5000</v>
      </c>
      <c r="I503" t="n">
        <v>5100</v>
      </c>
      <c r="J503" t="b">
        <v>1</v>
      </c>
      <c r="K503" t="inlineStr">
        <is>
          <t>Unilever Indonesia Official Shop</t>
        </is>
      </c>
      <c r="L503" t="inlineStr">
        <is>
          <t>KOTA DENPASAR</t>
        </is>
      </c>
      <c r="M503" t="n">
        <v>7578324820</v>
      </c>
      <c r="N503" t="n">
        <v>14318452</v>
      </c>
      <c r="O503">
        <f>HYPERLINK("https://shopee.co.id/api/v4/item/get?itemid=7578324820&amp;shopid=14318452", "Molto Pewangi Flower Shower 280 mL")</f>
        <v/>
      </c>
      <c r="P503" t="n">
        <v>26</v>
      </c>
      <c r="Q503" t="n">
        <v>23</v>
      </c>
      <c r="R503" t="n">
        <v>4.933574879227053</v>
      </c>
      <c r="S503" t="n">
        <v>8</v>
      </c>
      <c r="T503" t="n">
        <v>9</v>
      </c>
      <c r="U503" t="n">
        <v>39</v>
      </c>
      <c r="V503" t="n">
        <v>255</v>
      </c>
      <c r="W503" t="n">
        <v>5487</v>
      </c>
    </row>
    <row r="504">
      <c r="A504" t="inlineStr">
        <is>
          <t>Closeup Pasta Gigi Everfresh Icy White 160 gr Close Up Toothpaste Twinpack</t>
        </is>
      </c>
      <c r="B504" t="inlineStr">
        <is>
          <t>0</t>
        </is>
      </c>
      <c r="C504" t="inlineStr">
        <is>
          <t>29%</t>
        </is>
      </c>
      <c r="D504" t="n">
        <v>37500</v>
      </c>
      <c r="E504" t="n">
        <v>52900</v>
      </c>
      <c r="F504" t="n">
        <v>37500</v>
      </c>
      <c r="G504" t="n">
        <v>52900</v>
      </c>
      <c r="H504" t="n">
        <v>37500</v>
      </c>
      <c r="I504" t="n">
        <v>52900</v>
      </c>
      <c r="J504" t="b">
        <v>1</v>
      </c>
      <c r="K504" t="inlineStr">
        <is>
          <t>Unilever Indonesia Official Shop</t>
        </is>
      </c>
      <c r="L504" t="inlineStr">
        <is>
          <t>KOTA BEKASI</t>
        </is>
      </c>
      <c r="M504" t="n">
        <v>5931321199</v>
      </c>
      <c r="N504" t="n">
        <v>14318452</v>
      </c>
      <c r="O504">
        <f>HYPERLINK("https://shopee.co.id/api/v4/item/get?itemid=5931321199&amp;shopid=14318452", "Closeup Pasta Gigi Everfresh Icy White 160 gr Close Up Toothpaste Twinpack")</f>
        <v/>
      </c>
      <c r="P504" t="n">
        <v>684</v>
      </c>
      <c r="Q504" t="n">
        <v>520</v>
      </c>
      <c r="R504" t="n">
        <v>4.94407567208762</v>
      </c>
      <c r="S504" t="n">
        <v>16</v>
      </c>
      <c r="T504" t="n">
        <v>4</v>
      </c>
      <c r="U504" t="n">
        <v>27</v>
      </c>
      <c r="V504" t="n">
        <v>214</v>
      </c>
      <c r="W504" t="n">
        <v>5767</v>
      </c>
    </row>
    <row r="505">
      <c r="A505" t="inlineStr">
        <is>
          <t>Lifebuoy Shampoo Strong and Shiny 170ml - Perawatan Rambut Berkilau</t>
        </is>
      </c>
      <c r="B505" t="inlineStr">
        <is>
          <t>Lifebuoy</t>
        </is>
      </c>
      <c r="C505" t="inlineStr">
        <is>
          <t>1%</t>
        </is>
      </c>
      <c r="D505" t="n">
        <v>28000</v>
      </c>
      <c r="E505" t="n">
        <v>28200</v>
      </c>
      <c r="F505" t="n">
        <v>28000</v>
      </c>
      <c r="G505" t="n">
        <v>28200</v>
      </c>
      <c r="H505" t="n">
        <v>28000</v>
      </c>
      <c r="I505" t="n">
        <v>28200</v>
      </c>
      <c r="J505" t="b">
        <v>1</v>
      </c>
      <c r="K505" t="inlineStr">
        <is>
          <t>Unilever Indonesia Official Shop</t>
        </is>
      </c>
      <c r="L505" t="inlineStr">
        <is>
          <t>KOTA BEKASI</t>
        </is>
      </c>
      <c r="M505" t="n">
        <v>224777299</v>
      </c>
      <c r="N505" t="n">
        <v>14318452</v>
      </c>
      <c r="O505">
        <f>HYPERLINK("https://shopee.co.id/api/v4/item/get?itemid=224777299&amp;shopid=14318452", "Lifebuoy Shampoo Strong and Shiny 170ml - Perawatan Rambut Berkilau")</f>
        <v/>
      </c>
      <c r="P505" t="n">
        <v>211</v>
      </c>
      <c r="Q505" t="n">
        <v>641</v>
      </c>
      <c r="R505" t="n">
        <v>4.92096673919801</v>
      </c>
      <c r="S505" t="n">
        <v>42</v>
      </c>
      <c r="T505" t="n">
        <v>20</v>
      </c>
      <c r="U505" t="n">
        <v>86</v>
      </c>
      <c r="V505" t="n">
        <v>623</v>
      </c>
      <c r="W505" t="n">
        <v>12099</v>
      </c>
    </row>
    <row r="506">
      <c r="A506" t="inlineStr">
        <is>
          <t>Ponds Oil Control Facial Foam 100 gr - Twin Pack</t>
        </is>
      </c>
      <c r="B506" t="inlineStr">
        <is>
          <t>0</t>
        </is>
      </c>
      <c r="C506" t="inlineStr">
        <is>
          <t>15%</t>
        </is>
      </c>
      <c r="D506" t="n">
        <v>62900</v>
      </c>
      <c r="E506" t="n">
        <v>74200</v>
      </c>
      <c r="F506" t="n">
        <v>62900</v>
      </c>
      <c r="G506" t="n">
        <v>74200</v>
      </c>
      <c r="H506" t="n">
        <v>62900</v>
      </c>
      <c r="I506" t="n">
        <v>74200</v>
      </c>
      <c r="J506" t="b">
        <v>1</v>
      </c>
      <c r="K506" t="inlineStr">
        <is>
          <t>Unilever Indonesia Official Shop</t>
        </is>
      </c>
      <c r="L506" t="inlineStr">
        <is>
          <t>KOTA BEKASI</t>
        </is>
      </c>
      <c r="M506" t="n">
        <v>5931381866</v>
      </c>
      <c r="N506" t="n">
        <v>14318452</v>
      </c>
      <c r="O506">
        <f>HYPERLINK("https://shopee.co.id/api/v4/item/get?itemid=5931381866&amp;shopid=14318452", "Ponds Oil Control Facial Foam 100 gr - Twin Pack")</f>
        <v/>
      </c>
      <c r="P506" t="n">
        <v>233</v>
      </c>
      <c r="Q506" t="n">
        <v>165</v>
      </c>
      <c r="R506" t="n">
        <v>4.943661971830986</v>
      </c>
      <c r="S506" t="n">
        <v>8</v>
      </c>
      <c r="T506" t="n">
        <v>1</v>
      </c>
      <c r="U506" t="n">
        <v>11</v>
      </c>
      <c r="V506" t="n">
        <v>99</v>
      </c>
      <c r="W506" t="n">
        <v>2650</v>
      </c>
    </row>
    <row r="507">
      <c r="A507" t="inlineStr">
        <is>
          <t>Pepsodent Sikat Gigi Triple Clean Soft Isi 3</t>
        </is>
      </c>
      <c r="B507" t="inlineStr">
        <is>
          <t>Pepsodent</t>
        </is>
      </c>
      <c r="C507" t="inlineStr">
        <is>
          <t>19%</t>
        </is>
      </c>
      <c r="D507" t="n">
        <v>8800</v>
      </c>
      <c r="E507" t="n">
        <v>10800</v>
      </c>
      <c r="F507" t="n">
        <v>8800</v>
      </c>
      <c r="G507" t="n">
        <v>10800</v>
      </c>
      <c r="H507" t="n">
        <v>8800</v>
      </c>
      <c r="I507" t="n">
        <v>10800</v>
      </c>
      <c r="J507" t="b">
        <v>1</v>
      </c>
      <c r="K507" t="inlineStr">
        <is>
          <t>Unilever Indonesia Official Shop</t>
        </is>
      </c>
      <c r="L507" t="inlineStr">
        <is>
          <t>KOTA BEKASI</t>
        </is>
      </c>
      <c r="M507" t="n">
        <v>669917116</v>
      </c>
      <c r="N507" t="n">
        <v>14318452</v>
      </c>
      <c r="O507">
        <f>HYPERLINK("https://shopee.co.id/api/v4/item/get?itemid=669917116&amp;shopid=14318452", "Pepsodent Sikat Gigi Triple Clean Soft Isi 3")</f>
        <v/>
      </c>
      <c r="P507" t="n">
        <v>273</v>
      </c>
      <c r="Q507" t="n">
        <v>521</v>
      </c>
      <c r="R507" t="n">
        <v>4.915497398707236</v>
      </c>
      <c r="S507" t="n">
        <v>40</v>
      </c>
      <c r="T507" t="n">
        <v>20</v>
      </c>
      <c r="U507" t="n">
        <v>92</v>
      </c>
      <c r="V507" t="n">
        <v>668</v>
      </c>
      <c r="W507" t="n">
        <v>11866</v>
      </c>
    </row>
    <row r="508">
      <c r="A508" t="inlineStr">
        <is>
          <t>Lifebuoy Anti Hair Fall Shampo Perawatan Rambut Rontok 170ml Membunuh Bakteri</t>
        </is>
      </c>
      <c r="B508" t="inlineStr">
        <is>
          <t>0</t>
        </is>
      </c>
      <c r="C508" t="inlineStr">
        <is>
          <t>1%</t>
        </is>
      </c>
      <c r="D508" t="n">
        <v>28000</v>
      </c>
      <c r="E508" t="n">
        <v>28200</v>
      </c>
      <c r="F508" t="n">
        <v>28000</v>
      </c>
      <c r="G508" t="n">
        <v>28200</v>
      </c>
      <c r="H508" t="n">
        <v>28000</v>
      </c>
      <c r="I508" t="n">
        <v>28200</v>
      </c>
      <c r="J508" t="b">
        <v>1</v>
      </c>
      <c r="K508" t="inlineStr">
        <is>
          <t>Unilever Indonesia Official Shop</t>
        </is>
      </c>
      <c r="L508" t="inlineStr">
        <is>
          <t>KOTA BEKASI</t>
        </is>
      </c>
      <c r="M508" t="n">
        <v>2219266897</v>
      </c>
      <c r="N508" t="n">
        <v>14318452</v>
      </c>
      <c r="O508">
        <f>HYPERLINK("https://shopee.co.id/api/v4/item/get?itemid=2219266897&amp;shopid=14318452", "Lifebuoy Anti Hair Fall Shampo Perawatan Rambut Rontok 170ml Membunuh Bakteri")</f>
        <v/>
      </c>
      <c r="P508" t="n">
        <v>128</v>
      </c>
      <c r="Q508" t="n">
        <v>450</v>
      </c>
      <c r="R508" t="n">
        <v>4.919131614654003</v>
      </c>
      <c r="S508" t="n">
        <v>19</v>
      </c>
      <c r="T508" t="n">
        <v>8</v>
      </c>
      <c r="U508" t="n">
        <v>52</v>
      </c>
      <c r="V508" t="n">
        <v>392</v>
      </c>
      <c r="W508" t="n">
        <v>6899</v>
      </c>
    </row>
    <row r="509">
      <c r="A509" t="inlineStr">
        <is>
          <t>Lux Magical Spell Sabun Cair Refill 400ml Twin Pack</t>
        </is>
      </c>
      <c r="B509" t="inlineStr">
        <is>
          <t>0</t>
        </is>
      </c>
      <c r="C509" t="inlineStr">
        <is>
          <t>27%</t>
        </is>
      </c>
      <c r="D509" t="n">
        <v>45000</v>
      </c>
      <c r="E509" t="n">
        <v>61800</v>
      </c>
      <c r="F509" t="n">
        <v>45000</v>
      </c>
      <c r="G509" t="n">
        <v>61800</v>
      </c>
      <c r="H509" t="n">
        <v>45000</v>
      </c>
      <c r="I509" t="n">
        <v>61800</v>
      </c>
      <c r="J509" t="b">
        <v>1</v>
      </c>
      <c r="K509" t="inlineStr">
        <is>
          <t>Unilever Indonesia Official Shop</t>
        </is>
      </c>
      <c r="L509" t="inlineStr">
        <is>
          <t>KOTA BEKASI</t>
        </is>
      </c>
      <c r="M509" t="n">
        <v>5031407106</v>
      </c>
      <c r="N509" t="n">
        <v>14318452</v>
      </c>
      <c r="O509">
        <f>HYPERLINK("https://shopee.co.id/api/v4/item/get?itemid=5031407106&amp;shopid=14318452", "Lux Magical Spell Sabun Cair Refill 400ml Twin Pack")</f>
        <v/>
      </c>
      <c r="P509" t="n">
        <v>120</v>
      </c>
      <c r="Q509" t="n">
        <v>6</v>
      </c>
      <c r="R509" t="n">
        <v>4.919431279620853</v>
      </c>
      <c r="S509" t="n">
        <v>12</v>
      </c>
      <c r="T509" t="n">
        <v>6</v>
      </c>
      <c r="U509" t="n">
        <v>31</v>
      </c>
      <c r="V509" t="n">
        <v>147</v>
      </c>
      <c r="W509" t="n">
        <v>3181</v>
      </c>
    </row>
    <row r="510">
      <c r="A510" t="inlineStr">
        <is>
          <t>Lifebuoy Sabun Mandi Cair Shiso &amp; Mineral Clay 250 Ml</t>
        </is>
      </c>
      <c r="B510" t="inlineStr"/>
      <c r="C510" t="inlineStr">
        <is>
          <t>8%</t>
        </is>
      </c>
      <c r="D510" t="n">
        <v>18900</v>
      </c>
      <c r="E510" t="n">
        <v>20500</v>
      </c>
      <c r="F510" t="n">
        <v>18900</v>
      </c>
      <c r="G510" t="n">
        <v>20500</v>
      </c>
      <c r="H510" t="n">
        <v>18900</v>
      </c>
      <c r="I510" t="n">
        <v>20500</v>
      </c>
      <c r="J510" t="b">
        <v>1</v>
      </c>
      <c r="K510" t="inlineStr">
        <is>
          <t>Unilever Indonesia Official Shop</t>
        </is>
      </c>
      <c r="L510" t="inlineStr">
        <is>
          <t>KOTA BEKASI</t>
        </is>
      </c>
      <c r="M510" t="n">
        <v>10801735477</v>
      </c>
      <c r="N510" t="n">
        <v>14318452</v>
      </c>
      <c r="O510">
        <f>HYPERLINK("https://shopee.co.id/api/v4/item/get?itemid=10801735477&amp;shopid=14318452", "Lifebuoy Sabun Mandi Cair Shiso &amp; Mineral Clay 250 Ml")</f>
        <v/>
      </c>
      <c r="P510" t="n">
        <v>120</v>
      </c>
      <c r="Q510" t="n">
        <v>303</v>
      </c>
      <c r="R510" t="n">
        <v>4.902777777777778</v>
      </c>
      <c r="S510" t="n">
        <v>6</v>
      </c>
      <c r="T510" t="n">
        <v>4</v>
      </c>
      <c r="U510" t="n">
        <v>15</v>
      </c>
      <c r="V510" t="n">
        <v>95</v>
      </c>
      <c r="W510" t="n">
        <v>1536</v>
      </c>
    </row>
    <row r="511">
      <c r="A511" t="inlineStr">
        <is>
          <t>Pepsodent Action 123 Nature Essentials Siwak Pasta Gigi Halal 65 gr x2</t>
        </is>
      </c>
      <c r="B511" t="inlineStr">
        <is>
          <t>Pepsodent</t>
        </is>
      </c>
      <c r="C511" t="inlineStr">
        <is>
          <t>12%</t>
        </is>
      </c>
      <c r="D511" t="n">
        <v>13400</v>
      </c>
      <c r="E511" t="n">
        <v>15200</v>
      </c>
      <c r="F511" t="n">
        <v>13400</v>
      </c>
      <c r="G511" t="n">
        <v>15200</v>
      </c>
      <c r="H511" t="n">
        <v>13400</v>
      </c>
      <c r="I511" t="n">
        <v>15200</v>
      </c>
      <c r="J511" t="b">
        <v>1</v>
      </c>
      <c r="K511" t="inlineStr">
        <is>
          <t>Unilever Indonesia Official Shop</t>
        </is>
      </c>
      <c r="L511" t="inlineStr">
        <is>
          <t>KOTA BEKASI</t>
        </is>
      </c>
      <c r="M511" t="n">
        <v>7847432200</v>
      </c>
      <c r="N511" t="n">
        <v>14318452</v>
      </c>
      <c r="O511">
        <f>HYPERLINK("https://shopee.co.id/api/v4/item/get?itemid=7847432200&amp;shopid=14318452", "Pepsodent Action 123 Nature Essentials Siwak Pasta Gigi Halal 65 gr x2")</f>
        <v/>
      </c>
      <c r="P511" t="n">
        <v>92</v>
      </c>
      <c r="Q511" t="n">
        <v>678</v>
      </c>
      <c r="R511" t="n">
        <v>4.908841940532081</v>
      </c>
      <c r="S511" t="n">
        <v>2</v>
      </c>
      <c r="T511" t="n">
        <v>8</v>
      </c>
      <c r="U511" t="n">
        <v>18</v>
      </c>
      <c r="V511" t="n">
        <v>165</v>
      </c>
      <c r="W511" t="n">
        <v>2363</v>
      </c>
    </row>
    <row r="512">
      <c r="A512" t="inlineStr">
        <is>
          <t>ZWITSAL KIDS BUBBLE BATH BLUE CLEAN &amp; FRESH 280ml TWINPACK</t>
        </is>
      </c>
      <c r="B512" t="inlineStr">
        <is>
          <t>0</t>
        </is>
      </c>
      <c r="C512" t="inlineStr">
        <is>
          <t>23%</t>
        </is>
      </c>
      <c r="D512" t="n">
        <v>40400</v>
      </c>
      <c r="E512" t="n">
        <v>52200</v>
      </c>
      <c r="F512" t="n">
        <v>40400</v>
      </c>
      <c r="G512" t="n">
        <v>52200</v>
      </c>
      <c r="H512" t="n">
        <v>40400</v>
      </c>
      <c r="I512" t="n">
        <v>52200</v>
      </c>
      <c r="J512" t="b">
        <v>1</v>
      </c>
      <c r="K512" t="inlineStr">
        <is>
          <t>Unilever Indonesia Official Shop</t>
        </is>
      </c>
      <c r="L512" t="inlineStr">
        <is>
          <t>KOTA BEKASI</t>
        </is>
      </c>
      <c r="M512" t="n">
        <v>7731332795</v>
      </c>
      <c r="N512" t="n">
        <v>14318452</v>
      </c>
      <c r="O512">
        <f>HYPERLINK("https://shopee.co.id/api/v4/item/get?itemid=7731332795&amp;shopid=14318452", "ZWITSAL KIDS BUBBLE BATH BLUE CLEAN &amp; FRESH 280ml TWINPACK")</f>
        <v/>
      </c>
      <c r="P512" t="n">
        <v>97</v>
      </c>
      <c r="Q512" t="n">
        <v>150</v>
      </c>
      <c r="R512" t="n">
        <v>4.925542406311637</v>
      </c>
      <c r="S512" t="n">
        <v>4</v>
      </c>
      <c r="T512" t="n">
        <v>7</v>
      </c>
      <c r="U512" t="n">
        <v>14</v>
      </c>
      <c r="V512" t="n">
        <v>90</v>
      </c>
      <c r="W512" t="n">
        <v>1914</v>
      </c>
    </row>
    <row r="513">
      <c r="A513" t="inlineStr">
        <is>
          <t>Wipol Pembersih Lantai Karbol Lemon Refill 780ml Twin Pack</t>
        </is>
      </c>
      <c r="B513" t="inlineStr">
        <is>
          <t>0</t>
        </is>
      </c>
      <c r="C513" t="inlineStr">
        <is>
          <t>30%</t>
        </is>
      </c>
      <c r="D513" t="n">
        <v>33400</v>
      </c>
      <c r="E513" t="n">
        <v>47500</v>
      </c>
      <c r="F513" t="n">
        <v>33400</v>
      </c>
      <c r="G513" t="n">
        <v>47500</v>
      </c>
      <c r="H513" t="n">
        <v>33400</v>
      </c>
      <c r="I513" t="n">
        <v>47500</v>
      </c>
      <c r="J513" t="b">
        <v>1</v>
      </c>
      <c r="K513" t="inlineStr">
        <is>
          <t>Unilever Indonesia Official Shop</t>
        </is>
      </c>
      <c r="L513" t="inlineStr">
        <is>
          <t>KOTA BEKASI</t>
        </is>
      </c>
      <c r="M513" t="n">
        <v>5231694179</v>
      </c>
      <c r="N513" t="n">
        <v>14318452</v>
      </c>
      <c r="O513">
        <f>HYPERLINK("https://shopee.co.id/api/v4/item/get?itemid=5231694179&amp;shopid=14318452", "Wipol Pembersih Lantai Karbol Lemon Refill 780ml Twin Pack")</f>
        <v/>
      </c>
      <c r="P513" t="n">
        <v>418</v>
      </c>
      <c r="Q513" t="n">
        <v>1268</v>
      </c>
      <c r="R513" t="n">
        <v>4.940697148030783</v>
      </c>
      <c r="S513" t="n">
        <v>11</v>
      </c>
      <c r="T513" t="n">
        <v>5</v>
      </c>
      <c r="U513" t="n">
        <v>27</v>
      </c>
      <c r="V513" t="n">
        <v>149</v>
      </c>
      <c r="W513" t="n">
        <v>4229</v>
      </c>
    </row>
    <row r="514">
      <c r="A514" t="inlineStr">
        <is>
          <t>Lifebuoy Body Wash Refill Shiso &amp; Sandalwood 825ml</t>
        </is>
      </c>
      <c r="B514" t="inlineStr"/>
      <c r="C514" t="inlineStr">
        <is>
          <t>22%</t>
        </is>
      </c>
      <c r="D514" t="n">
        <v>40400</v>
      </c>
      <c r="E514" t="n">
        <v>52000</v>
      </c>
      <c r="F514" t="n">
        <v>40400</v>
      </c>
      <c r="G514" t="n">
        <v>52000</v>
      </c>
      <c r="H514" t="n">
        <v>40400</v>
      </c>
      <c r="I514" t="n">
        <v>52000</v>
      </c>
      <c r="J514" t="b">
        <v>1</v>
      </c>
      <c r="K514" t="inlineStr">
        <is>
          <t>Unilever Indonesia Official Shop</t>
        </is>
      </c>
      <c r="L514" t="inlineStr">
        <is>
          <t>KOTA BEKASI</t>
        </is>
      </c>
      <c r="M514" t="n">
        <v>8551350059</v>
      </c>
      <c r="N514" t="n">
        <v>14318452</v>
      </c>
      <c r="O514">
        <f>HYPERLINK("https://shopee.co.id/api/v4/item/get?itemid=8551350059&amp;shopid=14318452", "Lifebuoy Body Wash Refill Shiso &amp; Sandalwood 825ml")</f>
        <v/>
      </c>
      <c r="P514" t="n">
        <v>326</v>
      </c>
      <c r="Q514" t="n">
        <v>1448</v>
      </c>
      <c r="R514" t="n">
        <v>4.937815779246017</v>
      </c>
      <c r="S514" t="n">
        <v>10</v>
      </c>
      <c r="T514" t="n">
        <v>1</v>
      </c>
      <c r="U514" t="n">
        <v>9</v>
      </c>
      <c r="V514" t="n">
        <v>99</v>
      </c>
      <c r="W514" t="n">
        <v>2454</v>
      </c>
    </row>
    <row r="515">
      <c r="A515" t="inlineStr">
        <is>
          <t>Lifebuoy Sabun Cuci Tangan Anti Bakteri Lemon Fresh 180ml</t>
        </is>
      </c>
      <c r="B515" t="inlineStr">
        <is>
          <t>Lifebuoy</t>
        </is>
      </c>
      <c r="C515" t="inlineStr">
        <is>
          <t>12%</t>
        </is>
      </c>
      <c r="D515" t="n">
        <v>12700</v>
      </c>
      <c r="E515" t="n">
        <v>14400</v>
      </c>
      <c r="F515" t="n">
        <v>12700</v>
      </c>
      <c r="G515" t="n">
        <v>14400</v>
      </c>
      <c r="H515" t="n">
        <v>12700</v>
      </c>
      <c r="I515" t="n">
        <v>14400</v>
      </c>
      <c r="J515" t="b">
        <v>1</v>
      </c>
      <c r="K515" t="inlineStr">
        <is>
          <t>Unilever Indonesia Official Shop</t>
        </is>
      </c>
      <c r="L515" t="inlineStr">
        <is>
          <t>KOTA BEKASI</t>
        </is>
      </c>
      <c r="M515" t="n">
        <v>6325666882</v>
      </c>
      <c r="N515" t="n">
        <v>14318452</v>
      </c>
      <c r="O515">
        <f>HYPERLINK("https://shopee.co.id/api/v4/item/get?itemid=6325666882&amp;shopid=14318452", "Lifebuoy Sabun Cuci Tangan Anti Bakteri Lemon Fresh 180ml")</f>
        <v/>
      </c>
      <c r="P515" t="n">
        <v>107</v>
      </c>
      <c r="Q515" t="n">
        <v>479</v>
      </c>
      <c r="R515" t="n">
        <v>4.926984740197025</v>
      </c>
      <c r="S515" t="n">
        <v>13</v>
      </c>
      <c r="T515" t="n">
        <v>9</v>
      </c>
      <c r="U515" t="n">
        <v>29</v>
      </c>
      <c r="V515" t="n">
        <v>253</v>
      </c>
      <c r="W515" t="n">
        <v>4877</v>
      </c>
    </row>
    <row r="516">
      <c r="A516" t="inlineStr">
        <is>
          <t>Zwitsal Natural Baby Milky Bath Rich Honey 250 ml</t>
        </is>
      </c>
      <c r="B516" t="inlineStr">
        <is>
          <t>0</t>
        </is>
      </c>
      <c r="C516" t="inlineStr">
        <is>
          <t>17%</t>
        </is>
      </c>
      <c r="D516" t="n">
        <v>26600</v>
      </c>
      <c r="E516" t="n">
        <v>32000</v>
      </c>
      <c r="F516" t="n">
        <v>26600</v>
      </c>
      <c r="G516" t="n">
        <v>32000</v>
      </c>
      <c r="H516" t="n">
        <v>26600</v>
      </c>
      <c r="I516" t="n">
        <v>32000</v>
      </c>
      <c r="J516" t="b">
        <v>1</v>
      </c>
      <c r="K516" t="inlineStr">
        <is>
          <t>Unilever Indonesia Official Shop</t>
        </is>
      </c>
      <c r="L516" t="inlineStr">
        <is>
          <t>KOTA BEKASI</t>
        </is>
      </c>
      <c r="M516" t="n">
        <v>1026005020</v>
      </c>
      <c r="N516" t="n">
        <v>14318452</v>
      </c>
      <c r="O516">
        <f>HYPERLINK("https://shopee.co.id/api/v4/item/get?itemid=1026005020&amp;shopid=14318452", "Zwitsal Natural Baby Milky Bath Rich Honey 250 ml")</f>
        <v/>
      </c>
      <c r="P516" t="n">
        <v>58</v>
      </c>
      <c r="Q516" t="n">
        <v>252</v>
      </c>
      <c r="R516" t="n">
        <v>4.917173252279635</v>
      </c>
      <c r="S516" t="n">
        <v>20</v>
      </c>
      <c r="T516" t="n">
        <v>8</v>
      </c>
      <c r="U516" t="n">
        <v>34</v>
      </c>
      <c r="V516" t="n">
        <v>271</v>
      </c>
      <c r="W516" t="n">
        <v>4933</v>
      </c>
    </row>
    <row r="517">
      <c r="A517" t="inlineStr">
        <is>
          <t>Ponds Juice Pelembab Muka Moisturizer Watermelon 100% Free Alcohol W Vite&amp;Hyaluronic 20G</t>
        </is>
      </c>
      <c r="B517" t="inlineStr"/>
      <c r="C517" t="inlineStr">
        <is>
          <t>11%</t>
        </is>
      </c>
      <c r="D517" t="n">
        <v>24900</v>
      </c>
      <c r="E517" t="n">
        <v>28100</v>
      </c>
      <c r="F517" t="n">
        <v>24900</v>
      </c>
      <c r="G517" t="n">
        <v>28100</v>
      </c>
      <c r="H517" t="n">
        <v>24900</v>
      </c>
      <c r="I517" t="n">
        <v>28100</v>
      </c>
      <c r="J517" t="b">
        <v>1</v>
      </c>
      <c r="K517" t="inlineStr">
        <is>
          <t>Unilever Indonesia Official Shop</t>
        </is>
      </c>
      <c r="L517" t="inlineStr">
        <is>
          <t>KOTA BEKASI</t>
        </is>
      </c>
      <c r="M517" t="n">
        <v>6517483688</v>
      </c>
      <c r="N517" t="n">
        <v>14318452</v>
      </c>
      <c r="O517">
        <f>HYPERLINK("https://shopee.co.id/api/v4/item/get?itemid=6517483688&amp;shopid=14318452", "Ponds Juice Pelembab Muka Moisturizer Watermelon 100% Free Alcohol W Vite&amp;Hyaluronic 20G")</f>
        <v/>
      </c>
      <c r="P517" t="n">
        <v>230</v>
      </c>
      <c r="Q517" t="n">
        <v>3880</v>
      </c>
      <c r="R517" t="n">
        <v>4.925328630971465</v>
      </c>
      <c r="S517" t="n">
        <v>38</v>
      </c>
      <c r="T517" t="n">
        <v>41</v>
      </c>
      <c r="U517" t="n">
        <v>160</v>
      </c>
      <c r="V517" t="n">
        <v>1751</v>
      </c>
      <c r="W517" t="n">
        <v>29206</v>
      </c>
    </row>
    <row r="518">
      <c r="A518" t="inlineStr">
        <is>
          <t>Ponds Bright Beauty Brightening Toner 150ml Twin Pack</t>
        </is>
      </c>
      <c r="B518" t="inlineStr">
        <is>
          <t>Pond's</t>
        </is>
      </c>
      <c r="C518" t="inlineStr">
        <is>
          <t>12%</t>
        </is>
      </c>
      <c r="D518" t="n">
        <v>53800</v>
      </c>
      <c r="E518" t="n">
        <v>61400</v>
      </c>
      <c r="F518" t="n">
        <v>53800</v>
      </c>
      <c r="G518" t="n">
        <v>61400</v>
      </c>
      <c r="H518" t="n">
        <v>53800</v>
      </c>
      <c r="I518" t="n">
        <v>61400</v>
      </c>
      <c r="J518" t="b">
        <v>1</v>
      </c>
      <c r="K518" t="inlineStr">
        <is>
          <t>Unilever Indonesia Official Shop</t>
        </is>
      </c>
      <c r="L518" t="inlineStr">
        <is>
          <t>KOTA BEKASI</t>
        </is>
      </c>
      <c r="M518" t="n">
        <v>4831376727</v>
      </c>
      <c r="N518" t="n">
        <v>14318452</v>
      </c>
      <c r="O518">
        <f>HYPERLINK("https://shopee.co.id/api/v4/item/get?itemid=4831376727&amp;shopid=14318452", "Ponds Bright Beauty Brightening Toner 150ml Twin Pack")</f>
        <v/>
      </c>
      <c r="P518" t="n">
        <v>127</v>
      </c>
      <c r="Q518" t="n">
        <v>414</v>
      </c>
      <c r="R518" t="n">
        <v>4.912972085385879</v>
      </c>
      <c r="S518" t="n">
        <v>12</v>
      </c>
      <c r="T518" t="n">
        <v>9</v>
      </c>
      <c r="U518" t="n">
        <v>23</v>
      </c>
      <c r="V518" t="n">
        <v>203</v>
      </c>
      <c r="W518" t="n">
        <v>3409</v>
      </c>
    </row>
    <row r="519">
      <c r="A519" t="inlineStr">
        <is>
          <t>Dove Body Wash Refill Deeply Nourishing Kulit Lembut 400ml</t>
        </is>
      </c>
      <c r="B519" t="inlineStr">
        <is>
          <t>Dove</t>
        </is>
      </c>
      <c r="C519" t="inlineStr">
        <is>
          <t>17%</t>
        </is>
      </c>
      <c r="D519" t="n">
        <v>33000</v>
      </c>
      <c r="E519" t="n">
        <v>39800</v>
      </c>
      <c r="F519" t="n">
        <v>33000</v>
      </c>
      <c r="G519" t="n">
        <v>39800</v>
      </c>
      <c r="H519" t="n">
        <v>33000</v>
      </c>
      <c r="I519" t="n">
        <v>39800</v>
      </c>
      <c r="J519" t="b">
        <v>1</v>
      </c>
      <c r="K519" t="inlineStr">
        <is>
          <t>Unilever Indonesia Official Shop</t>
        </is>
      </c>
      <c r="L519" t="inlineStr">
        <is>
          <t>KOTA BEKASI</t>
        </is>
      </c>
      <c r="M519" t="n">
        <v>127003114</v>
      </c>
      <c r="N519" t="n">
        <v>14318452</v>
      </c>
      <c r="O519">
        <f>HYPERLINK("https://shopee.co.id/api/v4/item/get?itemid=127003114&amp;shopid=14318452", "Dove Body Wash Refill Deeply Nourishing Kulit Lembut 400ml")</f>
        <v/>
      </c>
      <c r="P519" t="n">
        <v>407</v>
      </c>
      <c r="Q519" t="n">
        <v>4527</v>
      </c>
      <c r="R519" t="n">
        <v>4.934802655846551</v>
      </c>
      <c r="S519" t="n">
        <v>51</v>
      </c>
      <c r="T519" t="n">
        <v>34</v>
      </c>
      <c r="U519" t="n">
        <v>114</v>
      </c>
      <c r="V519" t="n">
        <v>899</v>
      </c>
      <c r="W519" t="n">
        <v>20595</v>
      </c>
    </row>
    <row r="520">
      <c r="A520" t="inlineStr">
        <is>
          <t>Sahaja Sabun Cuci Piring Jeruk Nipis Pouch Dishwashing Liquid 720Ml -Sabun Jeruk Nipis</t>
        </is>
      </c>
      <c r="B520" t="inlineStr">
        <is>
          <t>None</t>
        </is>
      </c>
      <c r="C520" t="inlineStr">
        <is>
          <t>13%</t>
        </is>
      </c>
      <c r="D520" t="n">
        <v>12200</v>
      </c>
      <c r="E520" t="n">
        <v>14100</v>
      </c>
      <c r="F520" t="n">
        <v>12200</v>
      </c>
      <c r="G520" t="n">
        <v>14100</v>
      </c>
      <c r="H520" t="n">
        <v>12200</v>
      </c>
      <c r="I520" t="n">
        <v>14100</v>
      </c>
      <c r="J520" t="b">
        <v>0</v>
      </c>
      <c r="K520" t="inlineStr">
        <is>
          <t>Unilever Indonesia Official Shop</t>
        </is>
      </c>
      <c r="L520" t="inlineStr">
        <is>
          <t>KAB. BANYUASIN</t>
        </is>
      </c>
      <c r="M520" t="n">
        <v>4879139440</v>
      </c>
      <c r="N520" t="n">
        <v>14318452</v>
      </c>
      <c r="O520">
        <f>HYPERLINK("https://shopee.co.id/api/v4/item/get?itemid=4879139440&amp;shopid=14318452", "Sahaja Sabun Cuci Piring Jeruk Nipis Pouch Dishwashing Liquid 720Ml -Sabun Jeruk Nipis")</f>
        <v/>
      </c>
      <c r="P520" t="n">
        <v>1169</v>
      </c>
      <c r="Q520" t="n">
        <v>121</v>
      </c>
      <c r="R520" t="n">
        <v>4.943112656812819</v>
      </c>
      <c r="S520" t="n">
        <v>15</v>
      </c>
      <c r="T520" t="n">
        <v>11</v>
      </c>
      <c r="U520" t="n">
        <v>21</v>
      </c>
      <c r="V520" t="n">
        <v>327</v>
      </c>
      <c r="W520" t="n">
        <v>7681</v>
      </c>
    </row>
    <row r="521">
      <c r="A521" t="inlineStr">
        <is>
          <t>Lifebuoy Body Wash Refill Lemon Fresh Antibakteri 400ml Twin Pack</t>
        </is>
      </c>
      <c r="B521" t="inlineStr">
        <is>
          <t>0</t>
        </is>
      </c>
      <c r="C521" t="inlineStr">
        <is>
          <t>27%</t>
        </is>
      </c>
      <c r="D521" t="n">
        <v>45000</v>
      </c>
      <c r="E521" t="n">
        <v>61800</v>
      </c>
      <c r="F521" t="n">
        <v>45000</v>
      </c>
      <c r="G521" t="n">
        <v>61800</v>
      </c>
      <c r="H521" t="n">
        <v>45000</v>
      </c>
      <c r="I521" t="n">
        <v>61800</v>
      </c>
      <c r="J521" t="b">
        <v>1</v>
      </c>
      <c r="K521" t="inlineStr">
        <is>
          <t>Unilever Indonesia Official Shop</t>
        </is>
      </c>
      <c r="L521" t="inlineStr">
        <is>
          <t>KOTA BEKASI</t>
        </is>
      </c>
      <c r="M521" t="n">
        <v>5831331703</v>
      </c>
      <c r="N521" t="n">
        <v>14318452</v>
      </c>
      <c r="O521">
        <f>HYPERLINK("https://shopee.co.id/api/v4/item/get?itemid=5831331703&amp;shopid=14318452", "Lifebuoy Body Wash Refill Lemon Fresh Antibakteri 400ml Twin Pack")</f>
        <v/>
      </c>
      <c r="P521" t="n">
        <v>65</v>
      </c>
      <c r="Q521" t="n">
        <v>10</v>
      </c>
      <c r="R521" t="n">
        <v>4.897529069767442</v>
      </c>
      <c r="S521" t="n">
        <v>17</v>
      </c>
      <c r="T521" t="n">
        <v>8</v>
      </c>
      <c r="U521" t="n">
        <v>29</v>
      </c>
      <c r="V521" t="n">
        <v>139</v>
      </c>
      <c r="W521" t="n">
        <v>2561</v>
      </c>
    </row>
    <row r="522">
      <c r="A522" t="inlineStr">
        <is>
          <t>Citra Cocoa Glow Body Lotion 180ml</t>
        </is>
      </c>
      <c r="B522" t="inlineStr"/>
      <c r="C522" t="inlineStr">
        <is>
          <t>2%</t>
        </is>
      </c>
      <c r="D522" t="n">
        <v>32900</v>
      </c>
      <c r="E522" t="n">
        <v>33600</v>
      </c>
      <c r="F522" t="n">
        <v>32900</v>
      </c>
      <c r="G522" t="n">
        <v>33600</v>
      </c>
      <c r="H522" t="n">
        <v>32900</v>
      </c>
      <c r="I522" t="n">
        <v>33600</v>
      </c>
      <c r="J522" t="b">
        <v>1</v>
      </c>
      <c r="K522" t="inlineStr">
        <is>
          <t>Unilever Indonesia Official Shop</t>
        </is>
      </c>
      <c r="L522" t="inlineStr">
        <is>
          <t>KAB. BANYUASIN</t>
        </is>
      </c>
      <c r="M522" t="n">
        <v>3277660556</v>
      </c>
      <c r="N522" t="n">
        <v>14318452</v>
      </c>
      <c r="O522">
        <f>HYPERLINK("https://shopee.co.id/api/v4/item/get?itemid=3277660556&amp;shopid=14318452", "Citra Cocoa Glow Body Lotion 180ml")</f>
        <v/>
      </c>
      <c r="P522" t="n">
        <v>76</v>
      </c>
      <c r="Q522" t="n">
        <v>55</v>
      </c>
      <c r="R522" t="n">
        <v>4.931897150799166</v>
      </c>
      <c r="S522" t="n">
        <v>5</v>
      </c>
      <c r="T522" t="n">
        <v>3</v>
      </c>
      <c r="U522" t="n">
        <v>13</v>
      </c>
      <c r="V522" t="n">
        <v>141</v>
      </c>
      <c r="W522" t="n">
        <v>2716</v>
      </c>
    </row>
    <row r="523">
      <c r="A523" t="inlineStr">
        <is>
          <t>Vaseline Men Face Wash Healthy Bright Pembersih Wajah Pria Sabun Cuci Muka 100G</t>
        </is>
      </c>
      <c r="B523" t="inlineStr">
        <is>
          <t>0</t>
        </is>
      </c>
      <c r="C523" t="inlineStr">
        <is>
          <t>3%</t>
        </is>
      </c>
      <c r="D523" t="n">
        <v>38400</v>
      </c>
      <c r="E523" t="n">
        <v>39400</v>
      </c>
      <c r="F523" t="n">
        <v>38400</v>
      </c>
      <c r="G523" t="n">
        <v>39400</v>
      </c>
      <c r="H523" t="n">
        <v>38400</v>
      </c>
      <c r="I523" t="n">
        <v>39400</v>
      </c>
      <c r="J523" t="b">
        <v>1</v>
      </c>
      <c r="K523" t="inlineStr">
        <is>
          <t>Unilever Indonesia Official Shop</t>
        </is>
      </c>
      <c r="L523" t="inlineStr">
        <is>
          <t>KOTA BEKASI</t>
        </is>
      </c>
      <c r="M523" t="n">
        <v>127041255</v>
      </c>
      <c r="N523" t="n">
        <v>14318452</v>
      </c>
      <c r="O523">
        <f>HYPERLINK("https://shopee.co.id/api/v4/item/get?itemid=127041255&amp;shopid=14318452", "Vaseline Men Face Wash Healthy Bright Pembersih Wajah Pria Sabun Cuci Muka 100G")</f>
        <v/>
      </c>
      <c r="P523" t="n">
        <v>895</v>
      </c>
      <c r="Q523" t="n">
        <v>1458</v>
      </c>
      <c r="R523" t="n">
        <v>4.897529069767442</v>
      </c>
      <c r="S523" t="n">
        <v>45</v>
      </c>
      <c r="T523" t="n">
        <v>37</v>
      </c>
      <c r="U523" t="n">
        <v>142</v>
      </c>
      <c r="V523" t="n">
        <v>1126</v>
      </c>
      <c r="W523" t="n">
        <v>15166</v>
      </c>
    </row>
    <row r="524">
      <c r="A524" t="inlineStr">
        <is>
          <t>Pepsodent Nanosoft Sikat Gigi Charcoal isi 1</t>
        </is>
      </c>
      <c r="B524" t="inlineStr">
        <is>
          <t>None</t>
        </is>
      </c>
      <c r="C524" t="inlineStr">
        <is>
          <t>19%</t>
        </is>
      </c>
      <c r="D524" t="n">
        <v>14600</v>
      </c>
      <c r="E524" t="n">
        <v>18000</v>
      </c>
      <c r="F524" t="n">
        <v>14600</v>
      </c>
      <c r="G524" t="n">
        <v>18000</v>
      </c>
      <c r="H524" t="n">
        <v>14600</v>
      </c>
      <c r="I524" t="n">
        <v>18000</v>
      </c>
      <c r="J524" t="b">
        <v>1</v>
      </c>
      <c r="K524" t="inlineStr">
        <is>
          <t>Unilever Indonesia Official Shop</t>
        </is>
      </c>
      <c r="L524" t="inlineStr">
        <is>
          <t>KOTA BEKASI</t>
        </is>
      </c>
      <c r="M524" t="n">
        <v>7331996604</v>
      </c>
      <c r="N524" t="n">
        <v>14318452</v>
      </c>
      <c r="O524">
        <f>HYPERLINK("https://shopee.co.id/api/v4/item/get?itemid=7331996604&amp;shopid=14318452", "Pepsodent Nanosoft Sikat Gigi Charcoal isi 1")</f>
        <v/>
      </c>
      <c r="P524" t="n">
        <v>299</v>
      </c>
      <c r="Q524" t="n">
        <v>304</v>
      </c>
      <c r="R524" t="n">
        <v>4.914394419784401</v>
      </c>
      <c r="S524" t="n">
        <v>32</v>
      </c>
      <c r="T524" t="n">
        <v>19</v>
      </c>
      <c r="U524" t="n">
        <v>104</v>
      </c>
      <c r="V524" t="n">
        <v>555</v>
      </c>
      <c r="W524" t="n">
        <v>10330</v>
      </c>
    </row>
    <row r="525">
      <c r="A525" t="inlineStr">
        <is>
          <t>Lifebuoy Anti Dandruff Shampo Rambut Anti Ketombe Active Zinc 340ml Lawan Bakteri</t>
        </is>
      </c>
      <c r="B525" t="inlineStr">
        <is>
          <t>0</t>
        </is>
      </c>
      <c r="C525" t="inlineStr">
        <is>
          <t>3%</t>
        </is>
      </c>
      <c r="D525" t="n">
        <v>44600</v>
      </c>
      <c r="E525" t="n">
        <v>45800</v>
      </c>
      <c r="F525" t="n">
        <v>44600</v>
      </c>
      <c r="G525" t="n">
        <v>45800</v>
      </c>
      <c r="H525" t="n">
        <v>44600</v>
      </c>
      <c r="I525" t="n">
        <v>45800</v>
      </c>
      <c r="J525" t="b">
        <v>1</v>
      </c>
      <c r="K525" t="inlineStr">
        <is>
          <t>Unilever Indonesia Official Shop</t>
        </is>
      </c>
      <c r="L525" t="inlineStr">
        <is>
          <t>KOTA BEKASI</t>
        </is>
      </c>
      <c r="M525" t="n">
        <v>224777267</v>
      </c>
      <c r="N525" t="n">
        <v>14318452</v>
      </c>
      <c r="O525">
        <f>HYPERLINK("https://shopee.co.id/api/v4/item/get?itemid=224777267&amp;shopid=14318452", "Lifebuoy Anti Dandruff Shampo Rambut Anti Ketombe Active Zinc 340ml Lawan Bakteri")</f>
        <v/>
      </c>
      <c r="P525" t="n">
        <v>203</v>
      </c>
      <c r="Q525" t="n">
        <v>799</v>
      </c>
      <c r="R525" t="n">
        <v>4.939638281838734</v>
      </c>
      <c r="S525" t="n">
        <v>26</v>
      </c>
      <c r="T525" t="n">
        <v>10</v>
      </c>
      <c r="U525" t="n">
        <v>56</v>
      </c>
      <c r="V525" t="n">
        <v>562</v>
      </c>
      <c r="W525" t="n">
        <v>12618</v>
      </c>
    </row>
    <row r="526">
      <c r="A526" t="inlineStr">
        <is>
          <t>Molto Pewangi Pakaian Flower Shower 1800 Ml - Pelembut Dan Pewangi Pakaian, Pelembut Baju</t>
        </is>
      </c>
      <c r="B526" t="inlineStr"/>
      <c r="C526" t="inlineStr">
        <is>
          <t>11%</t>
        </is>
      </c>
      <c r="D526" t="n">
        <v>28900</v>
      </c>
      <c r="E526" t="n">
        <v>32600</v>
      </c>
      <c r="F526" t="n">
        <v>28900</v>
      </c>
      <c r="G526" t="n">
        <v>32600</v>
      </c>
      <c r="H526" t="n">
        <v>28900</v>
      </c>
      <c r="I526" t="n">
        <v>32600</v>
      </c>
      <c r="J526" t="b">
        <v>1</v>
      </c>
      <c r="K526" t="inlineStr">
        <is>
          <t>Unilever Indonesia Official Shop</t>
        </is>
      </c>
      <c r="L526" t="inlineStr">
        <is>
          <t>KOTA BEKASI</t>
        </is>
      </c>
      <c r="M526" t="n">
        <v>8814718016</v>
      </c>
      <c r="N526" t="n">
        <v>14318452</v>
      </c>
      <c r="O526">
        <f>HYPERLINK("https://shopee.co.id/api/v4/item/get?itemid=8814718016&amp;shopid=14318452", "Molto Pewangi Pakaian Flower Shower 1800 Ml - Pelembut Dan Pewangi Pakaian, Pelembut Baju")</f>
        <v/>
      </c>
      <c r="P526" t="n">
        <v>709</v>
      </c>
      <c r="Q526" t="n">
        <v>761</v>
      </c>
      <c r="R526" t="n">
        <v>4.943259085580305</v>
      </c>
      <c r="S526" t="n">
        <v>18</v>
      </c>
      <c r="T526" t="n">
        <v>9</v>
      </c>
      <c r="U526" t="n">
        <v>40</v>
      </c>
      <c r="V526" t="n">
        <v>326</v>
      </c>
      <c r="W526" t="n">
        <v>8143</v>
      </c>
    </row>
    <row r="527">
      <c r="A527" t="inlineStr">
        <is>
          <t>Royco Bumbu Nasi Goreng Soto 17 gr</t>
        </is>
      </c>
      <c r="B527" t="inlineStr">
        <is>
          <t>0</t>
        </is>
      </c>
      <c r="C527" t="inlineStr">
        <is>
          <t>4%</t>
        </is>
      </c>
      <c r="D527" t="n">
        <v>2500</v>
      </c>
      <c r="E527" t="n">
        <v>2600</v>
      </c>
      <c r="F527" t="n">
        <v>2500</v>
      </c>
      <c r="G527" t="n">
        <v>2600</v>
      </c>
      <c r="H527" t="n">
        <v>2500</v>
      </c>
      <c r="I527" t="n">
        <v>2600</v>
      </c>
      <c r="J527" t="b">
        <v>1</v>
      </c>
      <c r="K527" t="inlineStr">
        <is>
          <t>Unilever Indonesia Official Shop</t>
        </is>
      </c>
      <c r="L527" t="inlineStr">
        <is>
          <t>KOTA MAKASSAR</t>
        </is>
      </c>
      <c r="M527" t="n">
        <v>2412618019</v>
      </c>
      <c r="N527" t="n">
        <v>14318452</v>
      </c>
      <c r="O527">
        <f>HYPERLINK("https://shopee.co.id/api/v4/item/get?itemid=2412618019&amp;shopid=14318452", "Royco Bumbu Nasi Goreng Soto 17 gr")</f>
        <v/>
      </c>
      <c r="P527" t="n">
        <v>62</v>
      </c>
      <c r="Q527" t="n">
        <v>24</v>
      </c>
      <c r="R527" t="n">
        <v>4.927796201386795</v>
      </c>
      <c r="S527" t="n">
        <v>17</v>
      </c>
      <c r="T527" t="n">
        <v>6</v>
      </c>
      <c r="U527" t="n">
        <v>31</v>
      </c>
      <c r="V527" t="n">
        <v>331</v>
      </c>
      <c r="W527" t="n">
        <v>6251</v>
      </c>
    </row>
    <row r="528">
      <c r="A528" t="inlineStr">
        <is>
          <t>Buavita Mango 250ml Multi Pack</t>
        </is>
      </c>
      <c r="B528" t="inlineStr">
        <is>
          <t>0</t>
        </is>
      </c>
      <c r="C528" t="inlineStr">
        <is>
          <t>25%</t>
        </is>
      </c>
      <c r="D528" t="n">
        <v>16200</v>
      </c>
      <c r="E528" t="n">
        <v>21700</v>
      </c>
      <c r="F528" t="n">
        <v>16200</v>
      </c>
      <c r="G528" t="n">
        <v>21700</v>
      </c>
      <c r="H528" t="n">
        <v>16200</v>
      </c>
      <c r="I528" t="n">
        <v>21700</v>
      </c>
      <c r="J528" t="b">
        <v>1</v>
      </c>
      <c r="K528" t="inlineStr">
        <is>
          <t>Unilever Indonesia Official Shop</t>
        </is>
      </c>
      <c r="L528" t="inlineStr">
        <is>
          <t>KOTA BEKASI</t>
        </is>
      </c>
      <c r="M528" t="n">
        <v>6231693356</v>
      </c>
      <c r="N528" t="n">
        <v>14318452</v>
      </c>
      <c r="O528">
        <f>HYPERLINK("https://shopee.co.id/api/v4/item/get?itemid=6231693356&amp;shopid=14318452", "Buavita Mango 250ml Multi Pack")</f>
        <v/>
      </c>
      <c r="P528" t="n">
        <v>325</v>
      </c>
      <c r="Q528" t="n">
        <v>442</v>
      </c>
      <c r="R528" t="n">
        <v>4.905411764705883</v>
      </c>
      <c r="S528" t="n">
        <v>9</v>
      </c>
      <c r="T528" t="n">
        <v>4</v>
      </c>
      <c r="U528" t="n">
        <v>19</v>
      </c>
      <c r="V528" t="n">
        <v>115</v>
      </c>
      <c r="W528" t="n">
        <v>1985</v>
      </c>
    </row>
    <row r="529">
      <c r="A529" t="inlineStr">
        <is>
          <t>Pepsodent Nanosoft Sikat Gigi Sensitive isi 1</t>
        </is>
      </c>
      <c r="B529" t="inlineStr">
        <is>
          <t>Pepsodent</t>
        </is>
      </c>
      <c r="C529" t="inlineStr">
        <is>
          <t>19%</t>
        </is>
      </c>
      <c r="D529" t="n">
        <v>12600</v>
      </c>
      <c r="E529" t="n">
        <v>15600</v>
      </c>
      <c r="F529" t="n">
        <v>12600</v>
      </c>
      <c r="G529" t="n">
        <v>15600</v>
      </c>
      <c r="H529" t="n">
        <v>12600</v>
      </c>
      <c r="I529" t="n">
        <v>15600</v>
      </c>
      <c r="J529" t="b">
        <v>1</v>
      </c>
      <c r="K529" t="inlineStr">
        <is>
          <t>Unilever Indonesia Official Shop</t>
        </is>
      </c>
      <c r="L529" t="inlineStr">
        <is>
          <t>KOTA SEMARANG</t>
        </is>
      </c>
      <c r="M529" t="n">
        <v>7331996649</v>
      </c>
      <c r="N529" t="n">
        <v>14318452</v>
      </c>
      <c r="O529">
        <f>HYPERLINK("https://shopee.co.id/api/v4/item/get?itemid=7331996649&amp;shopid=14318452", "Pepsodent Nanosoft Sikat Gigi Sensitive isi 1")</f>
        <v/>
      </c>
      <c r="P529" t="n">
        <v>112</v>
      </c>
      <c r="Q529" t="n">
        <v>429</v>
      </c>
      <c r="R529" t="n">
        <v>4.91259292633476</v>
      </c>
      <c r="S529" t="n">
        <v>28</v>
      </c>
      <c r="T529" t="n">
        <v>20</v>
      </c>
      <c r="U529" t="n">
        <v>76</v>
      </c>
      <c r="V529" t="n">
        <v>456</v>
      </c>
      <c r="W529" t="n">
        <v>8303</v>
      </c>
    </row>
    <row r="530">
      <c r="A530" t="inlineStr">
        <is>
          <t>Citra Hand and Body Lotion Natural Glow UV 230ml Twin Pack</t>
        </is>
      </c>
      <c r="B530" t="inlineStr">
        <is>
          <t>Citra</t>
        </is>
      </c>
      <c r="C530" t="inlineStr">
        <is>
          <t>1%</t>
        </is>
      </c>
      <c r="D530" t="n">
        <v>49800</v>
      </c>
      <c r="E530" t="n">
        <v>50300</v>
      </c>
      <c r="F530" t="n">
        <v>49800</v>
      </c>
      <c r="G530" t="n">
        <v>50300</v>
      </c>
      <c r="H530" t="n">
        <v>49800</v>
      </c>
      <c r="I530" t="n">
        <v>50300</v>
      </c>
      <c r="J530" t="b">
        <v>1</v>
      </c>
      <c r="K530" t="inlineStr">
        <is>
          <t>Unilever Indonesia Official Shop</t>
        </is>
      </c>
      <c r="L530" t="inlineStr">
        <is>
          <t>KOTA BEKASI</t>
        </is>
      </c>
      <c r="M530" t="n">
        <v>7430962856</v>
      </c>
      <c r="N530" t="n">
        <v>14318452</v>
      </c>
      <c r="O530">
        <f>HYPERLINK("https://shopee.co.id/api/v4/item/get?itemid=7430962856&amp;shopid=14318452", "Citra Hand and Body Lotion Natural Glow UV 230ml Twin Pack")</f>
        <v/>
      </c>
      <c r="P530" t="n">
        <v>65</v>
      </c>
      <c r="Q530" t="n">
        <v>938</v>
      </c>
      <c r="R530" t="n">
        <v>4.927479248580166</v>
      </c>
      <c r="S530" t="n">
        <v>5</v>
      </c>
      <c r="T530" t="n">
        <v>3</v>
      </c>
      <c r="U530" t="n">
        <v>10</v>
      </c>
      <c r="V530" t="n">
        <v>117</v>
      </c>
      <c r="W530" t="n">
        <v>2154</v>
      </c>
    </row>
    <row r="531">
      <c r="A531" t="inlineStr">
        <is>
          <t>Lifebuoy Sabun Mandi Cair Shiso &amp; Sandalwood 250 Ml</t>
        </is>
      </c>
      <c r="B531" t="inlineStr"/>
      <c r="C531" t="inlineStr">
        <is>
          <t>35%</t>
        </is>
      </c>
      <c r="D531" t="n">
        <v>18900</v>
      </c>
      <c r="E531" t="n">
        <v>29000</v>
      </c>
      <c r="F531" t="n">
        <v>18900</v>
      </c>
      <c r="G531" t="n">
        <v>29000</v>
      </c>
      <c r="H531" t="n">
        <v>18900</v>
      </c>
      <c r="I531" t="n">
        <v>29000</v>
      </c>
      <c r="J531" t="b">
        <v>1</v>
      </c>
      <c r="K531" t="inlineStr">
        <is>
          <t>Unilever Indonesia Official Shop</t>
        </is>
      </c>
      <c r="L531" t="inlineStr">
        <is>
          <t>KOTA BEKASI</t>
        </is>
      </c>
      <c r="M531" t="n">
        <v>9051349951</v>
      </c>
      <c r="N531" t="n">
        <v>14318452</v>
      </c>
      <c r="O531">
        <f>HYPERLINK("https://shopee.co.id/api/v4/item/get?itemid=9051349951&amp;shopid=14318452", "Lifebuoy Sabun Mandi Cair Shiso &amp; Sandalwood 250 Ml")</f>
        <v/>
      </c>
      <c r="P531" t="n">
        <v>46</v>
      </c>
      <c r="Q531" t="n">
        <v>284</v>
      </c>
      <c r="R531" t="n">
        <v>4.935963407661521</v>
      </c>
      <c r="S531" t="n">
        <v>3</v>
      </c>
      <c r="T531" t="n">
        <v>2</v>
      </c>
      <c r="U531" t="n">
        <v>11</v>
      </c>
      <c r="V531" t="n">
        <v>75</v>
      </c>
      <c r="W531" t="n">
        <v>1659</v>
      </c>
    </row>
    <row r="532">
      <c r="A532" t="inlineStr">
        <is>
          <t>Superpell Pel Lantai Pembersih Lantai Fresh Apple Lantai Higienis&amp;Wangi Tahan Lama 770Ml</t>
        </is>
      </c>
      <c r="B532" t="inlineStr">
        <is>
          <t>None</t>
        </is>
      </c>
      <c r="C532" t="inlineStr">
        <is>
          <t>17%</t>
        </is>
      </c>
      <c r="D532" t="n">
        <v>15200</v>
      </c>
      <c r="E532" t="n">
        <v>18300</v>
      </c>
      <c r="F532" t="n">
        <v>15200</v>
      </c>
      <c r="G532" t="n">
        <v>18300</v>
      </c>
      <c r="H532" t="n">
        <v>15200</v>
      </c>
      <c r="I532" t="n">
        <v>18300</v>
      </c>
      <c r="J532" t="b">
        <v>1</v>
      </c>
      <c r="K532" t="inlineStr">
        <is>
          <t>Unilever Indonesia Official Shop</t>
        </is>
      </c>
      <c r="L532" t="inlineStr">
        <is>
          <t>KOTA BEKASI</t>
        </is>
      </c>
      <c r="M532" t="n">
        <v>1454902961</v>
      </c>
      <c r="N532" t="n">
        <v>14318452</v>
      </c>
      <c r="O532">
        <f>HYPERLINK("https://shopee.co.id/api/v4/item/get?itemid=1454902961&amp;shopid=14318452", "Superpell Pel Lantai Pembersih Lantai Fresh Apple Lantai Higienis&amp;Wangi Tahan Lama 770Ml")</f>
        <v/>
      </c>
      <c r="P532" t="n">
        <v>1543</v>
      </c>
      <c r="Q532" t="n">
        <v>1738</v>
      </c>
      <c r="R532" t="n">
        <v>4.937185929648241</v>
      </c>
      <c r="S532" t="n">
        <v>56</v>
      </c>
      <c r="T532" t="n">
        <v>31</v>
      </c>
      <c r="U532" t="n">
        <v>111</v>
      </c>
      <c r="V532" t="n">
        <v>934</v>
      </c>
      <c r="W532" t="n">
        <v>21973</v>
      </c>
    </row>
    <row r="533">
      <c r="A533" t="inlineStr">
        <is>
          <t>Pepsodent Sensitive Mineral Expert Pasta Gigi Whitening Pasta Gigi Sensitive 100G</t>
        </is>
      </c>
      <c r="B533" t="inlineStr">
        <is>
          <t>0</t>
        </is>
      </c>
      <c r="C533" t="inlineStr">
        <is>
          <t>27%</t>
        </is>
      </c>
      <c r="D533" t="n">
        <v>27700</v>
      </c>
      <c r="E533" t="n">
        <v>37700</v>
      </c>
      <c r="F533" t="n">
        <v>27700</v>
      </c>
      <c r="G533" t="n">
        <v>37700</v>
      </c>
      <c r="H533" t="n">
        <v>27700</v>
      </c>
      <c r="I533" t="n">
        <v>37700</v>
      </c>
      <c r="J533" t="b">
        <v>1</v>
      </c>
      <c r="K533" t="inlineStr">
        <is>
          <t>Unilever Indonesia Official Shop</t>
        </is>
      </c>
      <c r="L533" t="inlineStr">
        <is>
          <t>KOTA BEKASI</t>
        </is>
      </c>
      <c r="M533" t="n">
        <v>127358091</v>
      </c>
      <c r="N533" t="n">
        <v>14318452</v>
      </c>
      <c r="O533">
        <f>HYPERLINK("https://shopee.co.id/api/v4/item/get?itemid=127358091&amp;shopid=14318452", "Pepsodent Sensitive Mineral Expert Pasta Gigi Whitening Pasta Gigi Sensitive 100G")</f>
        <v/>
      </c>
      <c r="P533" t="n">
        <v>1332</v>
      </c>
      <c r="Q533" t="n">
        <v>1231</v>
      </c>
      <c r="R533" t="n">
        <v>4.923233919283692</v>
      </c>
      <c r="S533" t="n">
        <v>43</v>
      </c>
      <c r="T533" t="n">
        <v>22</v>
      </c>
      <c r="U533" t="n">
        <v>108</v>
      </c>
      <c r="V533" t="n">
        <v>728</v>
      </c>
      <c r="W533" t="n">
        <v>14293</v>
      </c>
    </row>
    <row r="534">
      <c r="A534" t="inlineStr">
        <is>
          <t>Pond'S Men Energy Charge Facial Foam 100G</t>
        </is>
      </c>
      <c r="B534" t="inlineStr">
        <is>
          <t>Pond's</t>
        </is>
      </c>
      <c r="C534" t="inlineStr">
        <is>
          <t>14%</t>
        </is>
      </c>
      <c r="D534" t="n">
        <v>43000</v>
      </c>
      <c r="E534" t="n">
        <v>50000</v>
      </c>
      <c r="F534" t="n">
        <v>43000</v>
      </c>
      <c r="G534" t="n">
        <v>50000</v>
      </c>
      <c r="H534" t="n">
        <v>43000</v>
      </c>
      <c r="I534" t="n">
        <v>50000</v>
      </c>
      <c r="J534" t="b">
        <v>1</v>
      </c>
      <c r="K534" t="inlineStr">
        <is>
          <t>Unilever Indonesia Official Shop</t>
        </is>
      </c>
      <c r="L534" t="inlineStr">
        <is>
          <t>KOTA BEKASI</t>
        </is>
      </c>
      <c r="M534" t="n">
        <v>127358157</v>
      </c>
      <c r="N534" t="n">
        <v>14318452</v>
      </c>
      <c r="O534">
        <f>HYPERLINK("https://shopee.co.id/api/v4/item/get?itemid=127358157&amp;shopid=14318452", "Pond'S Men Energy Charge Facial Foam 100G")</f>
        <v/>
      </c>
      <c r="P534" t="n">
        <v>202</v>
      </c>
      <c r="Q534" t="n">
        <v>544</v>
      </c>
      <c r="R534" t="n">
        <v>4.906617192331478</v>
      </c>
      <c r="S534" t="n">
        <v>21</v>
      </c>
      <c r="T534" t="n">
        <v>15</v>
      </c>
      <c r="U534" t="n">
        <v>57</v>
      </c>
      <c r="V534" t="n">
        <v>381</v>
      </c>
      <c r="W534" t="n">
        <v>6000</v>
      </c>
    </row>
    <row r="535">
      <c r="A535" t="inlineStr">
        <is>
          <t>Vaseline Healthy Bright Vitamin Gel Serum Fresh Glow Lotion Serum Pencerah 180Ml</t>
        </is>
      </c>
      <c r="B535" t="inlineStr">
        <is>
          <t>None</t>
        </is>
      </c>
      <c r="C535" t="inlineStr">
        <is>
          <t>14%</t>
        </is>
      </c>
      <c r="D535" t="n">
        <v>30800</v>
      </c>
      <c r="E535" t="n">
        <v>35700</v>
      </c>
      <c r="F535" t="n">
        <v>30800</v>
      </c>
      <c r="G535" t="n">
        <v>35700</v>
      </c>
      <c r="H535" t="n">
        <v>30800</v>
      </c>
      <c r="I535" t="n">
        <v>35700</v>
      </c>
      <c r="J535" t="b">
        <v>1</v>
      </c>
      <c r="K535" t="inlineStr">
        <is>
          <t>Unilever Indonesia Official Shop</t>
        </is>
      </c>
      <c r="L535" t="inlineStr">
        <is>
          <t>KOTA BEKASI</t>
        </is>
      </c>
      <c r="M535" t="n">
        <v>3320969674</v>
      </c>
      <c r="N535" t="n">
        <v>14318452</v>
      </c>
      <c r="O535">
        <f>HYPERLINK("https://shopee.co.id/api/v4/item/get?itemid=3320969674&amp;shopid=14318452", "Vaseline Healthy Bright Vitamin Gel Serum Fresh Glow Lotion Serum Pencerah 180Ml")</f>
        <v/>
      </c>
      <c r="P535" t="n">
        <v>164</v>
      </c>
      <c r="Q535" t="n">
        <v>526</v>
      </c>
      <c r="R535" t="n">
        <v>4.922707592060703</v>
      </c>
      <c r="S535" t="n">
        <v>41</v>
      </c>
      <c r="T535" t="n">
        <v>21</v>
      </c>
      <c r="U535" t="n">
        <v>132</v>
      </c>
      <c r="V535" t="n">
        <v>1331</v>
      </c>
      <c r="W535" t="n">
        <v>21807</v>
      </c>
    </row>
    <row r="536">
      <c r="A536" t="inlineStr">
        <is>
          <t>Vaseline Repairing Petroleum Jelly Original Kulit Kering 100% Pure 100Mlx2</t>
        </is>
      </c>
      <c r="B536" t="inlineStr">
        <is>
          <t>Vaseline</t>
        </is>
      </c>
      <c r="C536" t="inlineStr">
        <is>
          <t>13%</t>
        </is>
      </c>
      <c r="D536" t="n">
        <v>88600</v>
      </c>
      <c r="E536" t="n">
        <v>102200</v>
      </c>
      <c r="F536" t="n">
        <v>88600</v>
      </c>
      <c r="G536" t="n">
        <v>102200</v>
      </c>
      <c r="H536" t="n">
        <v>88600</v>
      </c>
      <c r="I536" t="n">
        <v>102200</v>
      </c>
      <c r="J536" t="b">
        <v>1</v>
      </c>
      <c r="K536" t="inlineStr">
        <is>
          <t>Unilever Indonesia Official Shop</t>
        </is>
      </c>
      <c r="L536" t="inlineStr">
        <is>
          <t>KOTA BEKASI</t>
        </is>
      </c>
      <c r="M536" t="n">
        <v>7831762222</v>
      </c>
      <c r="N536" t="n">
        <v>14318452</v>
      </c>
      <c r="O536">
        <f>HYPERLINK("https://shopee.co.id/api/v4/item/get?itemid=7831762222&amp;shopid=14318452", "Vaseline Repairing Petroleum Jelly Original Kulit Kering 100% Pure 100Mlx2")</f>
        <v/>
      </c>
      <c r="P536" t="n">
        <v>189</v>
      </c>
      <c r="Q536" t="n">
        <v>1064</v>
      </c>
      <c r="R536" t="n">
        <v>4.950178571428571</v>
      </c>
      <c r="S536" t="n">
        <v>9</v>
      </c>
      <c r="T536" t="n">
        <v>8</v>
      </c>
      <c r="U536" t="n">
        <v>16</v>
      </c>
      <c r="V536" t="n">
        <v>199</v>
      </c>
      <c r="W536" t="n">
        <v>5372</v>
      </c>
    </row>
    <row r="537">
      <c r="A537" t="inlineStr">
        <is>
          <t>Lifebuoy Sabun Mandi Cair Antiseptik Mild Care 250Ml</t>
        </is>
      </c>
      <c r="B537" t="inlineStr">
        <is>
          <t>0</t>
        </is>
      </c>
      <c r="C537" t="inlineStr">
        <is>
          <t>11%</t>
        </is>
      </c>
      <c r="D537" t="n">
        <v>17800</v>
      </c>
      <c r="E537" t="n">
        <v>19900</v>
      </c>
      <c r="F537" t="n">
        <v>17800</v>
      </c>
      <c r="G537" t="n">
        <v>19900</v>
      </c>
      <c r="H537" t="n">
        <v>17800</v>
      </c>
      <c r="I537" t="n">
        <v>19900</v>
      </c>
      <c r="J537" t="b">
        <v>1</v>
      </c>
      <c r="K537" t="inlineStr">
        <is>
          <t>Unilever Indonesia Official Shop</t>
        </is>
      </c>
      <c r="L537" t="inlineStr">
        <is>
          <t>KOTA BEKASI</t>
        </is>
      </c>
      <c r="M537" t="n">
        <v>224777229</v>
      </c>
      <c r="N537" t="n">
        <v>14318452</v>
      </c>
      <c r="O537">
        <f>HYPERLINK("https://shopee.co.id/api/v4/item/get?itemid=224777229&amp;shopid=14318452", "Lifebuoy Sabun Mandi Cair Antiseptik Mild Care 250Ml")</f>
        <v/>
      </c>
      <c r="P537" t="n">
        <v>92</v>
      </c>
      <c r="Q537" t="n">
        <v>329</v>
      </c>
      <c r="R537" t="n">
        <v>4.900139804274017</v>
      </c>
      <c r="S537" t="n">
        <v>18</v>
      </c>
      <c r="T537" t="n">
        <v>7</v>
      </c>
      <c r="U537" t="n">
        <v>44</v>
      </c>
      <c r="V537" t="n">
        <v>325</v>
      </c>
      <c r="W537" t="n">
        <v>4615</v>
      </c>
    </row>
    <row r="538">
      <c r="A538" t="inlineStr">
        <is>
          <t>Tresemme Scalp Care Shampoo Shampo Anti Ketombe Dan Rontok With Tea Tree Oil 340Ml</t>
        </is>
      </c>
      <c r="B538" t="inlineStr">
        <is>
          <t>Tresemme</t>
        </is>
      </c>
      <c r="C538" t="inlineStr">
        <is>
          <t>15%</t>
        </is>
      </c>
      <c r="D538" t="n">
        <v>62500</v>
      </c>
      <c r="E538" t="n">
        <v>73200</v>
      </c>
      <c r="F538" t="n">
        <v>62500</v>
      </c>
      <c r="G538" t="n">
        <v>73200</v>
      </c>
      <c r="H538" t="n">
        <v>62500</v>
      </c>
      <c r="I538" t="n">
        <v>73200</v>
      </c>
      <c r="J538" t="b">
        <v>1</v>
      </c>
      <c r="K538" t="inlineStr">
        <is>
          <t>Unilever Indonesia Official Shop</t>
        </is>
      </c>
      <c r="L538" t="inlineStr">
        <is>
          <t>KOTA BEKASI</t>
        </is>
      </c>
      <c r="M538" t="n">
        <v>1515340722</v>
      </c>
      <c r="N538" t="n">
        <v>14318452</v>
      </c>
      <c r="O538">
        <f>HYPERLINK("https://shopee.co.id/api/v4/item/get?itemid=1515340722&amp;shopid=14318452", "Tresemme Scalp Care Shampoo Shampo Anti Ketombe Dan Rontok With Tea Tree Oil 340Ml")</f>
        <v/>
      </c>
      <c r="P538" t="n">
        <v>498</v>
      </c>
      <c r="Q538" t="n">
        <v>1364</v>
      </c>
      <c r="R538" t="n">
        <v>4.887890856707059</v>
      </c>
      <c r="S538" t="n">
        <v>114</v>
      </c>
      <c r="T538" t="n">
        <v>102</v>
      </c>
      <c r="U538" t="n">
        <v>332</v>
      </c>
      <c r="V538" t="n">
        <v>1257</v>
      </c>
      <c r="W538" t="n">
        <v>21809</v>
      </c>
    </row>
    <row r="539">
      <c r="A539" t="inlineStr">
        <is>
          <t>Ponds Facial Foam Acne Solution 100gr Twin Pack</t>
        </is>
      </c>
      <c r="B539" t="inlineStr">
        <is>
          <t>Pond's</t>
        </is>
      </c>
      <c r="C539" t="inlineStr">
        <is>
          <t>14%</t>
        </is>
      </c>
      <c r="D539" t="n">
        <v>63500</v>
      </c>
      <c r="E539" t="n">
        <v>74200</v>
      </c>
      <c r="F539" t="n">
        <v>63500</v>
      </c>
      <c r="G539" t="n">
        <v>74200</v>
      </c>
      <c r="H539" t="n">
        <v>63500</v>
      </c>
      <c r="I539" t="n">
        <v>74200</v>
      </c>
      <c r="J539" t="b">
        <v>1</v>
      </c>
      <c r="K539" t="inlineStr">
        <is>
          <t>Unilever Indonesia Official Shop</t>
        </is>
      </c>
      <c r="L539" t="inlineStr">
        <is>
          <t>KOTA BEKASI</t>
        </is>
      </c>
      <c r="M539" t="n">
        <v>7631358166</v>
      </c>
      <c r="N539" t="n">
        <v>14318452</v>
      </c>
      <c r="O539">
        <f>HYPERLINK("https://shopee.co.id/api/v4/item/get?itemid=7631358166&amp;shopid=14318452", "Ponds Facial Foam Acne Solution 100gr Twin Pack")</f>
        <v/>
      </c>
      <c r="P539" t="n">
        <v>214</v>
      </c>
      <c r="Q539" t="n">
        <v>445</v>
      </c>
      <c r="R539" t="n">
        <v>4.936645548516172</v>
      </c>
      <c r="S539" t="n">
        <v>10</v>
      </c>
      <c r="T539" t="n">
        <v>4</v>
      </c>
      <c r="U539" t="n">
        <v>11</v>
      </c>
      <c r="V539" t="n">
        <v>116</v>
      </c>
      <c r="W539" t="n">
        <v>2858</v>
      </c>
    </row>
    <row r="540">
      <c r="A540" t="inlineStr">
        <is>
          <t>Lux Botanicals Body Wash Refill Soft Rose Kulit Lembut 400ml Twin Pack</t>
        </is>
      </c>
      <c r="B540" t="inlineStr">
        <is>
          <t>LUX</t>
        </is>
      </c>
      <c r="C540" t="inlineStr">
        <is>
          <t>27%</t>
        </is>
      </c>
      <c r="D540" t="n">
        <v>45000</v>
      </c>
      <c r="E540" t="n">
        <v>61800</v>
      </c>
      <c r="F540" t="n">
        <v>45000</v>
      </c>
      <c r="G540" t="n">
        <v>61800</v>
      </c>
      <c r="H540" t="n">
        <v>45000</v>
      </c>
      <c r="I540" t="n">
        <v>61800</v>
      </c>
      <c r="J540" t="b">
        <v>1</v>
      </c>
      <c r="K540" t="inlineStr">
        <is>
          <t>Unilever Indonesia Official Shop</t>
        </is>
      </c>
      <c r="L540" t="inlineStr">
        <is>
          <t>KOTA BEKASI</t>
        </is>
      </c>
      <c r="M540" t="n">
        <v>5431702034</v>
      </c>
      <c r="N540" t="n">
        <v>14318452</v>
      </c>
      <c r="O540">
        <f>HYPERLINK("https://shopee.co.id/api/v4/item/get?itemid=5431702034&amp;shopid=14318452", "Lux Botanicals Body Wash Refill Soft Rose Kulit Lembut 400ml Twin Pack")</f>
        <v/>
      </c>
      <c r="P540" t="n">
        <v>42</v>
      </c>
      <c r="Q540" t="n">
        <v>8</v>
      </c>
      <c r="R540" t="n">
        <v>4.930762489044698</v>
      </c>
      <c r="S540" t="n">
        <v>11</v>
      </c>
      <c r="T540" t="n">
        <v>5</v>
      </c>
      <c r="U540" t="n">
        <v>22</v>
      </c>
      <c r="V540" t="n">
        <v>134</v>
      </c>
      <c r="W540" t="n">
        <v>3251</v>
      </c>
    </row>
    <row r="541">
      <c r="A541" t="inlineStr">
        <is>
          <t>Clear Shampo Anti Ketombe Anti Dandruff Shampoo Ice Cool Menthol 3X Sikat Ketombe 660Ml</t>
        </is>
      </c>
      <c r="B541" t="inlineStr">
        <is>
          <t>Clear</t>
        </is>
      </c>
      <c r="C541" t="inlineStr">
        <is>
          <t>16%</t>
        </is>
      </c>
      <c r="D541" t="n">
        <v>76100</v>
      </c>
      <c r="E541" t="n">
        <v>90200</v>
      </c>
      <c r="F541" t="n">
        <v>76100</v>
      </c>
      <c r="G541" t="n">
        <v>90200</v>
      </c>
      <c r="H541" t="n">
        <v>76100</v>
      </c>
      <c r="I541" t="n">
        <v>90200</v>
      </c>
      <c r="J541" t="b">
        <v>1</v>
      </c>
      <c r="K541" t="inlineStr">
        <is>
          <t>Unilever Indonesia Official Shop</t>
        </is>
      </c>
      <c r="L541" t="inlineStr">
        <is>
          <t>KOTA BEKASI</t>
        </is>
      </c>
      <c r="M541" t="n">
        <v>127371517</v>
      </c>
      <c r="N541" t="n">
        <v>14318452</v>
      </c>
      <c r="O541">
        <f>HYPERLINK("https://shopee.co.id/api/v4/item/get?itemid=127371517&amp;shopid=14318452", "Clear Shampo Anti Ketombe Anti Dandruff Shampoo Ice Cool Menthol 3X Sikat Ketombe 660Ml")</f>
        <v/>
      </c>
      <c r="P541" t="n">
        <v>217</v>
      </c>
      <c r="Q541" t="n">
        <v>995</v>
      </c>
      <c r="R541" t="n">
        <v>4.943439809926082</v>
      </c>
      <c r="S541" t="n">
        <v>35</v>
      </c>
      <c r="T541" t="n">
        <v>21</v>
      </c>
      <c r="U541" t="n">
        <v>63</v>
      </c>
      <c r="V541" t="n">
        <v>559</v>
      </c>
      <c r="W541" t="n">
        <v>14483</v>
      </c>
    </row>
    <row r="542">
      <c r="A542" t="inlineStr">
        <is>
          <t>Jawara Cabai Tabur Jambal 30 gr</t>
        </is>
      </c>
      <c r="B542" t="inlineStr">
        <is>
          <t>Jawara</t>
        </is>
      </c>
      <c r="C542" t="inlineStr">
        <is>
          <t>9%</t>
        </is>
      </c>
      <c r="D542" t="n">
        <v>7500</v>
      </c>
      <c r="E542" t="n">
        <v>8200</v>
      </c>
      <c r="F542" t="n">
        <v>7500</v>
      </c>
      <c r="G542" t="n">
        <v>8200</v>
      </c>
      <c r="H542" t="n">
        <v>7500</v>
      </c>
      <c r="I542" t="n">
        <v>8200</v>
      </c>
      <c r="J542" t="b">
        <v>1</v>
      </c>
      <c r="K542" t="inlineStr">
        <is>
          <t>Unilever Indonesia Official Shop</t>
        </is>
      </c>
      <c r="L542" t="inlineStr">
        <is>
          <t>KOTA BEKASI</t>
        </is>
      </c>
      <c r="M542" t="n">
        <v>6450858390</v>
      </c>
      <c r="N542" t="n">
        <v>14318452</v>
      </c>
      <c r="O542">
        <f>HYPERLINK("https://shopee.co.id/api/v4/item/get?itemid=6450858390&amp;shopid=14318452", "Jawara Cabai Tabur Jambal 30 gr")</f>
        <v/>
      </c>
      <c r="P542" t="n">
        <v>156</v>
      </c>
      <c r="Q542" t="n">
        <v>347</v>
      </c>
      <c r="R542" t="n">
        <v>4.903252032520325</v>
      </c>
      <c r="S542" t="n">
        <v>10</v>
      </c>
      <c r="T542" t="n">
        <v>4</v>
      </c>
      <c r="U542" t="n">
        <v>26</v>
      </c>
      <c r="V542" t="n">
        <v>134</v>
      </c>
      <c r="W542" t="n">
        <v>2286</v>
      </c>
    </row>
    <row r="543">
      <c r="A543" t="inlineStr">
        <is>
          <t>Vaseline Peach Body Yogurt With Prebiotics 200 ml</t>
        </is>
      </c>
      <c r="B543" t="inlineStr">
        <is>
          <t>Vaseline</t>
        </is>
      </c>
      <c r="C543" t="inlineStr">
        <is>
          <t>13%</t>
        </is>
      </c>
      <c r="D543" t="n">
        <v>32200</v>
      </c>
      <c r="E543" t="n">
        <v>37100</v>
      </c>
      <c r="F543" t="n">
        <v>32200</v>
      </c>
      <c r="G543" t="n">
        <v>37100</v>
      </c>
      <c r="H543" t="n">
        <v>32200</v>
      </c>
      <c r="I543" t="n">
        <v>37100</v>
      </c>
      <c r="J543" t="b">
        <v>1</v>
      </c>
      <c r="K543" t="inlineStr">
        <is>
          <t>Unilever Indonesia Official Shop</t>
        </is>
      </c>
      <c r="L543" t="inlineStr">
        <is>
          <t>KOTA BEKASI</t>
        </is>
      </c>
      <c r="M543" t="n">
        <v>5156063648</v>
      </c>
      <c r="N543" t="n">
        <v>14318452</v>
      </c>
      <c r="O543">
        <f>HYPERLINK("https://shopee.co.id/api/v4/item/get?itemid=5156063648&amp;shopid=14318452", "Vaseline Peach Body Yogurt With Prebiotics 200 ml")</f>
        <v/>
      </c>
      <c r="P543" t="n">
        <v>65</v>
      </c>
      <c r="Q543" t="n">
        <v>274</v>
      </c>
      <c r="R543" t="n">
        <v>4.930425179458862</v>
      </c>
      <c r="S543" t="n">
        <v>14</v>
      </c>
      <c r="T543" t="n">
        <v>6</v>
      </c>
      <c r="U543" t="n">
        <v>24</v>
      </c>
      <c r="V543" t="n">
        <v>270</v>
      </c>
      <c r="W543" t="n">
        <v>5123</v>
      </c>
    </row>
    <row r="544">
      <c r="A544" t="inlineStr">
        <is>
          <t>Vaseline Healthy Bright Body Lotion Perlindungan Kulit Spf 30 Pa++ Body Serum 180Mlx2</t>
        </is>
      </c>
      <c r="B544" t="inlineStr">
        <is>
          <t>Vaseline</t>
        </is>
      </c>
      <c r="C544" t="inlineStr">
        <is>
          <t>12%</t>
        </is>
      </c>
      <c r="D544" t="n">
        <v>95300</v>
      </c>
      <c r="E544" t="n">
        <v>108400</v>
      </c>
      <c r="F544" t="n">
        <v>95300</v>
      </c>
      <c r="G544" t="n">
        <v>108400</v>
      </c>
      <c r="H544" t="n">
        <v>95300</v>
      </c>
      <c r="I544" t="n">
        <v>108400</v>
      </c>
      <c r="J544" t="b">
        <v>1</v>
      </c>
      <c r="K544" t="inlineStr">
        <is>
          <t>Unilever Indonesia Official Shop</t>
        </is>
      </c>
      <c r="L544" t="inlineStr">
        <is>
          <t>KOTA BEKASI</t>
        </is>
      </c>
      <c r="M544" t="n">
        <v>4731817812</v>
      </c>
      <c r="N544" t="n">
        <v>14318452</v>
      </c>
      <c r="O544">
        <f>HYPERLINK("https://shopee.co.id/api/v4/item/get?itemid=4731817812&amp;shopid=14318452", "Vaseline Healthy Bright Body Lotion Perlindungan Kulit Spf 30 Pa++ Body Serum 180Mlx2")</f>
        <v/>
      </c>
      <c r="P544" t="n">
        <v>326</v>
      </c>
      <c r="Q544" t="n">
        <v>1010</v>
      </c>
      <c r="R544" t="n">
        <v>4.915552279667263</v>
      </c>
      <c r="S544" t="n">
        <v>28</v>
      </c>
      <c r="T544" t="n">
        <v>16</v>
      </c>
      <c r="U544" t="n">
        <v>74</v>
      </c>
      <c r="V544" t="n">
        <v>494</v>
      </c>
      <c r="W544" t="n">
        <v>8888</v>
      </c>
    </row>
    <row r="545">
      <c r="A545" t="inlineStr">
        <is>
          <t>Dove Creambath - Hair Growth Ritual 30G x3</t>
        </is>
      </c>
      <c r="B545" t="inlineStr">
        <is>
          <t>0</t>
        </is>
      </c>
      <c r="C545" t="inlineStr">
        <is>
          <t>5%</t>
        </is>
      </c>
      <c r="D545" t="n">
        <v>14300</v>
      </c>
      <c r="E545" t="n">
        <v>15000</v>
      </c>
      <c r="F545" t="n">
        <v>14300</v>
      </c>
      <c r="G545" t="n">
        <v>15000</v>
      </c>
      <c r="H545" t="n">
        <v>14300</v>
      </c>
      <c r="I545" t="n">
        <v>15000</v>
      </c>
      <c r="J545" t="b">
        <v>1</v>
      </c>
      <c r="K545" t="inlineStr">
        <is>
          <t>Unilever Indonesia Official Shop</t>
        </is>
      </c>
      <c r="L545" t="inlineStr">
        <is>
          <t>KOTA BEKASI</t>
        </is>
      </c>
      <c r="M545" t="n">
        <v>3252506016</v>
      </c>
      <c r="N545" t="n">
        <v>14318452</v>
      </c>
      <c r="O545">
        <f>HYPERLINK("https://shopee.co.id/api/v4/item/get?itemid=3252506016&amp;shopid=14318452", "Dove Creambath - Hair Growth Ritual 30G x3")</f>
        <v/>
      </c>
      <c r="P545" t="n">
        <v>1554</v>
      </c>
      <c r="Q545" t="n">
        <v>3246</v>
      </c>
      <c r="R545" t="n">
        <v>4.933827597654089</v>
      </c>
      <c r="S545" t="n">
        <v>29</v>
      </c>
      <c r="T545" t="n">
        <v>27</v>
      </c>
      <c r="U545" t="n">
        <v>90</v>
      </c>
      <c r="V545" t="n">
        <v>825</v>
      </c>
      <c r="W545" t="n">
        <v>17107</v>
      </c>
    </row>
    <row r="546">
      <c r="A546" t="inlineStr">
        <is>
          <t>Citra Lulur Natural Glow Liquid Body Wash Refill 400 ml Twin Pack</t>
        </is>
      </c>
      <c r="B546" t="inlineStr">
        <is>
          <t>Citra</t>
        </is>
      </c>
      <c r="C546" t="inlineStr">
        <is>
          <t>38%</t>
        </is>
      </c>
      <c r="D546" t="n">
        <v>46200</v>
      </c>
      <c r="E546" t="n">
        <v>75100</v>
      </c>
      <c r="F546" t="n">
        <v>46200</v>
      </c>
      <c r="G546" t="n">
        <v>75100</v>
      </c>
      <c r="H546" t="n">
        <v>46200</v>
      </c>
      <c r="I546" t="n">
        <v>75100</v>
      </c>
      <c r="J546" t="b">
        <v>1</v>
      </c>
      <c r="K546" t="inlineStr">
        <is>
          <t>Unilever Indonesia Official Shop</t>
        </is>
      </c>
      <c r="L546" t="inlineStr">
        <is>
          <t>KOTA SURABAYA</t>
        </is>
      </c>
      <c r="M546" t="n">
        <v>3331084979</v>
      </c>
      <c r="N546" t="n">
        <v>14318452</v>
      </c>
      <c r="O546">
        <f>HYPERLINK("https://shopee.co.id/api/v4/item/get?itemid=3331084979&amp;shopid=14318452", "Citra Lulur Natural Glow Liquid Body Wash Refill 400 ml Twin Pack")</f>
        <v/>
      </c>
      <c r="P546" t="n">
        <v>66</v>
      </c>
      <c r="Q546" t="n">
        <v>6</v>
      </c>
      <c r="R546" t="n">
        <v>4.908598510494245</v>
      </c>
      <c r="S546" t="n">
        <v>9</v>
      </c>
      <c r="T546" t="n">
        <v>3</v>
      </c>
      <c r="U546" t="n">
        <v>13</v>
      </c>
      <c r="V546" t="n">
        <v>64</v>
      </c>
      <c r="W546" t="n">
        <v>1388</v>
      </c>
    </row>
    <row r="547">
      <c r="A547" t="inlineStr">
        <is>
          <t>Zwitsal Baby Bath Natural with Milk and Honey 300 ml - Twinpack</t>
        </is>
      </c>
      <c r="B547" t="inlineStr">
        <is>
          <t>Zwitsal</t>
        </is>
      </c>
      <c r="C547" t="inlineStr">
        <is>
          <t>19%</t>
        </is>
      </c>
      <c r="D547" t="n">
        <v>56700</v>
      </c>
      <c r="E547" t="n">
        <v>69800</v>
      </c>
      <c r="F547" t="n">
        <v>56700</v>
      </c>
      <c r="G547" t="n">
        <v>69800</v>
      </c>
      <c r="H547" t="n">
        <v>56700</v>
      </c>
      <c r="I547" t="n">
        <v>69800</v>
      </c>
      <c r="J547" t="b">
        <v>1</v>
      </c>
      <c r="K547" t="inlineStr">
        <is>
          <t>Unilever Indonesia Official Shop</t>
        </is>
      </c>
      <c r="L547" t="inlineStr">
        <is>
          <t>KOTA BEKASI</t>
        </is>
      </c>
      <c r="M547" t="n">
        <v>5631704761</v>
      </c>
      <c r="N547" t="n">
        <v>14318452</v>
      </c>
      <c r="O547">
        <f>HYPERLINK("https://shopee.co.id/api/v4/item/get?itemid=5631704761&amp;shopid=14318452", "Zwitsal Baby Bath Natural with Milk and Honey 300 ml - Twinpack")</f>
        <v/>
      </c>
      <c r="P547" t="n">
        <v>91</v>
      </c>
      <c r="Q547" t="n">
        <v>250</v>
      </c>
      <c r="R547" t="n">
        <v>4.928159076330981</v>
      </c>
      <c r="S547" t="n">
        <v>3</v>
      </c>
      <c r="T547" t="n">
        <v>0</v>
      </c>
      <c r="U547" t="n">
        <v>5</v>
      </c>
      <c r="V547" t="n">
        <v>90</v>
      </c>
      <c r="W547" t="n">
        <v>1461</v>
      </c>
    </row>
    <row r="548">
      <c r="A548" t="inlineStr">
        <is>
          <t>Tresemme Hair Conditioner Keratin Smooth Rambut Lembut 48 Jam* W Hydrolyzed Keratin 340Ml</t>
        </is>
      </c>
      <c r="B548" t="inlineStr">
        <is>
          <t>0</t>
        </is>
      </c>
      <c r="C548" t="inlineStr">
        <is>
          <t>2%</t>
        </is>
      </c>
      <c r="D548" t="n">
        <v>75700</v>
      </c>
      <c r="E548" t="n">
        <v>77500</v>
      </c>
      <c r="F548" t="n">
        <v>75700</v>
      </c>
      <c r="G548" t="n">
        <v>77500</v>
      </c>
      <c r="H548" t="n">
        <v>75700</v>
      </c>
      <c r="I548" t="n">
        <v>77500</v>
      </c>
      <c r="J548" t="b">
        <v>1</v>
      </c>
      <c r="K548" t="inlineStr">
        <is>
          <t>Unilever Indonesia Official Shop</t>
        </is>
      </c>
      <c r="L548" t="inlineStr">
        <is>
          <t>KOTA BEKASI</t>
        </is>
      </c>
      <c r="M548" t="n">
        <v>1515340666</v>
      </c>
      <c r="N548" t="n">
        <v>14318452</v>
      </c>
      <c r="O548">
        <f>HYPERLINK("https://shopee.co.id/api/v4/item/get?itemid=1515340666&amp;shopid=14318452", "Tresemme Hair Conditioner Keratin Smooth Rambut Lembut 48 Jam* W Hydrolyzed Keratin 340Ml")</f>
        <v/>
      </c>
      <c r="P548" t="n">
        <v>751</v>
      </c>
      <c r="Q548" t="n">
        <v>2736</v>
      </c>
      <c r="R548" t="n">
        <v>4.929445207448338</v>
      </c>
      <c r="S548" t="n">
        <v>56</v>
      </c>
      <c r="T548" t="n">
        <v>41</v>
      </c>
      <c r="U548" t="n">
        <v>234</v>
      </c>
      <c r="V548" t="n">
        <v>1410</v>
      </c>
      <c r="W548" t="n">
        <v>29582</v>
      </c>
    </row>
    <row r="549">
      <c r="A549" t="inlineStr">
        <is>
          <t>Ponds Age Miracle Sabun Cuci Muka Anti Aging +Glowing With Retinol&amp;Niacinamide 100G</t>
        </is>
      </c>
      <c r="B549" t="inlineStr">
        <is>
          <t>Pond's</t>
        </is>
      </c>
      <c r="C549" t="inlineStr">
        <is>
          <t>17%</t>
        </is>
      </c>
      <c r="D549" t="n">
        <v>58900</v>
      </c>
      <c r="E549" t="n">
        <v>70600</v>
      </c>
      <c r="F549" t="n">
        <v>58900</v>
      </c>
      <c r="G549" t="n">
        <v>70600</v>
      </c>
      <c r="H549" t="n">
        <v>58900</v>
      </c>
      <c r="I549" t="n">
        <v>70600</v>
      </c>
      <c r="J549" t="b">
        <v>1</v>
      </c>
      <c r="K549" t="inlineStr">
        <is>
          <t>Unilever Indonesia Official Shop</t>
        </is>
      </c>
      <c r="L549" t="inlineStr">
        <is>
          <t>KOTA BEKASI</t>
        </is>
      </c>
      <c r="M549" t="n">
        <v>6417907186</v>
      </c>
      <c r="N549" t="n">
        <v>14318452</v>
      </c>
      <c r="O549">
        <f>HYPERLINK("https://shopee.co.id/api/v4/item/get?itemid=6417907186&amp;shopid=14318452", "Ponds Age Miracle Sabun Cuci Muka Anti Aging +Glowing With Retinol&amp;Niacinamide 100G")</f>
        <v/>
      </c>
      <c r="P549" t="n">
        <v>569</v>
      </c>
      <c r="Q549" t="n">
        <v>4091</v>
      </c>
      <c r="R549" t="n">
        <v>4.931099665771739</v>
      </c>
      <c r="S549" t="n">
        <v>69</v>
      </c>
      <c r="T549" t="n">
        <v>35</v>
      </c>
      <c r="U549" t="n">
        <v>179</v>
      </c>
      <c r="V549" t="n">
        <v>1797</v>
      </c>
      <c r="W549" t="n">
        <v>34434</v>
      </c>
    </row>
    <row r="550">
      <c r="A550" t="inlineStr">
        <is>
          <t>Buavita Guava 245 ml Jus Jambu, Guava Juice - Twin Pack</t>
        </is>
      </c>
      <c r="B550" t="inlineStr">
        <is>
          <t>0</t>
        </is>
      </c>
      <c r="C550" t="inlineStr">
        <is>
          <t>25%</t>
        </is>
      </c>
      <c r="D550" t="n">
        <v>10900</v>
      </c>
      <c r="E550" t="n">
        <v>14500</v>
      </c>
      <c r="F550" t="n">
        <v>10900</v>
      </c>
      <c r="G550" t="n">
        <v>14500</v>
      </c>
      <c r="H550" t="n">
        <v>10900</v>
      </c>
      <c r="I550" t="n">
        <v>14500</v>
      </c>
      <c r="J550" t="b">
        <v>1</v>
      </c>
      <c r="K550" t="inlineStr">
        <is>
          <t>Unilever Indonesia Official Shop</t>
        </is>
      </c>
      <c r="L550" t="inlineStr">
        <is>
          <t>KOTA BEKASI</t>
        </is>
      </c>
      <c r="M550" t="n">
        <v>5831884729</v>
      </c>
      <c r="N550" t="n">
        <v>14318452</v>
      </c>
      <c r="O550">
        <f>HYPERLINK("https://shopee.co.id/api/v4/item/get?itemid=5831884729&amp;shopid=14318452", "Buavita Guava 245 ml Jus Jambu, Guava Juice - Twin Pack")</f>
        <v/>
      </c>
      <c r="P550" t="n">
        <v>231</v>
      </c>
      <c r="Q550" t="n">
        <v>988</v>
      </c>
      <c r="R550" t="n">
        <v>4.911163522012578</v>
      </c>
      <c r="S550" t="n">
        <v>7</v>
      </c>
      <c r="T550" t="n">
        <v>8</v>
      </c>
      <c r="U550" t="n">
        <v>24</v>
      </c>
      <c r="V550" t="n">
        <v>129</v>
      </c>
      <c r="W550" t="n">
        <v>2377</v>
      </c>
    </row>
    <row r="551">
      <c r="A551" t="inlineStr">
        <is>
          <t>Molto Pewangi Pakaian Flower Shower 1800Ml  - Softener Pewangi, Pelembut Pakaian</t>
        </is>
      </c>
      <c r="B551" t="inlineStr">
        <is>
          <t>Molto</t>
        </is>
      </c>
      <c r="C551" t="inlineStr">
        <is>
          <t>11%</t>
        </is>
      </c>
      <c r="D551" t="n">
        <v>29500</v>
      </c>
      <c r="E551" t="n">
        <v>33300</v>
      </c>
      <c r="F551" t="n">
        <v>29500</v>
      </c>
      <c r="G551" t="n">
        <v>33300</v>
      </c>
      <c r="H551" t="n">
        <v>29500</v>
      </c>
      <c r="I551" t="n">
        <v>33300</v>
      </c>
      <c r="J551" t="b">
        <v>1</v>
      </c>
      <c r="K551" t="inlineStr">
        <is>
          <t>Unilever Indonesia Official Shop</t>
        </is>
      </c>
      <c r="L551" t="inlineStr">
        <is>
          <t>KOTA BEKASI</t>
        </is>
      </c>
      <c r="M551" t="n">
        <v>1562803065</v>
      </c>
      <c r="N551" t="n">
        <v>14318452</v>
      </c>
      <c r="O551">
        <f>HYPERLINK("https://shopee.co.id/api/v4/item/get?itemid=1562803065&amp;shopid=14318452", "Molto Pewangi Pakaian Flower Shower 1800Ml  - Softener Pewangi, Pelembut Pakaian")</f>
        <v/>
      </c>
      <c r="P551" t="n">
        <v>393</v>
      </c>
      <c r="Q551" t="n">
        <v>614</v>
      </c>
      <c r="R551" t="n">
        <v>4.924086223055295</v>
      </c>
      <c r="S551" t="n">
        <v>60</v>
      </c>
      <c r="T551" t="n">
        <v>29</v>
      </c>
      <c r="U551" t="n">
        <v>144</v>
      </c>
      <c r="V551" t="n">
        <v>873</v>
      </c>
      <c r="W551" t="n">
        <v>18109</v>
      </c>
    </row>
    <row r="552">
      <c r="A552" t="inlineStr">
        <is>
          <t>Sariwangi Teh Hitam Jahe &amp; Kunyit 25 Teh Celup</t>
        </is>
      </c>
      <c r="B552" t="inlineStr">
        <is>
          <t>Sari Wangi</t>
        </is>
      </c>
      <c r="C552" t="inlineStr">
        <is>
          <t>23%</t>
        </is>
      </c>
      <c r="D552" t="n">
        <v>7400</v>
      </c>
      <c r="E552" t="n">
        <v>9600</v>
      </c>
      <c r="F552" t="n">
        <v>7400</v>
      </c>
      <c r="G552" t="n">
        <v>9600</v>
      </c>
      <c r="H552" t="n">
        <v>7400</v>
      </c>
      <c r="I552" t="n">
        <v>9600</v>
      </c>
      <c r="J552" t="b">
        <v>1</v>
      </c>
      <c r="K552" t="inlineStr">
        <is>
          <t>Unilever Indonesia Official Shop</t>
        </is>
      </c>
      <c r="L552" t="inlineStr">
        <is>
          <t>KAB. BANYUASIN</t>
        </is>
      </c>
      <c r="M552" t="n">
        <v>7156941048</v>
      </c>
      <c r="N552" t="n">
        <v>14318452</v>
      </c>
      <c r="O552">
        <f>HYPERLINK("https://shopee.co.id/api/v4/item/get?itemid=7156941048&amp;shopid=14318452", "Sariwangi Teh Hitam Jahe &amp; Kunyit 25 Teh Celup")</f>
        <v/>
      </c>
      <c r="P552" t="n">
        <v>140</v>
      </c>
      <c r="Q552" t="n">
        <v>187</v>
      </c>
      <c r="R552" t="n">
        <v>4.919686985172982</v>
      </c>
      <c r="S552" t="n">
        <v>4</v>
      </c>
      <c r="T552" t="n">
        <v>5</v>
      </c>
      <c r="U552" t="n">
        <v>14</v>
      </c>
      <c r="V552" t="n">
        <v>136</v>
      </c>
      <c r="W552" t="n">
        <v>2269</v>
      </c>
    </row>
    <row r="553">
      <c r="A553" t="inlineStr">
        <is>
          <t>ZWITSAL KIDS BUBBLE BATH PINK SOFT &amp; MOISTURIZING 280ml TWINPACK</t>
        </is>
      </c>
      <c r="B553" t="inlineStr">
        <is>
          <t>0</t>
        </is>
      </c>
      <c r="C553" t="inlineStr">
        <is>
          <t>22%</t>
        </is>
      </c>
      <c r="D553" t="n">
        <v>40000</v>
      </c>
      <c r="E553" t="n">
        <v>51300</v>
      </c>
      <c r="F553" t="n">
        <v>40000</v>
      </c>
      <c r="G553" t="n">
        <v>51300</v>
      </c>
      <c r="H553" t="n">
        <v>40000</v>
      </c>
      <c r="I553" t="n">
        <v>51300</v>
      </c>
      <c r="J553" t="b">
        <v>1</v>
      </c>
      <c r="K553" t="inlineStr">
        <is>
          <t>Unilever Indonesia Official Shop</t>
        </is>
      </c>
      <c r="L553" t="inlineStr">
        <is>
          <t>KOTA BEKASI</t>
        </is>
      </c>
      <c r="M553" t="n">
        <v>4431332550</v>
      </c>
      <c r="N553" t="n">
        <v>14318452</v>
      </c>
      <c r="O553">
        <f>HYPERLINK("https://shopee.co.id/api/v4/item/get?itemid=4431332550&amp;shopid=14318452", "ZWITSAL KIDS BUBBLE BATH PINK SOFT &amp; MOISTURIZING 280ml TWINPACK")</f>
        <v/>
      </c>
      <c r="P553" t="n">
        <v>202</v>
      </c>
      <c r="Q553" t="n">
        <v>103</v>
      </c>
      <c r="R553" t="n">
        <v>4.925704014379868</v>
      </c>
      <c r="S553" t="n">
        <v>6</v>
      </c>
      <c r="T553" t="n">
        <v>2</v>
      </c>
      <c r="U553" t="n">
        <v>11</v>
      </c>
      <c r="V553" t="n">
        <v>72</v>
      </c>
      <c r="W553" t="n">
        <v>1578</v>
      </c>
    </row>
    <row r="554">
      <c r="A554" t="inlineStr">
        <is>
          <t>Molto Eau De Parfum Konsentrat Pewangi Pelembut Baju Purple Elegant Ultra Care 720Ml</t>
        </is>
      </c>
      <c r="B554" t="inlineStr">
        <is>
          <t>None</t>
        </is>
      </c>
      <c r="C554" t="inlineStr">
        <is>
          <t>30%</t>
        </is>
      </c>
      <c r="D554" t="n">
        <v>29400</v>
      </c>
      <c r="E554" t="n">
        <v>42200</v>
      </c>
      <c r="F554" t="n">
        <v>29400</v>
      </c>
      <c r="G554" t="n">
        <v>42200</v>
      </c>
      <c r="H554" t="n">
        <v>29400</v>
      </c>
      <c r="I554" t="n">
        <v>42200</v>
      </c>
      <c r="J554" t="b">
        <v>1</v>
      </c>
      <c r="K554" t="inlineStr">
        <is>
          <t>Unilever Indonesia Official Shop</t>
        </is>
      </c>
      <c r="L554" t="inlineStr">
        <is>
          <t>KOTA BEKASI</t>
        </is>
      </c>
      <c r="M554" t="n">
        <v>8215821685</v>
      </c>
      <c r="N554" t="n">
        <v>14318452</v>
      </c>
      <c r="O554">
        <f>HYPERLINK("https://shopee.co.id/api/v4/item/get?itemid=8215821685&amp;shopid=14318452", "Molto Eau De Parfum Konsentrat Pewangi Pelembut Baju Purple Elegant Ultra Care 720Ml")</f>
        <v/>
      </c>
      <c r="P554" t="n">
        <v>209</v>
      </c>
      <c r="Q554" t="n">
        <v>453</v>
      </c>
      <c r="R554" t="n">
        <v>4.944099378881988</v>
      </c>
      <c r="S554" t="n">
        <v>2</v>
      </c>
      <c r="T554" t="n">
        <v>1</v>
      </c>
      <c r="U554" t="n">
        <v>5</v>
      </c>
      <c r="V554" t="n">
        <v>42</v>
      </c>
      <c r="W554" t="n">
        <v>1077</v>
      </c>
    </row>
    <row r="555">
      <c r="A555" t="inlineStr">
        <is>
          <t>Rinso Molto Detergen Cair Kemasan Daur Ulang Perfume Essence Double Clean Fresh 200ML</t>
        </is>
      </c>
      <c r="B555" t="inlineStr"/>
      <c r="C555" t="inlineStr">
        <is>
          <t>8%</t>
        </is>
      </c>
      <c r="D555" t="n">
        <v>4600</v>
      </c>
      <c r="E555" t="n">
        <v>5000</v>
      </c>
      <c r="F555" t="n">
        <v>4600</v>
      </c>
      <c r="G555" t="n">
        <v>5000</v>
      </c>
      <c r="H555" t="n">
        <v>4600</v>
      </c>
      <c r="I555" t="n">
        <v>5000</v>
      </c>
      <c r="J555" t="b">
        <v>1</v>
      </c>
      <c r="K555" t="inlineStr">
        <is>
          <t>Unilever Indonesia Official Shop</t>
        </is>
      </c>
      <c r="L555" t="inlineStr">
        <is>
          <t>KOTA BEKASI</t>
        </is>
      </c>
      <c r="M555" t="n">
        <v>10219628871</v>
      </c>
      <c r="N555" t="n">
        <v>14318452</v>
      </c>
      <c r="O555">
        <f>HYPERLINK("https://shopee.co.id/api/v4/item/get?itemid=10219628871&amp;shopid=14318452", "Rinso Molto Detergen Cair Kemasan Daur Ulang Perfume Essence Double Clean Fresh 200ML")</f>
        <v/>
      </c>
      <c r="P555" t="n">
        <v>875</v>
      </c>
      <c r="Q555" t="n">
        <v>6892</v>
      </c>
      <c r="R555" t="n">
        <v>4.934728580771746</v>
      </c>
      <c r="S555" t="n">
        <v>16</v>
      </c>
      <c r="T555" t="n">
        <v>11</v>
      </c>
      <c r="U555" t="n">
        <v>46</v>
      </c>
      <c r="V555" t="n">
        <v>313</v>
      </c>
      <c r="W555" t="n">
        <v>7268</v>
      </c>
    </row>
    <row r="556">
      <c r="A556" t="inlineStr">
        <is>
          <t>Vaseline Repairing Hand Mask with Vaseline Jelly &amp; Niacinamide for Moisturized Hand</t>
        </is>
      </c>
      <c r="B556" t="inlineStr">
        <is>
          <t>None</t>
        </is>
      </c>
      <c r="C556" t="inlineStr">
        <is>
          <t>20%</t>
        </is>
      </c>
      <c r="D556" t="n">
        <v>30100</v>
      </c>
      <c r="E556" t="n">
        <v>37500</v>
      </c>
      <c r="F556" t="n">
        <v>30100</v>
      </c>
      <c r="G556" t="n">
        <v>37500</v>
      </c>
      <c r="H556" t="n">
        <v>30100</v>
      </c>
      <c r="I556" t="n">
        <v>37500</v>
      </c>
      <c r="J556" t="b">
        <v>1</v>
      </c>
      <c r="K556" t="inlineStr">
        <is>
          <t>Unilever Indonesia Official Shop</t>
        </is>
      </c>
      <c r="L556" t="inlineStr">
        <is>
          <t>KOTA BEKASI</t>
        </is>
      </c>
      <c r="M556" t="n">
        <v>13507173002</v>
      </c>
      <c r="N556" t="n">
        <v>14318452</v>
      </c>
      <c r="O556">
        <f>HYPERLINK("https://shopee.co.id/api/v4/item/get?itemid=13507173002&amp;shopid=14318452", "Vaseline Repairing Hand Mask with Vaseline Jelly &amp; Niacinamide for Moisturized Hand")</f>
        <v/>
      </c>
      <c r="P556" t="n">
        <v>323</v>
      </c>
      <c r="Q556" t="n">
        <v>540</v>
      </c>
      <c r="R556" t="n">
        <v>4.904761904761905</v>
      </c>
      <c r="S556" t="n">
        <v>3</v>
      </c>
      <c r="T556" t="n">
        <v>0</v>
      </c>
      <c r="U556" t="n">
        <v>18</v>
      </c>
      <c r="V556" t="n">
        <v>82</v>
      </c>
      <c r="W556" t="n">
        <v>1262</v>
      </c>
    </row>
    <row r="557">
      <c r="A557" t="inlineStr">
        <is>
          <t>Molto Pelembut Dan Pewangi Pakaian Softener Floral Bliss Hilangkan 7 Bau 1800 Ml</t>
        </is>
      </c>
      <c r="B557" t="inlineStr"/>
      <c r="C557" t="inlineStr">
        <is>
          <t>11%</t>
        </is>
      </c>
      <c r="D557" t="n">
        <v>29100</v>
      </c>
      <c r="E557" t="n">
        <v>32600</v>
      </c>
      <c r="F557" t="n">
        <v>29100</v>
      </c>
      <c r="G557" t="n">
        <v>32600</v>
      </c>
      <c r="H557" t="n">
        <v>29100</v>
      </c>
      <c r="I557" t="n">
        <v>32600</v>
      </c>
      <c r="J557" t="b">
        <v>1</v>
      </c>
      <c r="K557" t="inlineStr">
        <is>
          <t>Unilever Indonesia Official Shop</t>
        </is>
      </c>
      <c r="L557" t="inlineStr">
        <is>
          <t>KOTA BEKASI</t>
        </is>
      </c>
      <c r="M557" t="n">
        <v>8714718121</v>
      </c>
      <c r="N557" t="n">
        <v>14318452</v>
      </c>
      <c r="O557">
        <f>HYPERLINK("https://shopee.co.id/api/v4/item/get?itemid=8714718121&amp;shopid=14318452", "Molto Pelembut Dan Pewangi Pakaian Softener Floral Bliss Hilangkan 7 Bau 1800 Ml")</f>
        <v/>
      </c>
      <c r="P557" t="n">
        <v>418</v>
      </c>
      <c r="Q557" t="n">
        <v>308</v>
      </c>
      <c r="R557" t="n">
        <v>4.948709200500398</v>
      </c>
      <c r="S557" t="n">
        <v>16</v>
      </c>
      <c r="T557" t="n">
        <v>6</v>
      </c>
      <c r="U557" t="n">
        <v>40</v>
      </c>
      <c r="V557" t="n">
        <v>296</v>
      </c>
      <c r="W557" t="n">
        <v>8437</v>
      </c>
    </row>
    <row r="558">
      <c r="A558" t="inlineStr">
        <is>
          <t>CITRA FRESH GLOW MULTIFUNCTION GEL TOMATO BRIGHT UV 180ML TWINPACK</t>
        </is>
      </c>
      <c r="B558" t="inlineStr">
        <is>
          <t>Citra</t>
        </is>
      </c>
      <c r="C558" t="inlineStr">
        <is>
          <t>1%</t>
        </is>
      </c>
      <c r="D558" t="n">
        <v>59300</v>
      </c>
      <c r="E558" t="n">
        <v>59800</v>
      </c>
      <c r="F558" t="n">
        <v>59300</v>
      </c>
      <c r="G558" t="n">
        <v>59800</v>
      </c>
      <c r="H558" t="n">
        <v>59300</v>
      </c>
      <c r="I558" t="n">
        <v>59800</v>
      </c>
      <c r="J558" t="b">
        <v>1</v>
      </c>
      <c r="K558" t="inlineStr">
        <is>
          <t>Unilever Indonesia Official Shop</t>
        </is>
      </c>
      <c r="L558" t="inlineStr">
        <is>
          <t>KOTA BEKASI</t>
        </is>
      </c>
      <c r="M558" t="n">
        <v>4431030133</v>
      </c>
      <c r="N558" t="n">
        <v>14318452</v>
      </c>
      <c r="O558">
        <f>HYPERLINK("https://shopee.co.id/api/v4/item/get?itemid=4431030133&amp;shopid=14318452", "CITRA FRESH GLOW MULTIFUNCTION GEL TOMATO BRIGHT UV 180ML TWINPACK")</f>
        <v/>
      </c>
      <c r="P558" t="n">
        <v>168</v>
      </c>
      <c r="Q558" t="n">
        <v>1025</v>
      </c>
      <c r="R558" t="n">
        <v>4.92627345844504</v>
      </c>
      <c r="S558" t="n">
        <v>10</v>
      </c>
      <c r="T558" t="n">
        <v>4</v>
      </c>
      <c r="U558" t="n">
        <v>26</v>
      </c>
      <c r="V558" t="n">
        <v>174</v>
      </c>
      <c r="W558" t="n">
        <v>3517</v>
      </c>
    </row>
    <row r="559">
      <c r="A559" t="inlineStr">
        <is>
          <t>Clear Hijab Pure Shampo Anti-Ketombe &amp; Anti-Rontok 300ML</t>
        </is>
      </c>
      <c r="B559" t="inlineStr"/>
      <c r="C559" t="inlineStr">
        <is>
          <t>20%</t>
        </is>
      </c>
      <c r="D559" t="n">
        <v>55100</v>
      </c>
      <c r="E559" t="n">
        <v>69100</v>
      </c>
      <c r="F559" t="n">
        <v>55100</v>
      </c>
      <c r="G559" t="n">
        <v>69100</v>
      </c>
      <c r="H559" t="n">
        <v>55100</v>
      </c>
      <c r="I559" t="n">
        <v>69100</v>
      </c>
      <c r="J559" t="b">
        <v>1</v>
      </c>
      <c r="K559" t="inlineStr">
        <is>
          <t>Unilever Indonesia Official Shop</t>
        </is>
      </c>
      <c r="L559" t="inlineStr">
        <is>
          <t>KOTA BEKASI</t>
        </is>
      </c>
      <c r="M559" t="n">
        <v>7863813547</v>
      </c>
      <c r="N559" t="n">
        <v>14318452</v>
      </c>
      <c r="O559">
        <f>HYPERLINK("https://shopee.co.id/api/v4/item/get?itemid=7863813547&amp;shopid=14318452", "Clear Hijab Pure Shampo Anti-Ketombe &amp; Anti-Rontok 300ML")</f>
        <v/>
      </c>
      <c r="P559" t="n">
        <v>162</v>
      </c>
      <c r="Q559" t="n">
        <v>200</v>
      </c>
      <c r="R559" t="n">
        <v>4.910638297872341</v>
      </c>
      <c r="S559" t="n">
        <v>4</v>
      </c>
      <c r="T559" t="n">
        <v>3</v>
      </c>
      <c r="U559" t="n">
        <v>10</v>
      </c>
      <c r="V559" t="n">
        <v>39</v>
      </c>
      <c r="W559" t="n">
        <v>884</v>
      </c>
    </row>
    <row r="560">
      <c r="A560" t="inlineStr">
        <is>
          <t>Pepsodent Pencegah Gigi Berlubang Pasta Gigi 190 gr Twin Pack</t>
        </is>
      </c>
      <c r="B560" t="inlineStr">
        <is>
          <t>Pepsodent</t>
        </is>
      </c>
      <c r="C560" t="inlineStr">
        <is>
          <t>21%</t>
        </is>
      </c>
      <c r="D560" t="n">
        <v>23200</v>
      </c>
      <c r="E560" t="n">
        <v>29500</v>
      </c>
      <c r="F560" t="n">
        <v>23200</v>
      </c>
      <c r="G560" t="n">
        <v>29500</v>
      </c>
      <c r="H560" t="n">
        <v>23200</v>
      </c>
      <c r="I560" t="n">
        <v>29500</v>
      </c>
      <c r="J560" t="b">
        <v>1</v>
      </c>
      <c r="K560" t="inlineStr">
        <is>
          <t>Unilever Indonesia Official Shop</t>
        </is>
      </c>
      <c r="L560" t="inlineStr">
        <is>
          <t>KOTA BEKASI</t>
        </is>
      </c>
      <c r="M560" t="n">
        <v>5031381990</v>
      </c>
      <c r="N560" t="n">
        <v>14318452</v>
      </c>
      <c r="O560">
        <f>HYPERLINK("https://shopee.co.id/api/v4/item/get?itemid=5031381990&amp;shopid=14318452", "Pepsodent Pencegah Gigi Berlubang Pasta Gigi 190 gr Twin Pack")</f>
        <v/>
      </c>
      <c r="P560" t="n">
        <v>211</v>
      </c>
      <c r="Q560" t="n">
        <v>770</v>
      </c>
      <c r="R560" t="n">
        <v>4.937317599289431</v>
      </c>
      <c r="S560" t="n">
        <v>19</v>
      </c>
      <c r="T560" t="n">
        <v>9</v>
      </c>
      <c r="U560" t="n">
        <v>30</v>
      </c>
      <c r="V560" t="n">
        <v>338</v>
      </c>
      <c r="W560" t="n">
        <v>7487</v>
      </c>
    </row>
    <row r="561">
      <c r="A561" t="inlineStr">
        <is>
          <t>Tresemme Hair Fall Control Shampoo Perawatan Rambut Rontok Hingga 10X* 340Ml</t>
        </is>
      </c>
      <c r="B561" t="inlineStr">
        <is>
          <t>0</t>
        </is>
      </c>
      <c r="C561" t="inlineStr">
        <is>
          <t>15%</t>
        </is>
      </c>
      <c r="D561" t="n">
        <v>61200</v>
      </c>
      <c r="E561" t="n">
        <v>71800</v>
      </c>
      <c r="F561" t="n">
        <v>61200</v>
      </c>
      <c r="G561" t="n">
        <v>71800</v>
      </c>
      <c r="H561" t="n">
        <v>61200</v>
      </c>
      <c r="I561" t="n">
        <v>71800</v>
      </c>
      <c r="J561" t="b">
        <v>1</v>
      </c>
      <c r="K561" t="inlineStr">
        <is>
          <t>Unilever Indonesia Official Shop</t>
        </is>
      </c>
      <c r="L561" t="inlineStr">
        <is>
          <t>KOTA BEKASI</t>
        </is>
      </c>
      <c r="M561" t="n">
        <v>1515340686</v>
      </c>
      <c r="N561" t="n">
        <v>14318452</v>
      </c>
      <c r="O561">
        <f>HYPERLINK("https://shopee.co.id/api/v4/item/get?itemid=1515340686&amp;shopid=14318452", "Tresemme Hair Fall Control Shampoo Perawatan Rambut Rontok Hingga 10X* 340Ml")</f>
        <v/>
      </c>
      <c r="P561" t="n">
        <v>222</v>
      </c>
      <c r="Q561" t="n">
        <v>535</v>
      </c>
      <c r="R561" t="n">
        <v>4.888593979185583</v>
      </c>
      <c r="S561" t="n">
        <v>61</v>
      </c>
      <c r="T561" t="n">
        <v>64</v>
      </c>
      <c r="U561" t="n">
        <v>185</v>
      </c>
      <c r="V561" t="n">
        <v>815</v>
      </c>
      <c r="W561" t="n">
        <v>13200</v>
      </c>
    </row>
    <row r="562">
      <c r="A562" t="inlineStr">
        <is>
          <t>Pond'S Clear Solution Shake &amp; Clean 100Ml x2</t>
        </is>
      </c>
      <c r="B562" t="inlineStr">
        <is>
          <t>Pond's</t>
        </is>
      </c>
      <c r="C562" t="inlineStr">
        <is>
          <t>15%</t>
        </is>
      </c>
      <c r="D562" t="n">
        <v>48300</v>
      </c>
      <c r="E562" t="n">
        <v>57000</v>
      </c>
      <c r="F562" t="n">
        <v>48300</v>
      </c>
      <c r="G562" t="n">
        <v>57000</v>
      </c>
      <c r="H562" t="n">
        <v>48300</v>
      </c>
      <c r="I562" t="n">
        <v>57000</v>
      </c>
      <c r="J562" t="b">
        <v>1</v>
      </c>
      <c r="K562" t="inlineStr">
        <is>
          <t>Unilever Indonesia Official Shop</t>
        </is>
      </c>
      <c r="L562" t="inlineStr">
        <is>
          <t>KOTA BEKASI</t>
        </is>
      </c>
      <c r="M562" t="n">
        <v>5752358654</v>
      </c>
      <c r="N562" t="n">
        <v>14318452</v>
      </c>
      <c r="O562">
        <f>HYPERLINK("https://shopee.co.id/api/v4/item/get?itemid=5752358654&amp;shopid=14318452", "Pond'S Clear Solution Shake &amp; Clean 100Ml x2")</f>
        <v/>
      </c>
      <c r="P562" t="n">
        <v>307</v>
      </c>
      <c r="Q562" t="n">
        <v>188</v>
      </c>
      <c r="R562" t="n">
        <v>4.943135245901639</v>
      </c>
      <c r="S562" t="n">
        <v>7</v>
      </c>
      <c r="T562" t="n">
        <v>4</v>
      </c>
      <c r="U562" t="n">
        <v>17</v>
      </c>
      <c r="V562" t="n">
        <v>148</v>
      </c>
      <c r="W562" t="n">
        <v>3728</v>
      </c>
    </row>
    <row r="563">
      <c r="A563" t="inlineStr">
        <is>
          <t>Tresemme Hair Fall Control Shampoo Perawatan Rambut Rontok Hingga 10X* with TRESplex Technology 670ML</t>
        </is>
      </c>
      <c r="B563" t="inlineStr">
        <is>
          <t>0</t>
        </is>
      </c>
      <c r="C563" t="inlineStr">
        <is>
          <t>18%</t>
        </is>
      </c>
      <c r="D563" t="n">
        <v>86600</v>
      </c>
      <c r="E563" t="n">
        <v>106200</v>
      </c>
      <c r="F563" t="n">
        <v>86600</v>
      </c>
      <c r="G563" t="n">
        <v>106200</v>
      </c>
      <c r="H563" t="n">
        <v>86600</v>
      </c>
      <c r="I563" t="n">
        <v>106200</v>
      </c>
      <c r="J563" t="b">
        <v>1</v>
      </c>
      <c r="K563" t="inlineStr">
        <is>
          <t>Unilever Indonesia Official Shop</t>
        </is>
      </c>
      <c r="L563" t="inlineStr">
        <is>
          <t>KOTA BEKASI</t>
        </is>
      </c>
      <c r="M563" t="n">
        <v>1515340694</v>
      </c>
      <c r="N563" t="n">
        <v>14318452</v>
      </c>
      <c r="O563">
        <f>HYPERLINK("https://shopee.co.id/api/v4/item/get?itemid=1515340694&amp;shopid=14318452", "Tresemme Hair Fall Control Shampoo Perawatan Rambut Rontok Hingga 10X* with TRESplex Technology 670ML")</f>
        <v/>
      </c>
      <c r="P563" t="n">
        <v>513</v>
      </c>
      <c r="Q563" t="n">
        <v>218</v>
      </c>
      <c r="R563" t="n">
        <v>4.920520631404043</v>
      </c>
      <c r="S563" t="n">
        <v>7</v>
      </c>
      <c r="T563" t="n">
        <v>6</v>
      </c>
      <c r="U563" t="n">
        <v>28</v>
      </c>
      <c r="V563" t="n">
        <v>185</v>
      </c>
      <c r="W563" t="n">
        <v>3385</v>
      </c>
    </row>
    <row r="564">
      <c r="A564" t="inlineStr">
        <is>
          <t>Buavita Jus Buah Asli Apel 1000 Ml - Mengandung Vitamin A, Jus Apel, Apple Juice</t>
        </is>
      </c>
      <c r="B564" t="inlineStr">
        <is>
          <t>0</t>
        </is>
      </c>
      <c r="C564" t="inlineStr">
        <is>
          <t>28%</t>
        </is>
      </c>
      <c r="D564" t="n">
        <v>19600</v>
      </c>
      <c r="E564" t="n">
        <v>27200</v>
      </c>
      <c r="F564" t="n">
        <v>19600</v>
      </c>
      <c r="G564" t="n">
        <v>27200</v>
      </c>
      <c r="H564" t="n">
        <v>19600</v>
      </c>
      <c r="I564" t="n">
        <v>27200</v>
      </c>
      <c r="J564" t="b">
        <v>1</v>
      </c>
      <c r="K564" t="inlineStr">
        <is>
          <t>Unilever Indonesia Official Shop</t>
        </is>
      </c>
      <c r="L564" t="inlineStr">
        <is>
          <t>KOTA BEKASI</t>
        </is>
      </c>
      <c r="M564" t="n">
        <v>1480864141</v>
      </c>
      <c r="N564" t="n">
        <v>14318452</v>
      </c>
      <c r="O564">
        <f>HYPERLINK("https://shopee.co.id/api/v4/item/get?itemid=1480864141&amp;shopid=14318452", "Buavita Jus Buah Asli Apel 1000 Ml - Mengandung Vitamin A, Jus Apel, Apple Juice")</f>
        <v/>
      </c>
      <c r="P564" t="n">
        <v>107</v>
      </c>
      <c r="Q564" t="n">
        <v>235</v>
      </c>
      <c r="R564" t="n">
        <v>4.860347016504443</v>
      </c>
      <c r="S564" t="n">
        <v>45</v>
      </c>
      <c r="T564" t="n">
        <v>25</v>
      </c>
      <c r="U564" t="n">
        <v>67</v>
      </c>
      <c r="V564" t="n">
        <v>279</v>
      </c>
      <c r="W564" t="n">
        <v>4312</v>
      </c>
    </row>
    <row r="565">
      <c r="A565" t="inlineStr">
        <is>
          <t>Citra Glow Recipe Sheet Mask / Masker Wajah Sakura + Aloe Vera 25 gr</t>
        </is>
      </c>
      <c r="B565" t="inlineStr">
        <is>
          <t>0</t>
        </is>
      </c>
      <c r="C565" t="inlineStr">
        <is>
          <t>21%</t>
        </is>
      </c>
      <c r="D565" t="n">
        <v>14800</v>
      </c>
      <c r="E565" t="n">
        <v>18700</v>
      </c>
      <c r="F565" t="n">
        <v>14800</v>
      </c>
      <c r="G565" t="n">
        <v>18700</v>
      </c>
      <c r="H565" t="n">
        <v>14800</v>
      </c>
      <c r="I565" t="n">
        <v>18700</v>
      </c>
      <c r="J565" t="b">
        <v>1</v>
      </c>
      <c r="K565" t="inlineStr">
        <is>
          <t>Unilever Indonesia Official Shop</t>
        </is>
      </c>
      <c r="L565" t="inlineStr">
        <is>
          <t>KOTA SEMARANG</t>
        </is>
      </c>
      <c r="M565" t="n">
        <v>2497134222</v>
      </c>
      <c r="N565" t="n">
        <v>14318452</v>
      </c>
      <c r="O565">
        <f>HYPERLINK("https://shopee.co.id/api/v4/item/get?itemid=2497134222&amp;shopid=14318452", "Citra Glow Recipe Sheet Mask / Masker Wajah Sakura + Aloe Vera 25 gr")</f>
        <v/>
      </c>
      <c r="P565" t="n">
        <v>83</v>
      </c>
      <c r="Q565" t="n">
        <v>432</v>
      </c>
      <c r="R565" t="n">
        <v>4.905550146056475</v>
      </c>
      <c r="S565" t="n">
        <v>16</v>
      </c>
      <c r="T565" t="n">
        <v>7</v>
      </c>
      <c r="U565" t="n">
        <v>29</v>
      </c>
      <c r="V565" t="n">
        <v>248</v>
      </c>
      <c r="W565" t="n">
        <v>3809</v>
      </c>
    </row>
    <row r="566">
      <c r="A566" t="inlineStr">
        <is>
          <t>Citra Volcanic Clay Body Wash 400 ml</t>
        </is>
      </c>
      <c r="B566" t="inlineStr">
        <is>
          <t>Citra</t>
        </is>
      </c>
      <c r="C566" t="inlineStr">
        <is>
          <t>21%</t>
        </is>
      </c>
      <c r="D566" t="n">
        <v>32300</v>
      </c>
      <c r="E566" t="n">
        <v>40700</v>
      </c>
      <c r="F566" t="n">
        <v>32300</v>
      </c>
      <c r="G566" t="n">
        <v>40700</v>
      </c>
      <c r="H566" t="n">
        <v>32300</v>
      </c>
      <c r="I566" t="n">
        <v>40700</v>
      </c>
      <c r="J566" t="b">
        <v>1</v>
      </c>
      <c r="K566" t="inlineStr">
        <is>
          <t>Unilever Indonesia Official Shop</t>
        </is>
      </c>
      <c r="L566" t="inlineStr">
        <is>
          <t>KOTA SEMARANG</t>
        </is>
      </c>
      <c r="M566" t="n">
        <v>7679571193</v>
      </c>
      <c r="N566" t="n">
        <v>14318452</v>
      </c>
      <c r="O566">
        <f>HYPERLINK("https://shopee.co.id/api/v4/item/get?itemid=7679571193&amp;shopid=14318452", "Citra Volcanic Clay Body Wash 400 ml")</f>
        <v/>
      </c>
      <c r="P566" t="n">
        <v>41</v>
      </c>
      <c r="Q566" t="n">
        <v>205</v>
      </c>
      <c r="R566" t="n">
        <v>4.926244622003688</v>
      </c>
      <c r="S566" t="n">
        <v>3</v>
      </c>
      <c r="T566" t="n">
        <v>2</v>
      </c>
      <c r="U566" t="n">
        <v>10</v>
      </c>
      <c r="V566" t="n">
        <v>85</v>
      </c>
      <c r="W566" t="n">
        <v>1528</v>
      </c>
    </row>
    <row r="567">
      <c r="A567" t="inlineStr">
        <is>
          <t>Pepsodent Action 123 Nature Essentials Siwak Pasta Gigi Halal 150+25G Twinpack</t>
        </is>
      </c>
      <c r="B567" t="inlineStr">
        <is>
          <t>Pepsodent Action 123</t>
        </is>
      </c>
      <c r="C567" t="inlineStr">
        <is>
          <t>21%</t>
        </is>
      </c>
      <c r="D567" t="n">
        <v>26800</v>
      </c>
      <c r="E567" t="n">
        <v>34000</v>
      </c>
      <c r="F567" t="n">
        <v>26800</v>
      </c>
      <c r="G567" t="n">
        <v>34000</v>
      </c>
      <c r="H567" t="n">
        <v>26800</v>
      </c>
      <c r="I567" t="n">
        <v>34000</v>
      </c>
      <c r="J567" t="b">
        <v>1</v>
      </c>
      <c r="K567" t="inlineStr">
        <is>
          <t>Unilever Indonesia Official Shop</t>
        </is>
      </c>
      <c r="L567" t="inlineStr">
        <is>
          <t>KOTA SEMARANG</t>
        </is>
      </c>
      <c r="M567" t="n">
        <v>5232147694</v>
      </c>
      <c r="N567" t="n">
        <v>14318452</v>
      </c>
      <c r="O567">
        <f>HYPERLINK("https://shopee.co.id/api/v4/item/get?itemid=5232147694&amp;shopid=14318452", "Pepsodent Action 123 Nature Essentials Siwak Pasta Gigi Halal 150+25G Twinpack")</f>
        <v/>
      </c>
      <c r="P567" t="n">
        <v>339</v>
      </c>
      <c r="Q567" t="n">
        <v>272</v>
      </c>
      <c r="R567" t="n">
        <v>4.9204329873898</v>
      </c>
      <c r="S567" t="n">
        <v>32</v>
      </c>
      <c r="T567" t="n">
        <v>15</v>
      </c>
      <c r="U567" t="n">
        <v>69</v>
      </c>
      <c r="V567" t="n">
        <v>409</v>
      </c>
      <c r="W567" t="n">
        <v>8438</v>
      </c>
    </row>
    <row r="568">
      <c r="A568" t="inlineStr">
        <is>
          <t>Rinso Molto Detergen Cair Japanese Peach 700ml Twinpack</t>
        </is>
      </c>
      <c r="B568" t="inlineStr">
        <is>
          <t>Rinso</t>
        </is>
      </c>
      <c r="C568" t="inlineStr">
        <is>
          <t>30%</t>
        </is>
      </c>
      <c r="D568" t="n">
        <v>42100</v>
      </c>
      <c r="E568" t="n">
        <v>60000</v>
      </c>
      <c r="F568" t="n">
        <v>42100</v>
      </c>
      <c r="G568" t="n">
        <v>60000</v>
      </c>
      <c r="H568" t="n">
        <v>42100</v>
      </c>
      <c r="I568" t="n">
        <v>60000</v>
      </c>
      <c r="J568" t="b">
        <v>1</v>
      </c>
      <c r="K568" t="inlineStr">
        <is>
          <t>Unilever Indonesia Official Shop</t>
        </is>
      </c>
      <c r="L568" t="inlineStr">
        <is>
          <t>KOTA BEKASI</t>
        </is>
      </c>
      <c r="M568" t="n">
        <v>6231148886</v>
      </c>
      <c r="N568" t="n">
        <v>14318452</v>
      </c>
      <c r="O568">
        <f>HYPERLINK("https://shopee.co.id/api/v4/item/get?itemid=6231148886&amp;shopid=14318452", "Rinso Molto Detergen Cair Japanese Peach 700ml Twinpack")</f>
        <v/>
      </c>
      <c r="P568" t="n">
        <v>370</v>
      </c>
      <c r="Q568" t="n">
        <v>350</v>
      </c>
      <c r="R568" t="n">
        <v>4.950675463399309</v>
      </c>
      <c r="S568" t="n">
        <v>9</v>
      </c>
      <c r="T568" t="n">
        <v>4</v>
      </c>
      <c r="U568" t="n">
        <v>7</v>
      </c>
      <c r="V568" t="n">
        <v>98</v>
      </c>
      <c r="W568" t="n">
        <v>3066</v>
      </c>
    </row>
    <row r="569">
      <c r="A569" t="inlineStr">
        <is>
          <t>Lifebuoy Body Wash Refill Antibacterial Mild Care 400ml Twin Pack</t>
        </is>
      </c>
      <c r="B569" t="inlineStr">
        <is>
          <t>Lifebuoy</t>
        </is>
      </c>
      <c r="C569" t="inlineStr">
        <is>
          <t>28%</t>
        </is>
      </c>
      <c r="D569" t="n">
        <v>45000</v>
      </c>
      <c r="E569" t="n">
        <v>62700</v>
      </c>
      <c r="F569" t="n">
        <v>45000</v>
      </c>
      <c r="G569" t="n">
        <v>62700</v>
      </c>
      <c r="H569" t="n">
        <v>45000</v>
      </c>
      <c r="I569" t="n">
        <v>62700</v>
      </c>
      <c r="J569" t="b">
        <v>1</v>
      </c>
      <c r="K569" t="inlineStr">
        <is>
          <t>Unilever Indonesia Official Shop</t>
        </is>
      </c>
      <c r="L569" t="inlineStr">
        <is>
          <t>KOTA BEKASI</t>
        </is>
      </c>
      <c r="M569" t="n">
        <v>6131371281</v>
      </c>
      <c r="N569" t="n">
        <v>14318452</v>
      </c>
      <c r="O569">
        <f>HYPERLINK("https://shopee.co.id/api/v4/item/get?itemid=6131371281&amp;shopid=14318452", "Lifebuoy Body Wash Refill Antibacterial Mild Care 400ml Twin Pack")</f>
        <v/>
      </c>
      <c r="P569" t="n">
        <v>132</v>
      </c>
      <c r="Q569" t="n">
        <v>8</v>
      </c>
      <c r="R569" t="n">
        <v>4.874704491725768</v>
      </c>
      <c r="S569" t="n">
        <v>15</v>
      </c>
      <c r="T569" t="n">
        <v>8</v>
      </c>
      <c r="U569" t="n">
        <v>35</v>
      </c>
      <c r="V569" t="n">
        <v>111</v>
      </c>
      <c r="W569" t="n">
        <v>1946</v>
      </c>
    </row>
    <row r="570">
      <c r="A570" t="inlineStr">
        <is>
          <t>Sunsilk Hijab Shampo Anti Ketombe &amp; Menthol Dingin 300Ml Rambut Segar &amp; Harum 48 Jam</t>
        </is>
      </c>
      <c r="B570" t="inlineStr">
        <is>
          <t>Sunsilk</t>
        </is>
      </c>
      <c r="C570" t="inlineStr">
        <is>
          <t>13%</t>
        </is>
      </c>
      <c r="D570" t="n">
        <v>45200</v>
      </c>
      <c r="E570" t="n">
        <v>51900</v>
      </c>
      <c r="F570" t="n">
        <v>45200</v>
      </c>
      <c r="G570" t="n">
        <v>51900</v>
      </c>
      <c r="H570" t="n">
        <v>45200</v>
      </c>
      <c r="I570" t="n">
        <v>51900</v>
      </c>
      <c r="J570" t="b">
        <v>1</v>
      </c>
      <c r="K570" t="inlineStr">
        <is>
          <t>Unilever Indonesia Official Shop</t>
        </is>
      </c>
      <c r="L570" t="inlineStr">
        <is>
          <t>KOTA BEKASI</t>
        </is>
      </c>
      <c r="M570" t="n">
        <v>986457785</v>
      </c>
      <c r="N570" t="n">
        <v>14318452</v>
      </c>
      <c r="O570">
        <f>HYPERLINK("https://shopee.co.id/api/v4/item/get?itemid=986457785&amp;shopid=14318452", "Sunsilk Hijab Shampo Anti Ketombe &amp; Menthol Dingin 300Ml Rambut Segar &amp; Harum 48 Jam")</f>
        <v/>
      </c>
      <c r="P570" t="n">
        <v>253</v>
      </c>
      <c r="Q570" t="n">
        <v>449</v>
      </c>
      <c r="R570" t="n">
        <v>4.933597450693308</v>
      </c>
      <c r="S570" t="n">
        <v>23</v>
      </c>
      <c r="T570" t="n">
        <v>12</v>
      </c>
      <c r="U570" t="n">
        <v>68</v>
      </c>
      <c r="V570" t="n">
        <v>510</v>
      </c>
      <c r="W570" t="n">
        <v>11012</v>
      </c>
    </row>
    <row r="571">
      <c r="A571" t="inlineStr">
        <is>
          <t>Buavita Jus Buah Asli Jambu 1000 Ml - Jus Jambu, Guava Juice, Mengandung Vitamin C</t>
        </is>
      </c>
      <c r="B571" t="inlineStr">
        <is>
          <t>Buavita</t>
        </is>
      </c>
      <c r="C571" t="inlineStr">
        <is>
          <t>28%</t>
        </is>
      </c>
      <c r="D571" t="n">
        <v>19500</v>
      </c>
      <c r="E571" t="n">
        <v>27200</v>
      </c>
      <c r="F571" t="n">
        <v>19500</v>
      </c>
      <c r="G571" t="n">
        <v>27200</v>
      </c>
      <c r="H571" t="n">
        <v>19500</v>
      </c>
      <c r="I571" t="n">
        <v>27200</v>
      </c>
      <c r="J571" t="b">
        <v>1</v>
      </c>
      <c r="K571" t="inlineStr">
        <is>
          <t>Unilever Indonesia Official Shop</t>
        </is>
      </c>
      <c r="L571" t="inlineStr">
        <is>
          <t>KOTA SURABAYA</t>
        </is>
      </c>
      <c r="M571" t="n">
        <v>1438264703</v>
      </c>
      <c r="N571" t="n">
        <v>14318452</v>
      </c>
      <c r="O571">
        <f>HYPERLINK("https://shopee.co.id/api/v4/item/get?itemid=1438264703&amp;shopid=14318452", "Buavita Jus Buah Asli Jambu 1000 Ml - Jus Jambu, Guava Juice, Mengandung Vitamin C")</f>
        <v/>
      </c>
      <c r="P571" t="n">
        <v>424</v>
      </c>
      <c r="Q571" t="n">
        <v>148</v>
      </c>
      <c r="R571" t="n">
        <v>4.846885113268608</v>
      </c>
      <c r="S571" t="n">
        <v>55</v>
      </c>
      <c r="T571" t="n">
        <v>24</v>
      </c>
      <c r="U571" t="n">
        <v>63</v>
      </c>
      <c r="V571" t="n">
        <v>347</v>
      </c>
      <c r="W571" t="n">
        <v>4464</v>
      </c>
    </row>
    <row r="572">
      <c r="A572" t="inlineStr">
        <is>
          <t>Buy 2 Closeup Green 160g FREE Dove Supercondi Damage Treatment</t>
        </is>
      </c>
      <c r="B572" t="inlineStr"/>
      <c r="C572" t="inlineStr">
        <is>
          <t>8%</t>
        </is>
      </c>
      <c r="D572" t="n">
        <v>36300</v>
      </c>
      <c r="E572" t="n">
        <v>39300</v>
      </c>
      <c r="F572" t="n">
        <v>36300</v>
      </c>
      <c r="G572" t="n">
        <v>39300</v>
      </c>
      <c r="H572" t="n">
        <v>36300</v>
      </c>
      <c r="I572" t="n">
        <v>39300</v>
      </c>
      <c r="J572" t="b">
        <v>0</v>
      </c>
      <c r="K572" t="inlineStr">
        <is>
          <t>Unilever Indonesia Official Shop</t>
        </is>
      </c>
      <c r="L572" t="inlineStr">
        <is>
          <t>KOTA BEKASI</t>
        </is>
      </c>
      <c r="M572" t="n">
        <v>13551584863</v>
      </c>
      <c r="N572" t="n">
        <v>14318452</v>
      </c>
      <c r="O572">
        <f>HYPERLINK("https://shopee.co.id/api/v4/item/get?itemid=13551584863&amp;shopid=14318452", "Buy 2 Closeup Green 160g FREE Dove Supercondi Damage Treatment")</f>
        <v/>
      </c>
      <c r="P572" t="n">
        <v>169</v>
      </c>
      <c r="Q572" t="n">
        <v>731</v>
      </c>
      <c r="R572" t="n">
        <v>4.928074245939675</v>
      </c>
      <c r="S572" t="n">
        <v>2</v>
      </c>
      <c r="T572" t="n">
        <v>0</v>
      </c>
      <c r="U572" t="n">
        <v>0</v>
      </c>
      <c r="V572" t="n">
        <v>23</v>
      </c>
      <c r="W572" t="n">
        <v>406</v>
      </c>
    </row>
    <row r="573">
      <c r="A573" t="inlineStr">
        <is>
          <t>Lux Botanicals Body Wash Refill Sakura Bloom Kulit Glowing 400ml Twin Pack</t>
        </is>
      </c>
      <c r="B573" t="inlineStr">
        <is>
          <t>LUX</t>
        </is>
      </c>
      <c r="C573" t="inlineStr">
        <is>
          <t>27%</t>
        </is>
      </c>
      <c r="D573" t="n">
        <v>45000</v>
      </c>
      <c r="E573" t="n">
        <v>61800</v>
      </c>
      <c r="F573" t="n">
        <v>45000</v>
      </c>
      <c r="G573" t="n">
        <v>61800</v>
      </c>
      <c r="H573" t="n">
        <v>45000</v>
      </c>
      <c r="I573" t="n">
        <v>61800</v>
      </c>
      <c r="J573" t="b">
        <v>1</v>
      </c>
      <c r="K573" t="inlineStr">
        <is>
          <t>Unilever Indonesia Official Shop</t>
        </is>
      </c>
      <c r="L573" t="inlineStr">
        <is>
          <t>KOTA SURABAYA</t>
        </is>
      </c>
      <c r="M573" t="n">
        <v>7031360871</v>
      </c>
      <c r="N573" t="n">
        <v>14318452</v>
      </c>
      <c r="O573">
        <f>HYPERLINK("https://shopee.co.id/api/v4/item/get?itemid=7031360871&amp;shopid=14318452", "Lux Botanicals Body Wash Refill Sakura Bloom Kulit Glowing 400ml Twin Pack")</f>
        <v/>
      </c>
      <c r="P573" t="n">
        <v>169</v>
      </c>
      <c r="Q573" t="n">
        <v>7</v>
      </c>
      <c r="R573" t="n">
        <v>4.9</v>
      </c>
      <c r="S573" t="n">
        <v>15</v>
      </c>
      <c r="T573" t="n">
        <v>11</v>
      </c>
      <c r="U573" t="n">
        <v>14</v>
      </c>
      <c r="V573" t="n">
        <v>79</v>
      </c>
      <c r="W573" t="n">
        <v>1852</v>
      </c>
    </row>
    <row r="574">
      <c r="A574" t="inlineStr">
        <is>
          <t>Lifebuoy Body Wash Refill Matcha Green Tea 450ml Twin Pack</t>
        </is>
      </c>
      <c r="B574" t="inlineStr">
        <is>
          <t>Lifebuoy</t>
        </is>
      </c>
      <c r="C574" t="inlineStr">
        <is>
          <t>32%</t>
        </is>
      </c>
      <c r="D574" t="n">
        <v>47100</v>
      </c>
      <c r="E574" t="n">
        <v>69000</v>
      </c>
      <c r="F574" t="n">
        <v>47100</v>
      </c>
      <c r="G574" t="n">
        <v>69000</v>
      </c>
      <c r="H574" t="n">
        <v>47100</v>
      </c>
      <c r="I574" t="n">
        <v>69000</v>
      </c>
      <c r="J574" t="b">
        <v>1</v>
      </c>
      <c r="K574" t="inlineStr">
        <is>
          <t>Unilever Indonesia Official Shop</t>
        </is>
      </c>
      <c r="L574" t="inlineStr">
        <is>
          <t>KOTA SEMARANG</t>
        </is>
      </c>
      <c r="M574" t="n">
        <v>7631331142</v>
      </c>
      <c r="N574" t="n">
        <v>14318452</v>
      </c>
      <c r="O574">
        <f>HYPERLINK("https://shopee.co.id/api/v4/item/get?itemid=7631331142&amp;shopid=14318452", "Lifebuoy Body Wash Refill Matcha Green Tea 450ml Twin Pack")</f>
        <v/>
      </c>
      <c r="P574" t="n">
        <v>63</v>
      </c>
      <c r="Q574" t="n">
        <v>9</v>
      </c>
      <c r="R574" t="n">
        <v>4.947124917382683</v>
      </c>
      <c r="S574" t="n">
        <v>2</v>
      </c>
      <c r="T574" t="n">
        <v>2</v>
      </c>
      <c r="U574" t="n">
        <v>6</v>
      </c>
      <c r="V574" t="n">
        <v>57</v>
      </c>
      <c r="W574" t="n">
        <v>1447</v>
      </c>
    </row>
    <row r="575">
      <c r="A575" t="inlineStr">
        <is>
          <t>Lifebuoy Sabun Cair Total 10 Refill 400 ml Twin Pack</t>
        </is>
      </c>
      <c r="B575" t="inlineStr">
        <is>
          <t>Lifebuoy</t>
        </is>
      </c>
      <c r="C575" t="inlineStr">
        <is>
          <t>28%</t>
        </is>
      </c>
      <c r="D575" t="n">
        <v>45000</v>
      </c>
      <c r="E575" t="n">
        <v>62800</v>
      </c>
      <c r="F575" t="n">
        <v>45000</v>
      </c>
      <c r="G575" t="n">
        <v>62800</v>
      </c>
      <c r="H575" t="n">
        <v>45000</v>
      </c>
      <c r="I575" t="n">
        <v>62800</v>
      </c>
      <c r="J575" t="b">
        <v>1</v>
      </c>
      <c r="K575" t="inlineStr">
        <is>
          <t>Unilever Indonesia Official Shop</t>
        </is>
      </c>
      <c r="L575" t="inlineStr">
        <is>
          <t>KOTA BEKASI</t>
        </is>
      </c>
      <c r="M575" t="n">
        <v>4531334009</v>
      </c>
      <c r="N575" t="n">
        <v>14318452</v>
      </c>
      <c r="O575">
        <f>HYPERLINK("https://shopee.co.id/api/v4/item/get?itemid=4531334009&amp;shopid=14318452", "Lifebuoy Sabun Cair Total 10 Refill 400 ml Twin Pack")</f>
        <v/>
      </c>
      <c r="P575" t="n">
        <v>122</v>
      </c>
      <c r="Q575" t="n">
        <v>9</v>
      </c>
      <c r="R575" t="n">
        <v>4.888979259861732</v>
      </c>
      <c r="S575" t="n">
        <v>18</v>
      </c>
      <c r="T575" t="n">
        <v>17</v>
      </c>
      <c r="U575" t="n">
        <v>23</v>
      </c>
      <c r="V575" t="n">
        <v>112</v>
      </c>
      <c r="W575" t="n">
        <v>2291</v>
      </c>
    </row>
    <row r="576">
      <c r="A576" t="inlineStr">
        <is>
          <t>Dove Shampo Perawatan Rambut Rusak Sampo 290 ML</t>
        </is>
      </c>
      <c r="B576" t="inlineStr">
        <is>
          <t>Dove</t>
        </is>
      </c>
      <c r="C576" t="inlineStr">
        <is>
          <t>3%</t>
        </is>
      </c>
      <c r="D576" t="n">
        <v>56600</v>
      </c>
      <c r="E576" t="n">
        <v>58100</v>
      </c>
      <c r="F576" t="n">
        <v>56600</v>
      </c>
      <c r="G576" t="n">
        <v>58100</v>
      </c>
      <c r="H576" t="n">
        <v>56600</v>
      </c>
      <c r="I576" t="n">
        <v>58100</v>
      </c>
      <c r="J576" t="b">
        <v>1</v>
      </c>
      <c r="K576" t="inlineStr">
        <is>
          <t>Unilever Indonesia Official Shop</t>
        </is>
      </c>
      <c r="L576" t="inlineStr">
        <is>
          <t>KOTA BEKASI</t>
        </is>
      </c>
      <c r="M576" t="n">
        <v>126978020</v>
      </c>
      <c r="N576" t="n">
        <v>14318452</v>
      </c>
      <c r="O576">
        <f>HYPERLINK("https://shopee.co.id/api/v4/item/get?itemid=126978020&amp;shopid=14318452", "Dove Shampo Perawatan Rambut Rusak Sampo 290 ML")</f>
        <v/>
      </c>
      <c r="P576" t="n">
        <v>80</v>
      </c>
      <c r="Q576" t="n">
        <v>450</v>
      </c>
      <c r="R576" t="n">
        <v>4.918222222222222</v>
      </c>
      <c r="S576" t="n">
        <v>22</v>
      </c>
      <c r="T576" t="n">
        <v>6</v>
      </c>
      <c r="U576" t="n">
        <v>38</v>
      </c>
      <c r="V576" t="n">
        <v>193</v>
      </c>
      <c r="W576" t="n">
        <v>4243</v>
      </c>
    </row>
    <row r="577">
      <c r="A577" t="inlineStr">
        <is>
          <t>Bango Kecap Manis 275ml</t>
        </is>
      </c>
      <c r="B577" t="inlineStr">
        <is>
          <t>None</t>
        </is>
      </c>
      <c r="C577" t="inlineStr">
        <is>
          <t>18%</t>
        </is>
      </c>
      <c r="D577" t="n">
        <v>19200</v>
      </c>
      <c r="E577" t="n">
        <v>23300</v>
      </c>
      <c r="F577" t="n">
        <v>19200</v>
      </c>
      <c r="G577" t="n">
        <v>23300</v>
      </c>
      <c r="H577" t="n">
        <v>19200</v>
      </c>
      <c r="I577" t="n">
        <v>23300</v>
      </c>
      <c r="J577" t="b">
        <v>1</v>
      </c>
      <c r="K577" t="inlineStr">
        <is>
          <t>Unilever Indonesia Official Shop</t>
        </is>
      </c>
      <c r="L577" t="inlineStr">
        <is>
          <t>KOTA BEKASI</t>
        </is>
      </c>
      <c r="M577" t="n">
        <v>7832161962</v>
      </c>
      <c r="N577" t="n">
        <v>14318452</v>
      </c>
      <c r="O577">
        <f>HYPERLINK("https://shopee.co.id/api/v4/item/get?itemid=7832161962&amp;shopid=14318452", "Bango Kecap Manis 275ml")</f>
        <v/>
      </c>
      <c r="P577" t="n">
        <v>912</v>
      </c>
      <c r="Q577" t="n">
        <v>159</v>
      </c>
      <c r="R577" t="n">
        <v>4.941557856821252</v>
      </c>
      <c r="S577" t="n">
        <v>24</v>
      </c>
      <c r="T577" t="n">
        <v>14</v>
      </c>
      <c r="U577" t="n">
        <v>48</v>
      </c>
      <c r="V577" t="n">
        <v>429</v>
      </c>
      <c r="W577" t="n">
        <v>10594</v>
      </c>
    </row>
    <row r="578">
      <c r="A578" t="inlineStr">
        <is>
          <t>Lux Blue Peony Sabun Cair Refill 450ml Multi Pack</t>
        </is>
      </c>
      <c r="B578" t="inlineStr">
        <is>
          <t>0</t>
        </is>
      </c>
      <c r="C578" t="inlineStr">
        <is>
          <t>28%</t>
        </is>
      </c>
      <c r="D578" t="n">
        <v>67500</v>
      </c>
      <c r="E578" t="n">
        <v>94200</v>
      </c>
      <c r="F578" t="n">
        <v>67500</v>
      </c>
      <c r="G578" t="n">
        <v>94200</v>
      </c>
      <c r="H578" t="n">
        <v>67500</v>
      </c>
      <c r="I578" t="n">
        <v>94200</v>
      </c>
      <c r="J578" t="b">
        <v>1</v>
      </c>
      <c r="K578" t="inlineStr">
        <is>
          <t>Unilever Indonesia Official Shop</t>
        </is>
      </c>
      <c r="L578" t="inlineStr">
        <is>
          <t>KOTA BEKASI</t>
        </is>
      </c>
      <c r="M578" t="n">
        <v>4831698820</v>
      </c>
      <c r="N578" t="n">
        <v>14318452</v>
      </c>
      <c r="O578">
        <f>HYPERLINK("https://shopee.co.id/api/v4/item/get?itemid=4831698820&amp;shopid=14318452", "Lux Blue Peony Sabun Cair Refill 450ml Multi Pack")</f>
        <v/>
      </c>
      <c r="P578" t="n">
        <v>59</v>
      </c>
      <c r="Q578" t="n">
        <v>8</v>
      </c>
      <c r="R578" t="n">
        <v>4.926987060998152</v>
      </c>
      <c r="S578" t="n">
        <v>3</v>
      </c>
      <c r="T578" t="n">
        <v>1</v>
      </c>
      <c r="U578" t="n">
        <v>8</v>
      </c>
      <c r="V578" t="n">
        <v>48</v>
      </c>
      <c r="W578" t="n">
        <v>1022</v>
      </c>
    </row>
    <row r="579">
      <c r="A579" t="inlineStr">
        <is>
          <t>Rexona Women Anti Perspirant Invisible Dry Deodorant Roll On 45 ml Twin Pack</t>
        </is>
      </c>
      <c r="B579" t="inlineStr">
        <is>
          <t>0</t>
        </is>
      </c>
      <c r="C579" t="inlineStr">
        <is>
          <t>1%</t>
        </is>
      </c>
      <c r="D579" t="n">
        <v>38800</v>
      </c>
      <c r="E579" t="n">
        <v>39100</v>
      </c>
      <c r="F579" t="n">
        <v>38800</v>
      </c>
      <c r="G579" t="n">
        <v>39100</v>
      </c>
      <c r="H579" t="n">
        <v>38800</v>
      </c>
      <c r="I579" t="n">
        <v>39100</v>
      </c>
      <c r="J579" t="b">
        <v>1</v>
      </c>
      <c r="K579" t="inlineStr">
        <is>
          <t>Unilever Indonesia Official Shop</t>
        </is>
      </c>
      <c r="L579" t="inlineStr">
        <is>
          <t>KOTA BEKASI</t>
        </is>
      </c>
      <c r="M579" t="n">
        <v>7731729249</v>
      </c>
      <c r="N579" t="n">
        <v>14318452</v>
      </c>
      <c r="O579">
        <f>HYPERLINK("https://shopee.co.id/api/v4/item/get?itemid=7731729249&amp;shopid=14318452", "Rexona Women Anti Perspirant Invisible Dry Deodorant Roll On 45 ml Twin Pack")</f>
        <v/>
      </c>
      <c r="P579" t="n">
        <v>413</v>
      </c>
      <c r="Q579" t="n">
        <v>886</v>
      </c>
      <c r="R579" t="n">
        <v>4.921888266259127</v>
      </c>
      <c r="S579" t="n">
        <v>16</v>
      </c>
      <c r="T579" t="n">
        <v>11</v>
      </c>
      <c r="U579" t="n">
        <v>42</v>
      </c>
      <c r="V579" t="n">
        <v>286</v>
      </c>
      <c r="W579" t="n">
        <v>5536</v>
      </c>
    </row>
    <row r="580">
      <c r="A580" t="inlineStr">
        <is>
          <t>Royco Cream of Chicken 58 gr + Royco Sup Krim Jagung 50 gr</t>
        </is>
      </c>
      <c r="B580" t="inlineStr"/>
      <c r="C580" t="inlineStr">
        <is>
          <t>10%</t>
        </is>
      </c>
      <c r="D580" t="n">
        <v>16400</v>
      </c>
      <c r="E580" t="n">
        <v>18300</v>
      </c>
      <c r="F580" t="n">
        <v>16400</v>
      </c>
      <c r="G580" t="n">
        <v>18300</v>
      </c>
      <c r="H580" t="n">
        <v>16400</v>
      </c>
      <c r="I580" t="n">
        <v>18300</v>
      </c>
      <c r="J580" t="b">
        <v>1</v>
      </c>
      <c r="K580" t="inlineStr">
        <is>
          <t>Unilever Indonesia Official Shop</t>
        </is>
      </c>
      <c r="L580" t="inlineStr">
        <is>
          <t>KOTA BEKASI</t>
        </is>
      </c>
      <c r="M580" t="n">
        <v>4849873256</v>
      </c>
      <c r="N580" t="n">
        <v>14318452</v>
      </c>
      <c r="O580">
        <f>HYPERLINK("https://shopee.co.id/api/v4/item/get?itemid=4849873256&amp;shopid=14318452", "Royco Cream of Chicken 58 gr + Royco Sup Krim Jagung 50 gr")</f>
        <v/>
      </c>
      <c r="P580" t="n">
        <v>130</v>
      </c>
      <c r="Q580" t="n">
        <v>295</v>
      </c>
      <c r="R580" t="n">
        <v>4.941176470588236</v>
      </c>
      <c r="S580" t="n">
        <v>2</v>
      </c>
      <c r="T580" t="n">
        <v>2</v>
      </c>
      <c r="U580" t="n">
        <v>14</v>
      </c>
      <c r="V580" t="n">
        <v>58</v>
      </c>
      <c r="W580" t="n">
        <v>1624</v>
      </c>
    </row>
    <row r="581">
      <c r="A581" t="inlineStr">
        <is>
          <t>Sunsilk Hijab Shampoo Anti Ketombe &amp; Tidak Lepek 160ML dengan Pomegranate, Ginger, &amp; Mint</t>
        </is>
      </c>
      <c r="B581" t="inlineStr"/>
      <c r="C581" t="inlineStr">
        <is>
          <t>9%</t>
        </is>
      </c>
      <c r="D581" t="n">
        <v>26700</v>
      </c>
      <c r="E581" t="n">
        <v>29200</v>
      </c>
      <c r="F581" t="n">
        <v>26700</v>
      </c>
      <c r="G581" t="n">
        <v>29200</v>
      </c>
      <c r="H581" t="n">
        <v>26700</v>
      </c>
      <c r="I581" t="n">
        <v>29200</v>
      </c>
      <c r="J581" t="b">
        <v>1</v>
      </c>
      <c r="K581" t="inlineStr">
        <is>
          <t>Unilever Indonesia Official Shop</t>
        </is>
      </c>
      <c r="L581" t="inlineStr">
        <is>
          <t>KOTA BEKASI</t>
        </is>
      </c>
      <c r="M581" t="n">
        <v>4131998478</v>
      </c>
      <c r="N581" t="n">
        <v>14318452</v>
      </c>
      <c r="O581">
        <f>HYPERLINK("https://shopee.co.id/api/v4/item/get?itemid=4131998478&amp;shopid=14318452", "Sunsilk Hijab Shampoo Anti Ketombe &amp; Tidak Lepek 160ML dengan Pomegranate, Ginger, &amp; Mint")</f>
        <v/>
      </c>
      <c r="P581" t="n">
        <v>203</v>
      </c>
      <c r="Q581" t="n">
        <v>377</v>
      </c>
      <c r="R581" t="n">
        <v>4.924433249370277</v>
      </c>
      <c r="S581" t="n">
        <v>8</v>
      </c>
      <c r="T581" t="n">
        <v>2</v>
      </c>
      <c r="U581" t="n">
        <v>17</v>
      </c>
      <c r="V581" t="n">
        <v>108</v>
      </c>
      <c r="W581" t="n">
        <v>2247</v>
      </c>
    </row>
    <row r="582">
      <c r="A582" t="inlineStr">
        <is>
          <t>Vaseline Blueberry Body Yogurt With Prebiotics 200ml + Strwaberry Body Yogurt With Prebiotics 200ml</t>
        </is>
      </c>
      <c r="B582" t="inlineStr">
        <is>
          <t>Vaseline</t>
        </is>
      </c>
      <c r="C582" t="inlineStr">
        <is>
          <t>14%</t>
        </is>
      </c>
      <c r="D582" t="n">
        <v>57400</v>
      </c>
      <c r="E582" t="n">
        <v>66600</v>
      </c>
      <c r="F582" t="n">
        <v>57400</v>
      </c>
      <c r="G582" t="n">
        <v>66600</v>
      </c>
      <c r="H582" t="n">
        <v>57400</v>
      </c>
      <c r="I582" t="n">
        <v>66600</v>
      </c>
      <c r="J582" t="b">
        <v>1</v>
      </c>
      <c r="K582" t="inlineStr">
        <is>
          <t>Unilever Indonesia Official Shop</t>
        </is>
      </c>
      <c r="L582" t="inlineStr">
        <is>
          <t>KAB. BANYUASIN</t>
        </is>
      </c>
      <c r="M582" t="n">
        <v>6762126089</v>
      </c>
      <c r="N582" t="n">
        <v>14318452</v>
      </c>
      <c r="O582">
        <f>HYPERLINK("https://shopee.co.id/api/v4/item/get?itemid=6762126089&amp;shopid=14318452", "Vaseline Blueberry Body Yogurt With Prebiotics 200ml + Strwaberry Body Yogurt With Prebiotics 200ml")</f>
        <v/>
      </c>
      <c r="P582" t="n">
        <v>50</v>
      </c>
      <c r="Q582" t="n">
        <v>144</v>
      </c>
      <c r="R582" t="n">
        <v>4.943201376936317</v>
      </c>
      <c r="S582" t="n">
        <v>5</v>
      </c>
      <c r="T582" t="n">
        <v>8</v>
      </c>
      <c r="U582" t="n">
        <v>29</v>
      </c>
      <c r="V582" t="n">
        <v>228</v>
      </c>
      <c r="W582" t="n">
        <v>5540</v>
      </c>
    </row>
    <row r="583">
      <c r="A583" t="inlineStr">
        <is>
          <t>Super Pell Pembersih Lantai Love Blossom Pouch 770 ml</t>
        </is>
      </c>
      <c r="B583" t="inlineStr">
        <is>
          <t>0</t>
        </is>
      </c>
      <c r="C583" t="inlineStr">
        <is>
          <t>17%</t>
        </is>
      </c>
      <c r="D583" t="n">
        <v>13500</v>
      </c>
      <c r="E583" t="n">
        <v>16200</v>
      </c>
      <c r="F583" t="n">
        <v>13500</v>
      </c>
      <c r="G583" t="n">
        <v>16200</v>
      </c>
      <c r="H583" t="n">
        <v>13500</v>
      </c>
      <c r="I583" t="n">
        <v>16200</v>
      </c>
      <c r="J583" t="b">
        <v>1</v>
      </c>
      <c r="K583" t="inlineStr">
        <is>
          <t>Unilever Indonesia Official Shop</t>
        </is>
      </c>
      <c r="L583" t="inlineStr">
        <is>
          <t>KAB. BANYUASIN</t>
        </is>
      </c>
      <c r="M583" t="n">
        <v>1862500442</v>
      </c>
      <c r="N583" t="n">
        <v>14318452</v>
      </c>
      <c r="O583">
        <f>HYPERLINK("https://shopee.co.id/api/v4/item/get?itemid=1862500442&amp;shopid=14318452", "Super Pell Pembersih Lantai Love Blossom Pouch 770 ml")</f>
        <v/>
      </c>
      <c r="P583" t="n">
        <v>170</v>
      </c>
      <c r="Q583" t="n">
        <v>7</v>
      </c>
      <c r="R583" t="n">
        <v>4.947683109118087</v>
      </c>
      <c r="S583" t="n">
        <v>0</v>
      </c>
      <c r="T583" t="n">
        <v>0</v>
      </c>
      <c r="U583" t="n">
        <v>6</v>
      </c>
      <c r="V583" t="n">
        <v>58</v>
      </c>
      <c r="W583" t="n">
        <v>1274</v>
      </c>
    </row>
    <row r="584">
      <c r="A584" t="inlineStr">
        <is>
          <t>Jawara Saus Sambal Extra Hot 330 ml</t>
        </is>
      </c>
      <c r="B584" t="inlineStr">
        <is>
          <t>0</t>
        </is>
      </c>
      <c r="C584" t="inlineStr">
        <is>
          <t>16%</t>
        </is>
      </c>
      <c r="D584" t="n">
        <v>18600</v>
      </c>
      <c r="E584" t="n">
        <v>22100</v>
      </c>
      <c r="F584" t="n">
        <v>18600</v>
      </c>
      <c r="G584" t="n">
        <v>22100</v>
      </c>
      <c r="H584" t="n">
        <v>18600</v>
      </c>
      <c r="I584" t="n">
        <v>22100</v>
      </c>
      <c r="J584" t="b">
        <v>1</v>
      </c>
      <c r="K584" t="inlineStr">
        <is>
          <t>Unilever Indonesia Official Shop</t>
        </is>
      </c>
      <c r="L584" t="inlineStr">
        <is>
          <t>KOTA BEKASI</t>
        </is>
      </c>
      <c r="M584" t="n">
        <v>1480865226</v>
      </c>
      <c r="N584" t="n">
        <v>14318452</v>
      </c>
      <c r="O584">
        <f>HYPERLINK("https://shopee.co.id/api/v4/item/get?itemid=1480865226&amp;shopid=14318452", "Jawara Saus Sambal Extra Hot 330 ml")</f>
        <v/>
      </c>
      <c r="P584" t="n">
        <v>230</v>
      </c>
      <c r="Q584" t="n">
        <v>133</v>
      </c>
      <c r="R584" t="n">
        <v>4.919934640522876</v>
      </c>
      <c r="S584" t="n">
        <v>17</v>
      </c>
      <c r="T584" t="n">
        <v>10</v>
      </c>
      <c r="U584" t="n">
        <v>30</v>
      </c>
      <c r="V584" t="n">
        <v>242</v>
      </c>
      <c r="W584" t="n">
        <v>4599</v>
      </c>
    </row>
    <row r="585">
      <c r="A585" t="inlineStr">
        <is>
          <t>Molto Pelembut Dan Pewangi Pakaian Flower Shower 780 Ml</t>
        </is>
      </c>
      <c r="B585" t="inlineStr">
        <is>
          <t>Molto</t>
        </is>
      </c>
      <c r="C585" t="inlineStr">
        <is>
          <t>8%</t>
        </is>
      </c>
      <c r="D585" t="n">
        <v>15200</v>
      </c>
      <c r="E585" t="n">
        <v>16600</v>
      </c>
      <c r="F585" t="n">
        <v>15200</v>
      </c>
      <c r="G585" t="n">
        <v>16600</v>
      </c>
      <c r="H585" t="n">
        <v>15200</v>
      </c>
      <c r="I585" t="n">
        <v>16600</v>
      </c>
      <c r="J585" t="b">
        <v>1</v>
      </c>
      <c r="K585" t="inlineStr">
        <is>
          <t>Unilever Indonesia Official Shop</t>
        </is>
      </c>
      <c r="L585" t="inlineStr">
        <is>
          <t>KOTA BEKASI</t>
        </is>
      </c>
      <c r="M585" t="n">
        <v>1041656662</v>
      </c>
      <c r="N585" t="n">
        <v>14318452</v>
      </c>
      <c r="O585">
        <f>HYPERLINK("https://shopee.co.id/api/v4/item/get?itemid=1041656662&amp;shopid=14318452", "Molto Pelembut Dan Pewangi Pakaian Flower Shower 780 Ml")</f>
        <v/>
      </c>
      <c r="P585" t="n">
        <v>248</v>
      </c>
      <c r="Q585" t="n">
        <v>1254</v>
      </c>
      <c r="R585" t="n">
        <v>4.928304332651942</v>
      </c>
      <c r="S585" t="n">
        <v>37</v>
      </c>
      <c r="T585" t="n">
        <v>23</v>
      </c>
      <c r="U585" t="n">
        <v>146</v>
      </c>
      <c r="V585" t="n">
        <v>932</v>
      </c>
      <c r="W585" t="n">
        <v>18920</v>
      </c>
    </row>
    <row r="586">
      <c r="A586" t="inlineStr">
        <is>
          <t>Lux Sakura Bloom Sabun Cair Refill 400ml (Paket Isi 4)</t>
        </is>
      </c>
      <c r="B586" t="inlineStr">
        <is>
          <t>LUX</t>
        </is>
      </c>
      <c r="C586" t="inlineStr">
        <is>
          <t>27%</t>
        </is>
      </c>
      <c r="D586" t="n">
        <v>89900</v>
      </c>
      <c r="E586" t="n">
        <v>123500</v>
      </c>
      <c r="F586" t="n">
        <v>89900</v>
      </c>
      <c r="G586" t="n">
        <v>123500</v>
      </c>
      <c r="H586" t="n">
        <v>89900</v>
      </c>
      <c r="I586" t="n">
        <v>123500</v>
      </c>
      <c r="J586" t="b">
        <v>1</v>
      </c>
      <c r="K586" t="inlineStr">
        <is>
          <t>Unilever Indonesia Official Shop</t>
        </is>
      </c>
      <c r="L586" t="inlineStr">
        <is>
          <t>KOTA SEMARANG</t>
        </is>
      </c>
      <c r="M586" t="n">
        <v>7031386389</v>
      </c>
      <c r="N586" t="n">
        <v>14318452</v>
      </c>
      <c r="O586">
        <f>HYPERLINK("https://shopee.co.id/api/v4/item/get?itemid=7031386389&amp;shopid=14318452", "Lux Sakura Bloom Sabun Cair Refill 400ml (Paket Isi 4)")</f>
        <v/>
      </c>
      <c r="P586" t="n">
        <v>44</v>
      </c>
      <c r="Q586" t="n">
        <v>10</v>
      </c>
      <c r="R586" t="n">
        <v>4.891990291262136</v>
      </c>
      <c r="S586" t="n">
        <v>8</v>
      </c>
      <c r="T586" t="n">
        <v>4</v>
      </c>
      <c r="U586" t="n">
        <v>7</v>
      </c>
      <c r="V586" t="n">
        <v>31</v>
      </c>
      <c r="W586" t="n">
        <v>774</v>
      </c>
    </row>
    <row r="587">
      <c r="A587" t="inlineStr">
        <is>
          <t>Sunsilk Conditioner Smoothies Rambut Hitam Berkilau Black Shine Activ-Infusion dengan Urang Aring 160 ml</t>
        </is>
      </c>
      <c r="B587" t="inlineStr">
        <is>
          <t>None</t>
        </is>
      </c>
      <c r="C587" t="inlineStr">
        <is>
          <t>11%</t>
        </is>
      </c>
      <c r="D587" t="n">
        <v>28900</v>
      </c>
      <c r="E587" t="n">
        <v>32500</v>
      </c>
      <c r="F587" t="n">
        <v>28900</v>
      </c>
      <c r="G587" t="n">
        <v>32500</v>
      </c>
      <c r="H587" t="n">
        <v>28900</v>
      </c>
      <c r="I587" t="n">
        <v>32500</v>
      </c>
      <c r="J587" t="b">
        <v>1</v>
      </c>
      <c r="K587" t="inlineStr">
        <is>
          <t>Unilever Indonesia Official Shop</t>
        </is>
      </c>
      <c r="L587" t="inlineStr">
        <is>
          <t>KOTA BEKASI</t>
        </is>
      </c>
      <c r="M587" t="n">
        <v>819982657</v>
      </c>
      <c r="N587" t="n">
        <v>14318452</v>
      </c>
      <c r="O587">
        <f>HYPERLINK("https://shopee.co.id/api/v4/item/get?itemid=819982657&amp;shopid=14318452", "Sunsilk Conditioner Smoothies Rambut Hitam Berkilau Black Shine Activ-Infusion dengan Urang Aring 160 ml")</f>
        <v/>
      </c>
      <c r="P587" t="n">
        <v>250</v>
      </c>
      <c r="Q587" t="n">
        <v>354</v>
      </c>
      <c r="R587" t="n">
        <v>4.918553688823959</v>
      </c>
      <c r="S587" t="n">
        <v>6</v>
      </c>
      <c r="T587" t="n">
        <v>6</v>
      </c>
      <c r="U587" t="n">
        <v>20</v>
      </c>
      <c r="V587" t="n">
        <v>141</v>
      </c>
      <c r="W587" t="n">
        <v>2565</v>
      </c>
    </row>
    <row r="588">
      <c r="A588" t="inlineStr">
        <is>
          <t>Rexona Men Deodorant Roll On Antiperspirant Invisible + Antibacterial Perlindungan Antibakteri Dan Noda 45 Ml</t>
        </is>
      </c>
      <c r="B588" t="inlineStr">
        <is>
          <t>0</t>
        </is>
      </c>
      <c r="C588" t="inlineStr">
        <is>
          <t>1%</t>
        </is>
      </c>
      <c r="D588" t="n">
        <v>22100</v>
      </c>
      <c r="E588" t="n">
        <v>22300</v>
      </c>
      <c r="F588" t="n">
        <v>22100</v>
      </c>
      <c r="G588" t="n">
        <v>22300</v>
      </c>
      <c r="H588" t="n">
        <v>22100</v>
      </c>
      <c r="I588" t="n">
        <v>22300</v>
      </c>
      <c r="J588" t="b">
        <v>1</v>
      </c>
      <c r="K588" t="inlineStr">
        <is>
          <t>Unilever Indonesia Official Shop</t>
        </is>
      </c>
      <c r="L588" t="inlineStr">
        <is>
          <t>KOTA BEKASI</t>
        </is>
      </c>
      <c r="M588" t="n">
        <v>1040513960</v>
      </c>
      <c r="N588" t="n">
        <v>14318452</v>
      </c>
      <c r="O588">
        <f>HYPERLINK("https://shopee.co.id/api/v4/item/get?itemid=1040513960&amp;shopid=14318452", "Rexona Men Deodorant Roll On Antiperspirant Invisible + Antibacterial Perlindungan Antibakteri Dan Noda 45 Ml")</f>
        <v/>
      </c>
      <c r="P588" t="n">
        <v>236</v>
      </c>
      <c r="Q588" t="n">
        <v>576</v>
      </c>
      <c r="R588" t="n">
        <v>4.914912616405154</v>
      </c>
      <c r="S588" t="n">
        <v>29</v>
      </c>
      <c r="T588" t="n">
        <v>20</v>
      </c>
      <c r="U588" t="n">
        <v>47</v>
      </c>
      <c r="V588" t="n">
        <v>400</v>
      </c>
      <c r="W588" t="n">
        <v>7344</v>
      </c>
    </row>
    <row r="589">
      <c r="A589" t="inlineStr">
        <is>
          <t>Bango Kecap Manis 275ml Twin Pack</t>
        </is>
      </c>
      <c r="B589" t="inlineStr">
        <is>
          <t>None</t>
        </is>
      </c>
      <c r="C589" t="inlineStr">
        <is>
          <t>19%</t>
        </is>
      </c>
      <c r="D589" t="n">
        <v>37000</v>
      </c>
      <c r="E589" t="n">
        <v>45400</v>
      </c>
      <c r="F589" t="n">
        <v>37000</v>
      </c>
      <c r="G589" t="n">
        <v>45400</v>
      </c>
      <c r="H589" t="n">
        <v>37000</v>
      </c>
      <c r="I589" t="n">
        <v>45400</v>
      </c>
      <c r="J589" t="b">
        <v>1</v>
      </c>
      <c r="K589" t="inlineStr">
        <is>
          <t>Unilever Indonesia Official Shop</t>
        </is>
      </c>
      <c r="L589" t="inlineStr">
        <is>
          <t>KOTA BEKASI</t>
        </is>
      </c>
      <c r="M589" t="n">
        <v>5932177895</v>
      </c>
      <c r="N589" t="n">
        <v>14318452</v>
      </c>
      <c r="O589">
        <f>HYPERLINK("https://shopee.co.id/api/v4/item/get?itemid=5932177895&amp;shopid=14318452", "Bango Kecap Manis 275ml Twin Pack")</f>
        <v/>
      </c>
      <c r="P589" t="n">
        <v>310</v>
      </c>
      <c r="Q589" t="n">
        <v>41</v>
      </c>
      <c r="R589" t="n">
        <v>4.933826247689464</v>
      </c>
      <c r="S589" t="n">
        <v>12</v>
      </c>
      <c r="T589" t="n">
        <v>3</v>
      </c>
      <c r="U589" t="n">
        <v>19</v>
      </c>
      <c r="V589" t="n">
        <v>88</v>
      </c>
      <c r="W589" t="n">
        <v>2584</v>
      </c>
    </row>
    <row r="590">
      <c r="A590" t="inlineStr">
        <is>
          <t>Jawara Saus Sambal Bawang Goreng Chili Sauce Extra Pouch 250Ml</t>
        </is>
      </c>
      <c r="B590" t="inlineStr">
        <is>
          <t>Jawara</t>
        </is>
      </c>
      <c r="C590" t="inlineStr">
        <is>
          <t>9%</t>
        </is>
      </c>
      <c r="D590" t="n">
        <v>13600</v>
      </c>
      <c r="E590" t="n">
        <v>15000</v>
      </c>
      <c r="F590" t="n">
        <v>13600</v>
      </c>
      <c r="G590" t="n">
        <v>15000</v>
      </c>
      <c r="H590" t="n">
        <v>13600</v>
      </c>
      <c r="I590" t="n">
        <v>15000</v>
      </c>
      <c r="J590" t="b">
        <v>1</v>
      </c>
      <c r="K590" t="inlineStr">
        <is>
          <t>Unilever Indonesia Official Shop</t>
        </is>
      </c>
      <c r="L590" t="inlineStr">
        <is>
          <t>KOTA BEKASI</t>
        </is>
      </c>
      <c r="M590" t="n">
        <v>5428207783</v>
      </c>
      <c r="N590" t="n">
        <v>14318452</v>
      </c>
      <c r="O590">
        <f>HYPERLINK("https://shopee.co.id/api/v4/item/get?itemid=5428207783&amp;shopid=14318452", "Jawara Saus Sambal Bawang Goreng Chili Sauce Extra Pouch 250Ml")</f>
        <v/>
      </c>
      <c r="P590" t="n">
        <v>1152</v>
      </c>
      <c r="Q590" t="n">
        <v>458</v>
      </c>
      <c r="R590" t="n">
        <v>4.933655111891181</v>
      </c>
      <c r="S590" t="n">
        <v>25</v>
      </c>
      <c r="T590" t="n">
        <v>15</v>
      </c>
      <c r="U590" t="n">
        <v>72</v>
      </c>
      <c r="V590" t="n">
        <v>477</v>
      </c>
      <c r="W590" t="n">
        <v>10810</v>
      </c>
    </row>
    <row r="591">
      <c r="A591" t="inlineStr">
        <is>
          <t>Zwitsal Baby Natural Minyak Telon 60 ml Twin Pack</t>
        </is>
      </c>
      <c r="B591" t="inlineStr">
        <is>
          <t>Zwitsal</t>
        </is>
      </c>
      <c r="C591" t="inlineStr">
        <is>
          <t>19%</t>
        </is>
      </c>
      <c r="D591" t="n">
        <v>38900</v>
      </c>
      <c r="E591" t="n">
        <v>48100</v>
      </c>
      <c r="F591" t="n">
        <v>38900</v>
      </c>
      <c r="G591" t="n">
        <v>48100</v>
      </c>
      <c r="H591" t="n">
        <v>38900</v>
      </c>
      <c r="I591" t="n">
        <v>48100</v>
      </c>
      <c r="J591" t="b">
        <v>1</v>
      </c>
      <c r="K591" t="inlineStr">
        <is>
          <t>Unilever Indonesia Official Shop</t>
        </is>
      </c>
      <c r="L591" t="inlineStr">
        <is>
          <t>KOTA BEKASI</t>
        </is>
      </c>
      <c r="M591" t="n">
        <v>5931757111</v>
      </c>
      <c r="N591" t="n">
        <v>14318452</v>
      </c>
      <c r="O591">
        <f>HYPERLINK("https://shopee.co.id/api/v4/item/get?itemid=5931757111&amp;shopid=14318452", "Zwitsal Baby Natural Minyak Telon 60 ml Twin Pack")</f>
        <v/>
      </c>
      <c r="P591" t="n">
        <v>111</v>
      </c>
      <c r="Q591" t="n">
        <v>171</v>
      </c>
      <c r="R591" t="n">
        <v>4.915284625728373</v>
      </c>
      <c r="S591" t="n">
        <v>8</v>
      </c>
      <c r="T591" t="n">
        <v>5</v>
      </c>
      <c r="U591" t="n">
        <v>16</v>
      </c>
      <c r="V591" t="n">
        <v>110</v>
      </c>
      <c r="W591" t="n">
        <v>2092</v>
      </c>
    </row>
    <row r="592">
      <c r="A592" t="inlineStr">
        <is>
          <t>Bango Bumbu Nasi Goreng Kambing Khas Jakarta 40 gr</t>
        </is>
      </c>
      <c r="B592" t="inlineStr">
        <is>
          <t>Bango</t>
        </is>
      </c>
      <c r="C592" t="inlineStr">
        <is>
          <t>12%</t>
        </is>
      </c>
      <c r="D592" t="n">
        <v>5700</v>
      </c>
      <c r="E592" t="n">
        <v>6500</v>
      </c>
      <c r="F592" t="n">
        <v>5700</v>
      </c>
      <c r="G592" t="n">
        <v>6500</v>
      </c>
      <c r="H592" t="n">
        <v>5700</v>
      </c>
      <c r="I592" t="n">
        <v>6500</v>
      </c>
      <c r="J592" t="b">
        <v>1</v>
      </c>
      <c r="K592" t="inlineStr">
        <is>
          <t>Unilever Indonesia Official Shop</t>
        </is>
      </c>
      <c r="L592" t="inlineStr">
        <is>
          <t>KAB. BANYUASIN</t>
        </is>
      </c>
      <c r="M592" t="n">
        <v>2198225239</v>
      </c>
      <c r="N592" t="n">
        <v>14318452</v>
      </c>
      <c r="O592">
        <f>HYPERLINK("https://shopee.co.id/api/v4/item/get?itemid=2198225239&amp;shopid=14318452", "Bango Bumbu Nasi Goreng Kambing Khas Jakarta 40 gr")</f>
        <v/>
      </c>
      <c r="P592" t="n">
        <v>242</v>
      </c>
      <c r="Q592" t="n">
        <v>486</v>
      </c>
      <c r="R592" t="n">
        <v>4.92064788348986</v>
      </c>
      <c r="S592" t="n">
        <v>12</v>
      </c>
      <c r="T592" t="n">
        <v>6</v>
      </c>
      <c r="U592" t="n">
        <v>68</v>
      </c>
      <c r="V592" t="n">
        <v>385</v>
      </c>
      <c r="W592" t="n">
        <v>6877</v>
      </c>
    </row>
    <row r="593">
      <c r="A593" t="inlineStr">
        <is>
          <t>Vixal Pembersih Porselen Harum Kuat 750ml Twin Pack</t>
        </is>
      </c>
      <c r="B593" t="inlineStr">
        <is>
          <t>Vixal</t>
        </is>
      </c>
      <c r="C593" t="inlineStr">
        <is>
          <t>39%</t>
        </is>
      </c>
      <c r="D593" t="n">
        <v>32800</v>
      </c>
      <c r="E593" t="n">
        <v>53400</v>
      </c>
      <c r="F593" t="n">
        <v>32800</v>
      </c>
      <c r="G593" t="n">
        <v>53400</v>
      </c>
      <c r="H593" t="n">
        <v>32800</v>
      </c>
      <c r="I593" t="n">
        <v>53400</v>
      </c>
      <c r="J593" t="b">
        <v>1</v>
      </c>
      <c r="K593" t="inlineStr">
        <is>
          <t>Unilever Indonesia Official Shop</t>
        </is>
      </c>
      <c r="L593" t="inlineStr">
        <is>
          <t>KOTA BEKASI</t>
        </is>
      </c>
      <c r="M593" t="n">
        <v>7631691151</v>
      </c>
      <c r="N593" t="n">
        <v>14318452</v>
      </c>
      <c r="O593">
        <f>HYPERLINK("https://shopee.co.id/api/v4/item/get?itemid=7631691151&amp;shopid=14318452", "Vixal Pembersih Porselen Harum Kuat 750ml Twin Pack")</f>
        <v/>
      </c>
      <c r="P593" t="n">
        <v>1873</v>
      </c>
      <c r="Q593" t="n">
        <v>3125</v>
      </c>
      <c r="R593" t="n">
        <v>4.900171982489056</v>
      </c>
      <c r="S593" t="n">
        <v>66</v>
      </c>
      <c r="T593" t="n">
        <v>46</v>
      </c>
      <c r="U593" t="n">
        <v>143</v>
      </c>
      <c r="V593" t="n">
        <v>628</v>
      </c>
      <c r="W593" t="n">
        <v>11926</v>
      </c>
    </row>
    <row r="594">
      <c r="A594" t="inlineStr">
        <is>
          <t>PONDS JUICE COLLECTION SHEET MASK / MASKER WAJAH  WATERMELON EXTRACT 20G</t>
        </is>
      </c>
      <c r="B594" t="inlineStr"/>
      <c r="C594" t="inlineStr">
        <is>
          <t>28%</t>
        </is>
      </c>
      <c r="D594" t="n">
        <v>16100</v>
      </c>
      <c r="E594" t="n">
        <v>22400</v>
      </c>
      <c r="F594" t="n">
        <v>16100</v>
      </c>
      <c r="G594" t="n">
        <v>22400</v>
      </c>
      <c r="H594" t="n">
        <v>16100</v>
      </c>
      <c r="I594" t="n">
        <v>22400</v>
      </c>
      <c r="J594" t="b">
        <v>1</v>
      </c>
      <c r="K594" t="inlineStr">
        <is>
          <t>Unilever Indonesia Official Shop</t>
        </is>
      </c>
      <c r="L594" t="inlineStr">
        <is>
          <t>KOTA BALIKPAPAN</t>
        </is>
      </c>
      <c r="M594" t="n">
        <v>6617483674</v>
      </c>
      <c r="N594" t="n">
        <v>14318452</v>
      </c>
      <c r="O594">
        <f>HYPERLINK("https://shopee.co.id/api/v4/item/get?itemid=6617483674&amp;shopid=14318452", "PONDS JUICE COLLECTION SHEET MASK / MASKER WAJAH  WATERMELON EXTRACT 20G")</f>
        <v/>
      </c>
      <c r="P594" t="n">
        <v>23</v>
      </c>
      <c r="Q594" t="n">
        <v>50</v>
      </c>
      <c r="R594" t="n">
        <v>4.923165609816355</v>
      </c>
      <c r="S594" t="n">
        <v>22</v>
      </c>
      <c r="T594" t="n">
        <v>10</v>
      </c>
      <c r="U594" t="n">
        <v>68</v>
      </c>
      <c r="V594" t="n">
        <v>679</v>
      </c>
      <c r="W594" t="n">
        <v>11364</v>
      </c>
    </row>
    <row r="595">
      <c r="A595" t="inlineStr">
        <is>
          <t>Rinso Molto Deterjen Bubuk Detergen Anti Noda Classic Fresh Proteksi Higienis &amp; Anti Bau 770G</t>
        </is>
      </c>
      <c r="B595" t="inlineStr">
        <is>
          <t>0</t>
        </is>
      </c>
      <c r="C595" t="inlineStr">
        <is>
          <t>13%</t>
        </is>
      </c>
      <c r="D595" t="n">
        <v>24100</v>
      </c>
      <c r="E595" t="n">
        <v>27700</v>
      </c>
      <c r="F595" t="n">
        <v>24100</v>
      </c>
      <c r="G595" t="n">
        <v>27700</v>
      </c>
      <c r="H595" t="n">
        <v>24100</v>
      </c>
      <c r="I595" t="n">
        <v>27700</v>
      </c>
      <c r="J595" t="b">
        <v>1</v>
      </c>
      <c r="K595" t="inlineStr">
        <is>
          <t>Unilever Indonesia Official Shop</t>
        </is>
      </c>
      <c r="L595" t="inlineStr">
        <is>
          <t>KOTA BEKASI</t>
        </is>
      </c>
      <c r="M595" t="n">
        <v>976680543</v>
      </c>
      <c r="N595" t="n">
        <v>14318452</v>
      </c>
      <c r="O595">
        <f>HYPERLINK("https://shopee.co.id/api/v4/item/get?itemid=976680543&amp;shopid=14318452", "Rinso Molto Deterjen Bubuk Detergen Anti Noda Classic Fresh Proteksi Higienis &amp; Anti Bau 770G")</f>
        <v/>
      </c>
      <c r="P595" t="n">
        <v>156</v>
      </c>
      <c r="Q595" t="n">
        <v>345</v>
      </c>
      <c r="R595" t="n">
        <v>4.924896190648131</v>
      </c>
      <c r="S595" t="n">
        <v>11</v>
      </c>
      <c r="T595" t="n">
        <v>9</v>
      </c>
      <c r="U595" t="n">
        <v>37</v>
      </c>
      <c r="V595" t="n">
        <v>271</v>
      </c>
      <c r="W595" t="n">
        <v>5211</v>
      </c>
    </row>
    <row r="596">
      <c r="A596" t="inlineStr">
        <is>
          <t>Sunlight Sabun Cuci Piring Jeruk Nipis Refill 1500 ml Twinpack</t>
        </is>
      </c>
      <c r="B596" t="inlineStr">
        <is>
          <t>Sunlight</t>
        </is>
      </c>
      <c r="C596" t="inlineStr">
        <is>
          <t>40%</t>
        </is>
      </c>
      <c r="D596" t="n">
        <v>60500</v>
      </c>
      <c r="E596" t="n">
        <v>101400</v>
      </c>
      <c r="F596" t="n">
        <v>60500</v>
      </c>
      <c r="G596" t="n">
        <v>101400</v>
      </c>
      <c r="H596" t="n">
        <v>60500</v>
      </c>
      <c r="I596" t="n">
        <v>101400</v>
      </c>
      <c r="J596" t="b">
        <v>1</v>
      </c>
      <c r="K596" t="inlineStr">
        <is>
          <t>Unilever Indonesia Official Shop</t>
        </is>
      </c>
      <c r="L596" t="inlineStr">
        <is>
          <t>KOTA BEKASI</t>
        </is>
      </c>
      <c r="M596" t="n">
        <v>9734357567</v>
      </c>
      <c r="N596" t="n">
        <v>14318452</v>
      </c>
      <c r="O596">
        <f>HYPERLINK("https://shopee.co.id/api/v4/item/get?itemid=9734357567&amp;shopid=14318452", "Sunlight Sabun Cuci Piring Jeruk Nipis Refill 1500 ml Twinpack")</f>
        <v/>
      </c>
      <c r="P596" t="n">
        <v>1219</v>
      </c>
      <c r="Q596" t="n">
        <v>3485</v>
      </c>
      <c r="R596" t="n">
        <v>4.910051216389244</v>
      </c>
      <c r="S596" t="n">
        <v>19</v>
      </c>
      <c r="T596" t="n">
        <v>8</v>
      </c>
      <c r="U596" t="n">
        <v>28</v>
      </c>
      <c r="V596" t="n">
        <v>128</v>
      </c>
      <c r="W596" t="n">
        <v>2947</v>
      </c>
    </row>
    <row r="597">
      <c r="A597" t="inlineStr">
        <is>
          <t>Clear Men 3-In-1 Shampo Active Clean Bottle 160ml</t>
        </is>
      </c>
      <c r="B597" t="inlineStr"/>
      <c r="C597" t="inlineStr">
        <is>
          <t>14%</t>
        </is>
      </c>
      <c r="D597" t="n">
        <v>30200</v>
      </c>
      <c r="E597" t="n">
        <v>35300</v>
      </c>
      <c r="F597" t="n">
        <v>30200</v>
      </c>
      <c r="G597" t="n">
        <v>35300</v>
      </c>
      <c r="H597" t="n">
        <v>30200</v>
      </c>
      <c r="I597" t="n">
        <v>35300</v>
      </c>
      <c r="J597" t="b">
        <v>1</v>
      </c>
      <c r="K597" t="inlineStr">
        <is>
          <t>Unilever Indonesia Official Shop</t>
        </is>
      </c>
      <c r="L597" t="inlineStr">
        <is>
          <t>KOTA BEKASI</t>
        </is>
      </c>
      <c r="M597" t="n">
        <v>6331856235</v>
      </c>
      <c r="N597" t="n">
        <v>14318452</v>
      </c>
      <c r="O597">
        <f>HYPERLINK("https://shopee.co.id/api/v4/item/get?itemid=6331856235&amp;shopid=14318452", "Clear Men 3-In-1 Shampo Active Clean Bottle 160ml")</f>
        <v/>
      </c>
      <c r="P597" t="n">
        <v>107</v>
      </c>
      <c r="Q597" t="n">
        <v>350</v>
      </c>
      <c r="R597" t="n">
        <v>4.928949568124826</v>
      </c>
      <c r="S597" t="n">
        <v>8</v>
      </c>
      <c r="T597" t="n">
        <v>4</v>
      </c>
      <c r="U597" t="n">
        <v>10</v>
      </c>
      <c r="V597" t="n">
        <v>195</v>
      </c>
      <c r="W597" t="n">
        <v>3373</v>
      </c>
    </row>
    <row r="598">
      <c r="A598" t="inlineStr">
        <is>
          <t>Rinso Molto Deterjen Bubuk Detergen Anti Noda Classic Fresh Proteksi Higienis 1.8 Kg</t>
        </is>
      </c>
      <c r="B598" t="inlineStr">
        <is>
          <t>Rinso</t>
        </is>
      </c>
      <c r="C598" t="inlineStr">
        <is>
          <t>21%</t>
        </is>
      </c>
      <c r="D598" t="n">
        <v>56100</v>
      </c>
      <c r="E598" t="n">
        <v>71300</v>
      </c>
      <c r="F598" t="n">
        <v>56100</v>
      </c>
      <c r="G598" t="n">
        <v>71300</v>
      </c>
      <c r="H598" t="n">
        <v>56100</v>
      </c>
      <c r="I598" t="n">
        <v>71300</v>
      </c>
      <c r="J598" t="b">
        <v>1</v>
      </c>
      <c r="K598" t="inlineStr">
        <is>
          <t>Unilever Indonesia Official Shop</t>
        </is>
      </c>
      <c r="L598" t="inlineStr">
        <is>
          <t>KOTA BEKASI</t>
        </is>
      </c>
      <c r="M598" t="n">
        <v>1041656684</v>
      </c>
      <c r="N598" t="n">
        <v>14318452</v>
      </c>
      <c r="O598">
        <f>HYPERLINK("https://shopee.co.id/api/v4/item/get?itemid=1041656684&amp;shopid=14318452", "Rinso Molto Deterjen Bubuk Detergen Anti Noda Classic Fresh Proteksi Higienis 1.8 Kg")</f>
        <v/>
      </c>
      <c r="P598" t="n">
        <v>287</v>
      </c>
      <c r="Q598" t="n">
        <v>1201</v>
      </c>
      <c r="R598" t="n">
        <v>4.928945281522601</v>
      </c>
      <c r="S598" t="n">
        <v>36</v>
      </c>
      <c r="T598" t="n">
        <v>19</v>
      </c>
      <c r="U598" t="n">
        <v>84</v>
      </c>
      <c r="V598" t="n">
        <v>531</v>
      </c>
      <c r="W598" t="n">
        <v>11942</v>
      </c>
    </row>
    <row r="599">
      <c r="A599" t="inlineStr">
        <is>
          <t>Royco Sup Krim Kepiting &amp; Jagung 44 G</t>
        </is>
      </c>
      <c r="B599" t="inlineStr"/>
      <c r="C599" t="inlineStr">
        <is>
          <t>19%</t>
        </is>
      </c>
      <c r="D599" t="n">
        <v>7600</v>
      </c>
      <c r="E599" t="n">
        <v>9400</v>
      </c>
      <c r="F599" t="n">
        <v>7600</v>
      </c>
      <c r="G599" t="n">
        <v>9400</v>
      </c>
      <c r="H599" t="n">
        <v>7600</v>
      </c>
      <c r="I599" t="n">
        <v>9400</v>
      </c>
      <c r="J599" t="b">
        <v>1</v>
      </c>
      <c r="K599" t="inlineStr">
        <is>
          <t>Unilever Indonesia Official Shop</t>
        </is>
      </c>
      <c r="L599" t="inlineStr">
        <is>
          <t>KOTA SEMARANG</t>
        </is>
      </c>
      <c r="M599" t="n">
        <v>9432137523</v>
      </c>
      <c r="N599" t="n">
        <v>14318452</v>
      </c>
      <c r="O599">
        <f>HYPERLINK("https://shopee.co.id/api/v4/item/get?itemid=9432137523&amp;shopid=14318452", "Royco Sup Krim Kepiting &amp; Jagung 44 G")</f>
        <v/>
      </c>
      <c r="P599" t="n">
        <v>1237</v>
      </c>
      <c r="Q599" t="n">
        <v>427</v>
      </c>
      <c r="R599" t="n">
        <v>4.935483870967742</v>
      </c>
      <c r="S599" t="n">
        <v>3</v>
      </c>
      <c r="T599" t="n">
        <v>2</v>
      </c>
      <c r="U599" t="n">
        <v>19</v>
      </c>
      <c r="V599" t="n">
        <v>132</v>
      </c>
      <c r="W599" t="n">
        <v>2758</v>
      </c>
    </row>
    <row r="600">
      <c r="A600" t="inlineStr">
        <is>
          <t>Buavita Mango 245 ml</t>
        </is>
      </c>
      <c r="B600" t="inlineStr">
        <is>
          <t>0</t>
        </is>
      </c>
      <c r="C600" t="inlineStr">
        <is>
          <t>21%</t>
        </is>
      </c>
      <c r="D600" t="n">
        <v>5900</v>
      </c>
      <c r="E600" t="n">
        <v>7500</v>
      </c>
      <c r="F600" t="n">
        <v>5900</v>
      </c>
      <c r="G600" t="n">
        <v>7500</v>
      </c>
      <c r="H600" t="n">
        <v>5900</v>
      </c>
      <c r="I600" t="n">
        <v>7500</v>
      </c>
      <c r="J600" t="b">
        <v>1</v>
      </c>
      <c r="K600" t="inlineStr">
        <is>
          <t>Unilever Indonesia Official Shop</t>
        </is>
      </c>
      <c r="L600" t="inlineStr">
        <is>
          <t>KOTA BEKASI</t>
        </is>
      </c>
      <c r="M600" t="n">
        <v>1480863996</v>
      </c>
      <c r="N600" t="n">
        <v>14318452</v>
      </c>
      <c r="O600">
        <f>HYPERLINK("https://shopee.co.id/api/v4/item/get?itemid=1480863996&amp;shopid=14318452", "Buavita Mango 245 ml")</f>
        <v/>
      </c>
      <c r="P600" t="n">
        <v>158</v>
      </c>
      <c r="Q600" t="n">
        <v>1331</v>
      </c>
      <c r="R600" t="n">
        <v>4.906380368098159</v>
      </c>
      <c r="S600" t="n">
        <v>33</v>
      </c>
      <c r="T600" t="n">
        <v>10</v>
      </c>
      <c r="U600" t="n">
        <v>82</v>
      </c>
      <c r="V600" t="n">
        <v>445</v>
      </c>
      <c r="W600" t="n">
        <v>7582</v>
      </c>
    </row>
    <row r="601">
      <c r="A601" t="inlineStr">
        <is>
          <t>Molto Softener Pelembut Dan Pewangi Pakaian Floral Bliss 1800 ml</t>
        </is>
      </c>
      <c r="B601" t="inlineStr">
        <is>
          <t>Molto</t>
        </is>
      </c>
      <c r="C601" t="inlineStr">
        <is>
          <t>11%</t>
        </is>
      </c>
      <c r="D601" t="n">
        <v>28900</v>
      </c>
      <c r="E601" t="n">
        <v>32600</v>
      </c>
      <c r="F601" t="n">
        <v>28900</v>
      </c>
      <c r="G601" t="n">
        <v>32600</v>
      </c>
      <c r="H601" t="n">
        <v>28900</v>
      </c>
      <c r="I601" t="n">
        <v>32600</v>
      </c>
      <c r="J601" t="b">
        <v>1</v>
      </c>
      <c r="K601" t="inlineStr">
        <is>
          <t>Unilever Indonesia Official Shop</t>
        </is>
      </c>
      <c r="L601" t="inlineStr">
        <is>
          <t>KOTA BEKASI</t>
        </is>
      </c>
      <c r="M601" t="n">
        <v>4061180967</v>
      </c>
      <c r="N601" t="n">
        <v>14318452</v>
      </c>
      <c r="O601">
        <f>HYPERLINK("https://shopee.co.id/api/v4/item/get?itemid=4061180967&amp;shopid=14318452", "Molto Softener Pelembut Dan Pewangi Pakaian Floral Bliss 1800 ml")</f>
        <v/>
      </c>
      <c r="P601" t="n">
        <v>369</v>
      </c>
      <c r="Q601" t="n">
        <v>1250</v>
      </c>
      <c r="R601" t="n">
        <v>4.926345609065156</v>
      </c>
      <c r="S601" t="n">
        <v>20</v>
      </c>
      <c r="T601" t="n">
        <v>8</v>
      </c>
      <c r="U601" t="n">
        <v>18</v>
      </c>
      <c r="V601" t="n">
        <v>154</v>
      </c>
      <c r="W601" t="n">
        <v>3685</v>
      </c>
    </row>
    <row r="602">
      <c r="A602" t="inlineStr">
        <is>
          <t>Buavita Jus Buah Asli Jeruk 1000 Ml - Jus Jeruk, Orange Juice, Mengandung Vitamin C</t>
        </is>
      </c>
      <c r="B602" t="inlineStr">
        <is>
          <t>0</t>
        </is>
      </c>
      <c r="C602" t="inlineStr">
        <is>
          <t>29%</t>
        </is>
      </c>
      <c r="D602" t="n">
        <v>19400</v>
      </c>
      <c r="E602" t="n">
        <v>27200</v>
      </c>
      <c r="F602" t="n">
        <v>19400</v>
      </c>
      <c r="G602" t="n">
        <v>27200</v>
      </c>
      <c r="H602" t="n">
        <v>19400</v>
      </c>
      <c r="I602" t="n">
        <v>27200</v>
      </c>
      <c r="J602" t="b">
        <v>1</v>
      </c>
      <c r="K602" t="inlineStr">
        <is>
          <t>Unilever Indonesia Official Shop</t>
        </is>
      </c>
      <c r="L602" t="inlineStr">
        <is>
          <t>KOTA SURABAYA</t>
        </is>
      </c>
      <c r="M602" t="n">
        <v>1438264695</v>
      </c>
      <c r="N602" t="n">
        <v>14318452</v>
      </c>
      <c r="O602">
        <f>HYPERLINK("https://shopee.co.id/api/v4/item/get?itemid=1438264695&amp;shopid=14318452", "Buavita Jus Buah Asli Jeruk 1000 Ml - Jus Jeruk, Orange Juice, Mengandung Vitamin C")</f>
        <v/>
      </c>
      <c r="P602" t="n">
        <v>89</v>
      </c>
      <c r="Q602" t="n">
        <v>42</v>
      </c>
      <c r="R602" t="n">
        <v>4.878120021242697</v>
      </c>
      <c r="S602" t="n">
        <v>36</v>
      </c>
      <c r="T602" t="n">
        <v>11</v>
      </c>
      <c r="U602" t="n">
        <v>46</v>
      </c>
      <c r="V602" t="n">
        <v>201</v>
      </c>
      <c r="W602" t="n">
        <v>3475</v>
      </c>
    </row>
    <row r="603">
      <c r="A603" t="inlineStr">
        <is>
          <t>Pond’s Antibacterial Face Mist Spray 50 ml with Refreshing 100% Organic Rose Extract</t>
        </is>
      </c>
      <c r="B603" t="inlineStr">
        <is>
          <t>Pond's</t>
        </is>
      </c>
      <c r="C603" t="inlineStr">
        <is>
          <t>13%</t>
        </is>
      </c>
      <c r="D603" t="n">
        <v>24300</v>
      </c>
      <c r="E603" t="n">
        <v>28000</v>
      </c>
      <c r="F603" t="n">
        <v>24300</v>
      </c>
      <c r="G603" t="n">
        <v>28000</v>
      </c>
      <c r="H603" t="n">
        <v>24300</v>
      </c>
      <c r="I603" t="n">
        <v>28000</v>
      </c>
      <c r="J603" t="b">
        <v>1</v>
      </c>
      <c r="K603" t="inlineStr">
        <is>
          <t>Unilever Indonesia Official Shop</t>
        </is>
      </c>
      <c r="L603" t="inlineStr">
        <is>
          <t>KAB. BANYUASIN</t>
        </is>
      </c>
      <c r="M603" t="n">
        <v>6756064680</v>
      </c>
      <c r="N603" t="n">
        <v>14318452</v>
      </c>
      <c r="O603">
        <f>HYPERLINK("https://shopee.co.id/api/v4/item/get?itemid=6756064680&amp;shopid=14318452", "Pond’s Antibacterial Face Mist Spray 50 ml with Refreshing 100% Organic Rose Extract")</f>
        <v/>
      </c>
      <c r="P603" t="n">
        <v>20</v>
      </c>
      <c r="Q603" t="n">
        <v>1</v>
      </c>
      <c r="R603" t="n">
        <v>4.885534110452895</v>
      </c>
      <c r="S603" t="n">
        <v>24</v>
      </c>
      <c r="T603" t="n">
        <v>14</v>
      </c>
      <c r="U603" t="n">
        <v>59</v>
      </c>
      <c r="V603" t="n">
        <v>350</v>
      </c>
      <c r="W603" t="n">
        <v>4788</v>
      </c>
    </row>
    <row r="604">
      <c r="A604" t="inlineStr">
        <is>
          <t>Royco Cream of Chicken 58g</t>
        </is>
      </c>
      <c r="B604" t="inlineStr"/>
      <c r="C604" t="inlineStr">
        <is>
          <t>11%</t>
        </is>
      </c>
      <c r="D604" t="n">
        <v>8400</v>
      </c>
      <c r="E604" t="n">
        <v>9400</v>
      </c>
      <c r="F604" t="n">
        <v>8400</v>
      </c>
      <c r="G604" t="n">
        <v>9400</v>
      </c>
      <c r="H604" t="n">
        <v>8400</v>
      </c>
      <c r="I604" t="n">
        <v>9400</v>
      </c>
      <c r="J604" t="b">
        <v>1</v>
      </c>
      <c r="K604" t="inlineStr">
        <is>
          <t>Unilever Indonesia Official Shop</t>
        </is>
      </c>
      <c r="L604" t="inlineStr">
        <is>
          <t>KOTA BEKASI</t>
        </is>
      </c>
      <c r="M604" t="n">
        <v>6032162950</v>
      </c>
      <c r="N604" t="n">
        <v>14318452</v>
      </c>
      <c r="O604">
        <f>HYPERLINK("https://shopee.co.id/api/v4/item/get?itemid=6032162950&amp;shopid=14318452", "Royco Cream of Chicken 58g")</f>
        <v/>
      </c>
      <c r="P604" t="n">
        <v>458</v>
      </c>
      <c r="Q604" t="n">
        <v>579</v>
      </c>
      <c r="R604" t="n">
        <v>4.941826643397324</v>
      </c>
      <c r="S604" t="n">
        <v>7</v>
      </c>
      <c r="T604" t="n">
        <v>1</v>
      </c>
      <c r="U604" t="n">
        <v>17</v>
      </c>
      <c r="V604" t="n">
        <v>135</v>
      </c>
      <c r="W604" t="n">
        <v>3278</v>
      </c>
    </row>
    <row r="605">
      <c r="A605" t="inlineStr">
        <is>
          <t>Zwitsal Baby Powder Aloe Vera 300 gr Twin Pack</t>
        </is>
      </c>
      <c r="B605" t="inlineStr">
        <is>
          <t>Zwitsal</t>
        </is>
      </c>
      <c r="C605" t="inlineStr">
        <is>
          <t>18%</t>
        </is>
      </c>
      <c r="D605" t="n">
        <v>38600</v>
      </c>
      <c r="E605" t="n">
        <v>47200</v>
      </c>
      <c r="F605" t="n">
        <v>38600</v>
      </c>
      <c r="G605" t="n">
        <v>47200</v>
      </c>
      <c r="H605" t="n">
        <v>38600</v>
      </c>
      <c r="I605" t="n">
        <v>47200</v>
      </c>
      <c r="J605" t="b">
        <v>1</v>
      </c>
      <c r="K605" t="inlineStr">
        <is>
          <t>Unilever Indonesia Official Shop</t>
        </is>
      </c>
      <c r="L605" t="inlineStr">
        <is>
          <t>KOTA BEKASI</t>
        </is>
      </c>
      <c r="M605" t="n">
        <v>6931765695</v>
      </c>
      <c r="N605" t="n">
        <v>14318452</v>
      </c>
      <c r="O605">
        <f>HYPERLINK("https://shopee.co.id/api/v4/item/get?itemid=6931765695&amp;shopid=14318452", "Zwitsal Baby Powder Aloe Vera 300 gr Twin Pack")</f>
        <v/>
      </c>
      <c r="P605" t="n">
        <v>42</v>
      </c>
      <c r="Q605" t="n">
        <v>251</v>
      </c>
      <c r="R605" t="n">
        <v>4.943548387096774</v>
      </c>
      <c r="S605" t="n">
        <v>2</v>
      </c>
      <c r="T605" t="n">
        <v>2</v>
      </c>
      <c r="U605" t="n">
        <v>1</v>
      </c>
      <c r="V605" t="n">
        <v>26</v>
      </c>
      <c r="W605" t="n">
        <v>591</v>
      </c>
    </row>
    <row r="606">
      <c r="A606" t="inlineStr">
        <is>
          <t>Jawara Saus Sambal Hot 120 ml</t>
        </is>
      </c>
      <c r="B606" t="inlineStr">
        <is>
          <t>Jawara</t>
        </is>
      </c>
      <c r="C606" t="inlineStr">
        <is>
          <t>11%</t>
        </is>
      </c>
      <c r="D606" t="n">
        <v>7200</v>
      </c>
      <c r="E606" t="n">
        <v>8100</v>
      </c>
      <c r="F606" t="n">
        <v>7200</v>
      </c>
      <c r="G606" t="n">
        <v>8100</v>
      </c>
      <c r="H606" t="n">
        <v>7200</v>
      </c>
      <c r="I606" t="n">
        <v>8100</v>
      </c>
      <c r="J606" t="b">
        <v>1</v>
      </c>
      <c r="K606" t="inlineStr">
        <is>
          <t>Unilever Indonesia Official Shop</t>
        </is>
      </c>
      <c r="L606" t="inlineStr">
        <is>
          <t>KOTA BEKASI</t>
        </is>
      </c>
      <c r="M606" t="n">
        <v>1480865228</v>
      </c>
      <c r="N606" t="n">
        <v>14318452</v>
      </c>
      <c r="O606">
        <f>HYPERLINK("https://shopee.co.id/api/v4/item/get?itemid=1480865228&amp;shopid=14318452", "Jawara Saus Sambal Hot 120 ml")</f>
        <v/>
      </c>
      <c r="P606" t="n">
        <v>180</v>
      </c>
      <c r="Q606" t="n">
        <v>201</v>
      </c>
      <c r="R606" t="n">
        <v>4.916292974588939</v>
      </c>
      <c r="S606" t="n">
        <v>13</v>
      </c>
      <c r="T606" t="n">
        <v>1</v>
      </c>
      <c r="U606" t="n">
        <v>50</v>
      </c>
      <c r="V606" t="n">
        <v>240</v>
      </c>
      <c r="W606" t="n">
        <v>4380</v>
      </c>
    </row>
    <row r="607">
      <c r="A607" t="inlineStr">
        <is>
          <t>Jawara Cabai Tabur Bawang Goreng 35 gr Twinpack</t>
        </is>
      </c>
      <c r="B607" t="inlineStr">
        <is>
          <t>Jawara</t>
        </is>
      </c>
      <c r="C607" t="inlineStr">
        <is>
          <t>10%</t>
        </is>
      </c>
      <c r="D607" t="n">
        <v>14300</v>
      </c>
      <c r="E607" t="n">
        <v>15900</v>
      </c>
      <c r="F607" t="n">
        <v>14300</v>
      </c>
      <c r="G607" t="n">
        <v>15900</v>
      </c>
      <c r="H607" t="n">
        <v>14300</v>
      </c>
      <c r="I607" t="n">
        <v>15900</v>
      </c>
      <c r="J607" t="b">
        <v>1</v>
      </c>
      <c r="K607" t="inlineStr">
        <is>
          <t>Unilever Indonesia Official Shop</t>
        </is>
      </c>
      <c r="L607" t="inlineStr">
        <is>
          <t>KAB. BANYUASIN</t>
        </is>
      </c>
      <c r="M607" t="n">
        <v>3452598157</v>
      </c>
      <c r="N607" t="n">
        <v>14318452</v>
      </c>
      <c r="O607">
        <f>HYPERLINK("https://shopee.co.id/api/v4/item/get?itemid=3452598157&amp;shopid=14318452", "Jawara Cabai Tabur Bawang Goreng 35 gr Twinpack")</f>
        <v/>
      </c>
      <c r="P607" t="n">
        <v>140</v>
      </c>
      <c r="Q607" t="n">
        <v>145</v>
      </c>
      <c r="R607" t="n">
        <v>4.923195084485407</v>
      </c>
      <c r="S607" t="n">
        <v>7</v>
      </c>
      <c r="T607" t="n">
        <v>0</v>
      </c>
      <c r="U607" t="n">
        <v>6</v>
      </c>
      <c r="V607" t="n">
        <v>60</v>
      </c>
      <c r="W607" t="n">
        <v>1229</v>
      </c>
    </row>
    <row r="608">
      <c r="A608" t="inlineStr">
        <is>
          <t>Bango Manis 400ml Twin Pack</t>
        </is>
      </c>
      <c r="B608" t="inlineStr">
        <is>
          <t>0</t>
        </is>
      </c>
      <c r="C608" t="inlineStr">
        <is>
          <t>23%</t>
        </is>
      </c>
      <c r="D608" t="n">
        <v>31800</v>
      </c>
      <c r="E608" t="n">
        <v>41400</v>
      </c>
      <c r="F608" t="n">
        <v>31800</v>
      </c>
      <c r="G608" t="n">
        <v>41400</v>
      </c>
      <c r="H608" t="n">
        <v>31800</v>
      </c>
      <c r="I608" t="n">
        <v>41400</v>
      </c>
      <c r="J608" t="b">
        <v>1</v>
      </c>
      <c r="K608" t="inlineStr">
        <is>
          <t>Unilever Indonesia Official Shop</t>
        </is>
      </c>
      <c r="L608" t="inlineStr">
        <is>
          <t>KAB. DELI SERDANG</t>
        </is>
      </c>
      <c r="M608" t="n">
        <v>3531813963</v>
      </c>
      <c r="N608" t="n">
        <v>14318452</v>
      </c>
      <c r="O608">
        <f>HYPERLINK("https://shopee.co.id/api/v4/item/get?itemid=3531813963&amp;shopid=14318452", "Bango Manis 400ml Twin Pack")</f>
        <v/>
      </c>
      <c r="P608" t="n">
        <v>23</v>
      </c>
      <c r="Q608" t="n">
        <v>46</v>
      </c>
      <c r="R608" t="n">
        <v>4.945989304812834</v>
      </c>
      <c r="S608" t="n">
        <v>1</v>
      </c>
      <c r="T608" t="n">
        <v>4</v>
      </c>
      <c r="U608" t="n">
        <v>10</v>
      </c>
      <c r="V608" t="n">
        <v>65</v>
      </c>
      <c r="W608" t="n">
        <v>1790</v>
      </c>
    </row>
    <row r="609">
      <c r="A609" t="inlineStr">
        <is>
          <t>Zwitsal Baby Bath Natural dengan Milk &amp; Honey 200 ml</t>
        </is>
      </c>
      <c r="B609" t="inlineStr">
        <is>
          <t>Zwitsal</t>
        </is>
      </c>
      <c r="C609" t="inlineStr">
        <is>
          <t>15%</t>
        </is>
      </c>
      <c r="D609" t="n">
        <v>21900</v>
      </c>
      <c r="E609" t="n">
        <v>25900</v>
      </c>
      <c r="F609" t="n">
        <v>21900</v>
      </c>
      <c r="G609" t="n">
        <v>25900</v>
      </c>
      <c r="H609" t="n">
        <v>21900</v>
      </c>
      <c r="I609" t="n">
        <v>25900</v>
      </c>
      <c r="J609" t="b">
        <v>1</v>
      </c>
      <c r="K609" t="inlineStr">
        <is>
          <t>Unilever Indonesia Official Shop</t>
        </is>
      </c>
      <c r="L609" t="inlineStr">
        <is>
          <t>KOTA BEKASI</t>
        </is>
      </c>
      <c r="M609" t="n">
        <v>5431353570</v>
      </c>
      <c r="N609" t="n">
        <v>14318452</v>
      </c>
      <c r="O609">
        <f>HYPERLINK("https://shopee.co.id/api/v4/item/get?itemid=5431353570&amp;shopid=14318452", "Zwitsal Baby Bath Natural dengan Milk &amp; Honey 200 ml")</f>
        <v/>
      </c>
      <c r="P609" t="n">
        <v>72</v>
      </c>
      <c r="Q609" t="n">
        <v>179</v>
      </c>
      <c r="R609" t="n">
        <v>4.91796875</v>
      </c>
      <c r="S609" t="n">
        <v>1</v>
      </c>
      <c r="T609" t="n">
        <v>1</v>
      </c>
      <c r="U609" t="n">
        <v>8</v>
      </c>
      <c r="V609" t="n">
        <v>40</v>
      </c>
      <c r="W609" t="n">
        <v>718</v>
      </c>
    </row>
    <row r="610">
      <c r="A610" t="inlineStr">
        <is>
          <t>Citra Pearly Glow Facial Foam 100gr Twin Pack</t>
        </is>
      </c>
      <c r="B610" t="inlineStr"/>
      <c r="C610" t="inlineStr">
        <is>
          <t>1%</t>
        </is>
      </c>
      <c r="D610" t="n">
        <v>65900</v>
      </c>
      <c r="E610" t="n">
        <v>66500</v>
      </c>
      <c r="F610" t="n">
        <v>65900</v>
      </c>
      <c r="G610" t="n">
        <v>66500</v>
      </c>
      <c r="H610" t="n">
        <v>65900</v>
      </c>
      <c r="I610" t="n">
        <v>66500</v>
      </c>
      <c r="J610" t="b">
        <v>1</v>
      </c>
      <c r="K610" t="inlineStr">
        <is>
          <t>Unilever Indonesia Official Shop</t>
        </is>
      </c>
      <c r="L610" t="inlineStr">
        <is>
          <t>KOTA BEKASI</t>
        </is>
      </c>
      <c r="M610" t="n">
        <v>4732144477</v>
      </c>
      <c r="N610" t="n">
        <v>14318452</v>
      </c>
      <c r="O610">
        <f>HYPERLINK("https://shopee.co.id/api/v4/item/get?itemid=4732144477&amp;shopid=14318452", "Citra Pearly Glow Facial Foam 100gr Twin Pack")</f>
        <v/>
      </c>
      <c r="P610" t="n">
        <v>112</v>
      </c>
      <c r="Q610" t="n">
        <v>397</v>
      </c>
      <c r="R610" t="n">
        <v>4.923338185346919</v>
      </c>
      <c r="S610" t="n">
        <v>4</v>
      </c>
      <c r="T610" t="n">
        <v>1</v>
      </c>
      <c r="U610" t="n">
        <v>13</v>
      </c>
      <c r="V610" t="n">
        <v>113</v>
      </c>
      <c r="W610" t="n">
        <v>1930</v>
      </c>
    </row>
    <row r="611">
      <c r="A611" t="inlineStr">
        <is>
          <t>Dove Creambath - Hair Growth Ritual 30G</t>
        </is>
      </c>
      <c r="B611" t="inlineStr"/>
      <c r="C611" t="inlineStr">
        <is>
          <t>2%</t>
        </is>
      </c>
      <c r="D611" t="n">
        <v>4500</v>
      </c>
      <c r="E611" t="n">
        <v>4600</v>
      </c>
      <c r="F611" t="n">
        <v>4500</v>
      </c>
      <c r="G611" t="n">
        <v>4600</v>
      </c>
      <c r="H611" t="n">
        <v>4500</v>
      </c>
      <c r="I611" t="n">
        <v>4600</v>
      </c>
      <c r="J611" t="b">
        <v>0</v>
      </c>
      <c r="K611" t="inlineStr">
        <is>
          <t>Unilever Indonesia Official Shop</t>
        </is>
      </c>
      <c r="L611" t="inlineStr">
        <is>
          <t>KOTA BEKASI</t>
        </is>
      </c>
      <c r="M611" t="n">
        <v>11656788401</v>
      </c>
      <c r="N611" t="n">
        <v>14318452</v>
      </c>
      <c r="O611">
        <f>HYPERLINK("https://shopee.co.id/api/v4/item/get?itemid=11656788401&amp;shopid=14318452", "Dove Creambath - Hair Growth Ritual 30G")</f>
        <v/>
      </c>
      <c r="P611" t="n">
        <v>420</v>
      </c>
      <c r="Q611" t="n">
        <v>9740</v>
      </c>
      <c r="R611" t="n">
        <v>4.922397723928186</v>
      </c>
      <c r="S611" t="n">
        <v>27</v>
      </c>
      <c r="T611" t="n">
        <v>8</v>
      </c>
      <c r="U611" t="n">
        <v>85</v>
      </c>
      <c r="V611" t="n">
        <v>489</v>
      </c>
      <c r="W611" t="n">
        <v>9584</v>
      </c>
    </row>
    <row r="612">
      <c r="A612" t="inlineStr">
        <is>
          <t>Pepsodent Sensitive Mineral Expert Pasta Gigi Fresh Pasta Gigi Sensitive 100G</t>
        </is>
      </c>
      <c r="B612" t="inlineStr">
        <is>
          <t>0</t>
        </is>
      </c>
      <c r="C612" t="inlineStr">
        <is>
          <t>27%</t>
        </is>
      </c>
      <c r="D612" t="n">
        <v>27700</v>
      </c>
      <c r="E612" t="n">
        <v>37700</v>
      </c>
      <c r="F612" t="n">
        <v>27700</v>
      </c>
      <c r="G612" t="n">
        <v>37700</v>
      </c>
      <c r="H612" t="n">
        <v>27700</v>
      </c>
      <c r="I612" t="n">
        <v>37700</v>
      </c>
      <c r="J612" t="b">
        <v>1</v>
      </c>
      <c r="K612" t="inlineStr">
        <is>
          <t>Unilever Indonesia Official Shop</t>
        </is>
      </c>
      <c r="L612" t="inlineStr">
        <is>
          <t>KOTA BEKASI</t>
        </is>
      </c>
      <c r="M612" t="n">
        <v>127358067</v>
      </c>
      <c r="N612" t="n">
        <v>14318452</v>
      </c>
      <c r="O612">
        <f>HYPERLINK("https://shopee.co.id/api/v4/item/get?itemid=127358067&amp;shopid=14318452", "Pepsodent Sensitive Mineral Expert Pasta Gigi Fresh Pasta Gigi Sensitive 100G")</f>
        <v/>
      </c>
      <c r="P612" t="n">
        <v>518</v>
      </c>
      <c r="Q612" t="n">
        <v>540</v>
      </c>
      <c r="R612" t="n">
        <v>4.93053867962738</v>
      </c>
      <c r="S612" t="n">
        <v>12</v>
      </c>
      <c r="T612" t="n">
        <v>7</v>
      </c>
      <c r="U612" t="n">
        <v>24</v>
      </c>
      <c r="V612" t="n">
        <v>234</v>
      </c>
      <c r="W612" t="n">
        <v>4663</v>
      </c>
    </row>
    <row r="613">
      <c r="A613" t="inlineStr">
        <is>
          <t>Zwitsal Hand Sanitizer 50 ml x 2 pcs</t>
        </is>
      </c>
      <c r="B613" t="inlineStr"/>
      <c r="C613" t="inlineStr">
        <is>
          <t>42%</t>
        </is>
      </c>
      <c r="D613" t="n">
        <v>16700</v>
      </c>
      <c r="E613" t="n">
        <v>29000</v>
      </c>
      <c r="F613" t="n">
        <v>16700</v>
      </c>
      <c r="G613" t="n">
        <v>29000</v>
      </c>
      <c r="H613" t="n">
        <v>16700</v>
      </c>
      <c r="I613" t="n">
        <v>29000</v>
      </c>
      <c r="J613" t="b">
        <v>1</v>
      </c>
      <c r="K613" t="inlineStr">
        <is>
          <t>Unilever Indonesia Official Shop</t>
        </is>
      </c>
      <c r="L613" t="inlineStr">
        <is>
          <t>KOTA BEKASI</t>
        </is>
      </c>
      <c r="M613" t="n">
        <v>5260153572</v>
      </c>
      <c r="N613" t="n">
        <v>14318452</v>
      </c>
      <c r="O613">
        <f>HYPERLINK("https://shopee.co.id/api/v4/item/get?itemid=5260153572&amp;shopid=14318452", "Zwitsal Hand Sanitizer 50 ml x 2 pcs")</f>
        <v/>
      </c>
      <c r="P613" t="n">
        <v>38</v>
      </c>
      <c r="Q613" t="n">
        <v>74</v>
      </c>
      <c r="R613" t="n">
        <v>4.909670563230605</v>
      </c>
      <c r="S613" t="n">
        <v>5</v>
      </c>
      <c r="T613" t="n">
        <v>4</v>
      </c>
      <c r="U613" t="n">
        <v>14</v>
      </c>
      <c r="V613" t="n">
        <v>113</v>
      </c>
      <c r="W613" t="n">
        <v>1747</v>
      </c>
    </row>
    <row r="614">
      <c r="A614" t="inlineStr">
        <is>
          <t>Citra Night Collagen Glow Hand &amp; Body Lotion 230 ml</t>
        </is>
      </c>
      <c r="B614" t="inlineStr">
        <is>
          <t>Citra</t>
        </is>
      </c>
      <c r="C614" t="inlineStr">
        <is>
          <t>2%</t>
        </is>
      </c>
      <c r="D614" t="n">
        <v>32400</v>
      </c>
      <c r="E614" t="n">
        <v>33100</v>
      </c>
      <c r="F614" t="n">
        <v>32400</v>
      </c>
      <c r="G614" t="n">
        <v>33100</v>
      </c>
      <c r="H614" t="n">
        <v>32400</v>
      </c>
      <c r="I614" t="n">
        <v>33100</v>
      </c>
      <c r="J614" t="b">
        <v>1</v>
      </c>
      <c r="K614" t="inlineStr">
        <is>
          <t>Unilever Indonesia Official Shop</t>
        </is>
      </c>
      <c r="L614" t="inlineStr">
        <is>
          <t>KOTA BEKASI</t>
        </is>
      </c>
      <c r="M614" t="n">
        <v>1008956350</v>
      </c>
      <c r="N614" t="n">
        <v>14318452</v>
      </c>
      <c r="O614">
        <f>HYPERLINK("https://shopee.co.id/api/v4/item/get?itemid=1008956350&amp;shopid=14318452", "Citra Night Collagen Glow Hand &amp; Body Lotion 230 ml")</f>
        <v/>
      </c>
      <c r="P614" t="n">
        <v>356</v>
      </c>
      <c r="Q614" t="n">
        <v>1807</v>
      </c>
      <c r="R614" t="n">
        <v>4.922052725681896</v>
      </c>
      <c r="S614" t="n">
        <v>44</v>
      </c>
      <c r="T614" t="n">
        <v>33</v>
      </c>
      <c r="U614" t="n">
        <v>188</v>
      </c>
      <c r="V614" t="n">
        <v>1411</v>
      </c>
      <c r="W614" t="n">
        <v>24615</v>
      </c>
    </row>
    <row r="615">
      <c r="A615" t="inlineStr">
        <is>
          <t>Rexona Women Anti Perspirant Deodorant Roll On Passion 45 mL Twin Pack</t>
        </is>
      </c>
      <c r="B615" t="inlineStr"/>
      <c r="C615" t="inlineStr">
        <is>
          <t>1%</t>
        </is>
      </c>
      <c r="D615" t="n">
        <v>38800</v>
      </c>
      <c r="E615" t="n">
        <v>39100</v>
      </c>
      <c r="F615" t="n">
        <v>38800</v>
      </c>
      <c r="G615" t="n">
        <v>39100</v>
      </c>
      <c r="H615" t="n">
        <v>38800</v>
      </c>
      <c r="I615" t="n">
        <v>39100</v>
      </c>
      <c r="J615" t="b">
        <v>1</v>
      </c>
      <c r="K615" t="inlineStr">
        <is>
          <t>Unilever Indonesia Official Shop</t>
        </is>
      </c>
      <c r="L615" t="inlineStr">
        <is>
          <t>KOTA BEKASI</t>
        </is>
      </c>
      <c r="M615" t="n">
        <v>5732137927</v>
      </c>
      <c r="N615" t="n">
        <v>14318452</v>
      </c>
      <c r="O615">
        <f>HYPERLINK("https://shopee.co.id/api/v4/item/get?itemid=5732137927&amp;shopid=14318452", "Rexona Women Anti Perspirant Deodorant Roll On Passion 45 mL Twin Pack")</f>
        <v/>
      </c>
      <c r="P615" t="n">
        <v>356</v>
      </c>
      <c r="Q615" t="n">
        <v>408</v>
      </c>
      <c r="R615" t="n">
        <v>4.914709517923362</v>
      </c>
      <c r="S615" t="n">
        <v>6</v>
      </c>
      <c r="T615" t="n">
        <v>4</v>
      </c>
      <c r="U615" t="n">
        <v>9</v>
      </c>
      <c r="V615" t="n">
        <v>84</v>
      </c>
      <c r="W615" t="n">
        <v>1515</v>
      </c>
    </row>
    <row r="616">
      <c r="A616" t="inlineStr">
        <is>
          <t>Rinso Molto Deterjen Pakaian Bubuk Perfume Essence 770G Twinpack</t>
        </is>
      </c>
      <c r="B616" t="inlineStr">
        <is>
          <t>0</t>
        </is>
      </c>
      <c r="C616" t="inlineStr">
        <is>
          <t>26%</t>
        </is>
      </c>
      <c r="D616" t="n">
        <v>52100</v>
      </c>
      <c r="E616" t="n">
        <v>70200</v>
      </c>
      <c r="F616" t="n">
        <v>52100</v>
      </c>
      <c r="G616" t="n">
        <v>70200</v>
      </c>
      <c r="H616" t="n">
        <v>52100</v>
      </c>
      <c r="I616" t="n">
        <v>70200</v>
      </c>
      <c r="J616" t="b">
        <v>1</v>
      </c>
      <c r="K616" t="inlineStr">
        <is>
          <t>Unilever Indonesia Official Shop</t>
        </is>
      </c>
      <c r="L616" t="inlineStr">
        <is>
          <t>KOTA BEKASI</t>
        </is>
      </c>
      <c r="M616" t="n">
        <v>6458371409</v>
      </c>
      <c r="N616" t="n">
        <v>14318452</v>
      </c>
      <c r="O616">
        <f>HYPERLINK("https://shopee.co.id/api/v4/item/get?itemid=6458371409&amp;shopid=14318452", "Rinso Molto Deterjen Pakaian Bubuk Perfume Essence 770G Twinpack")</f>
        <v/>
      </c>
      <c r="P616" t="n">
        <v>81</v>
      </c>
      <c r="Q616" t="n">
        <v>578</v>
      </c>
      <c r="R616" t="n">
        <v>4.952762923351159</v>
      </c>
      <c r="S616" t="n">
        <v>1</v>
      </c>
      <c r="T616" t="n">
        <v>0</v>
      </c>
      <c r="U616" t="n">
        <v>5</v>
      </c>
      <c r="V616" t="n">
        <v>39</v>
      </c>
      <c r="W616" t="n">
        <v>1077</v>
      </c>
    </row>
    <row r="617">
      <c r="A617" t="inlineStr">
        <is>
          <t>Vaseline Lotion Intensive Care Advanced Stregth 400 ml Multi Pack</t>
        </is>
      </c>
      <c r="B617" t="inlineStr">
        <is>
          <t>0</t>
        </is>
      </c>
      <c r="C617" t="inlineStr">
        <is>
          <t>17%</t>
        </is>
      </c>
      <c r="D617" t="n">
        <v>198800</v>
      </c>
      <c r="E617" t="n">
        <v>240100</v>
      </c>
      <c r="F617" t="n">
        <v>198800</v>
      </c>
      <c r="G617" t="n">
        <v>240100</v>
      </c>
      <c r="H617" t="n">
        <v>198800</v>
      </c>
      <c r="I617" t="n">
        <v>240100</v>
      </c>
      <c r="J617" t="b">
        <v>1</v>
      </c>
      <c r="K617" t="inlineStr">
        <is>
          <t>Unilever Indonesia Official Shop</t>
        </is>
      </c>
      <c r="L617" t="inlineStr">
        <is>
          <t>KOTA BEKASI</t>
        </is>
      </c>
      <c r="M617" t="n">
        <v>5331726190</v>
      </c>
      <c r="N617" t="n">
        <v>14318452</v>
      </c>
      <c r="O617">
        <f>HYPERLINK("https://shopee.co.id/api/v4/item/get?itemid=5331726190&amp;shopid=14318452", "Vaseline Lotion Intensive Care Advanced Stregth 400 ml Multi Pack")</f>
        <v/>
      </c>
      <c r="P617" t="n">
        <v>201</v>
      </c>
      <c r="Q617" t="n">
        <v>448</v>
      </c>
      <c r="R617" t="n">
        <v>4.912257200267917</v>
      </c>
      <c r="S617" t="n">
        <v>7</v>
      </c>
      <c r="T617" t="n">
        <v>5</v>
      </c>
      <c r="U617" t="n">
        <v>20</v>
      </c>
      <c r="V617" t="n">
        <v>54</v>
      </c>
      <c r="W617" t="n">
        <v>1410</v>
      </c>
    </row>
    <row r="618">
      <c r="A618" t="inlineStr">
        <is>
          <t>Zwitsal Hand Sanitizer 50 Ml</t>
        </is>
      </c>
      <c r="B618" t="inlineStr"/>
      <c r="C618" t="inlineStr">
        <is>
          <t>22%</t>
        </is>
      </c>
      <c r="D618" t="n">
        <v>12100</v>
      </c>
      <c r="E618" t="n">
        <v>15600</v>
      </c>
      <c r="F618" t="n">
        <v>12100</v>
      </c>
      <c r="G618" t="n">
        <v>15600</v>
      </c>
      <c r="H618" t="n">
        <v>12100</v>
      </c>
      <c r="I618" t="n">
        <v>15600</v>
      </c>
      <c r="J618" t="b">
        <v>1</v>
      </c>
      <c r="K618" t="inlineStr">
        <is>
          <t>Unilever Indonesia Official Shop</t>
        </is>
      </c>
      <c r="L618" t="inlineStr">
        <is>
          <t>KOTA BEKASI</t>
        </is>
      </c>
      <c r="M618" t="n">
        <v>3460148676</v>
      </c>
      <c r="N618" t="n">
        <v>14318452</v>
      </c>
      <c r="O618">
        <f>HYPERLINK("https://shopee.co.id/api/v4/item/get?itemid=3460148676&amp;shopid=14318452", "Zwitsal Hand Sanitizer 50 Ml")</f>
        <v/>
      </c>
      <c r="P618" t="n">
        <v>83</v>
      </c>
      <c r="Q618" t="n">
        <v>151</v>
      </c>
      <c r="R618" t="n">
        <v>4.918150194393288</v>
      </c>
      <c r="S618" t="n">
        <v>10</v>
      </c>
      <c r="T618" t="n">
        <v>9</v>
      </c>
      <c r="U618" t="n">
        <v>39</v>
      </c>
      <c r="V618" t="n">
        <v>259</v>
      </c>
      <c r="W618" t="n">
        <v>4571</v>
      </c>
    </row>
    <row r="619">
      <c r="A619" t="inlineStr">
        <is>
          <t>Ponds Facial Foam Sabun Muka Pembersih Wajah Anti Bacterial&amp;Glowing 100g with Niacinamide</t>
        </is>
      </c>
      <c r="B619" t="inlineStr">
        <is>
          <t>Pond's</t>
        </is>
      </c>
      <c r="C619" t="inlineStr">
        <is>
          <t>13%</t>
        </is>
      </c>
      <c r="D619" t="n">
        <v>31100</v>
      </c>
      <c r="E619" t="n">
        <v>35900</v>
      </c>
      <c r="F619" t="n">
        <v>31100</v>
      </c>
      <c r="G619" t="n">
        <v>35900</v>
      </c>
      <c r="H619" t="n">
        <v>31100</v>
      </c>
      <c r="I619" t="n">
        <v>35900</v>
      </c>
      <c r="J619" t="b">
        <v>1</v>
      </c>
      <c r="K619" t="inlineStr">
        <is>
          <t>Unilever Indonesia Official Shop</t>
        </is>
      </c>
      <c r="L619" t="inlineStr">
        <is>
          <t>KOTA BEKASI</t>
        </is>
      </c>
      <c r="M619" t="n">
        <v>5535518612</v>
      </c>
      <c r="N619" t="n">
        <v>14318452</v>
      </c>
      <c r="O619">
        <f>HYPERLINK("https://shopee.co.id/api/v4/item/get?itemid=5535518612&amp;shopid=14318452", "Ponds Facial Foam Sabun Muka Pembersih Wajah Anti Bacterial&amp;Glowing 100g with Niacinamide")</f>
        <v/>
      </c>
      <c r="P619" t="n">
        <v>90</v>
      </c>
      <c r="Q619" t="n">
        <v>706</v>
      </c>
      <c r="R619" t="n">
        <v>4.936551187232386</v>
      </c>
      <c r="S619" t="n">
        <v>10</v>
      </c>
      <c r="T619" t="n">
        <v>7</v>
      </c>
      <c r="U619" t="n">
        <v>55</v>
      </c>
      <c r="V619" t="n">
        <v>481</v>
      </c>
      <c r="W619" t="n">
        <v>9723</v>
      </c>
    </row>
    <row r="620">
      <c r="A620" t="inlineStr">
        <is>
          <t>Citra Sabun Mandi Lulur Natural Glow Bengkoang 70 gr</t>
        </is>
      </c>
      <c r="B620" t="inlineStr">
        <is>
          <t>0</t>
        </is>
      </c>
      <c r="C620" t="inlineStr">
        <is>
          <t>3%</t>
        </is>
      </c>
      <c r="D620" t="n">
        <v>3500</v>
      </c>
      <c r="E620" t="n">
        <v>3600</v>
      </c>
      <c r="F620" t="n">
        <v>3500</v>
      </c>
      <c r="G620" t="n">
        <v>3600</v>
      </c>
      <c r="H620" t="n">
        <v>3500</v>
      </c>
      <c r="I620" t="n">
        <v>3600</v>
      </c>
      <c r="J620" t="b">
        <v>1</v>
      </c>
      <c r="K620" t="inlineStr">
        <is>
          <t>Unilever Indonesia Official Shop</t>
        </is>
      </c>
      <c r="L620" t="inlineStr">
        <is>
          <t>KOTA BEKASI</t>
        </is>
      </c>
      <c r="M620" t="n">
        <v>5660792977</v>
      </c>
      <c r="N620" t="n">
        <v>14318452</v>
      </c>
      <c r="O620">
        <f>HYPERLINK("https://shopee.co.id/api/v4/item/get?itemid=5660792977&amp;shopid=14318452", "Citra Sabun Mandi Lulur Natural Glow Bengkoang 70 gr")</f>
        <v/>
      </c>
      <c r="P620" t="n">
        <v>382</v>
      </c>
      <c r="Q620" t="n">
        <v>7896</v>
      </c>
      <c r="R620" t="n">
        <v>4.924652811976755</v>
      </c>
      <c r="S620" t="n">
        <v>19</v>
      </c>
      <c r="T620" t="n">
        <v>10</v>
      </c>
      <c r="U620" t="n">
        <v>81</v>
      </c>
      <c r="V620" t="n">
        <v>532</v>
      </c>
      <c r="W620" t="n">
        <v>9560</v>
      </c>
    </row>
    <row r="621">
      <c r="A621" t="inlineStr">
        <is>
          <t>Vaseline Hypoallergenic Repairing Jelly Baby 50 ml</t>
        </is>
      </c>
      <c r="B621" t="inlineStr">
        <is>
          <t>Vaseline</t>
        </is>
      </c>
      <c r="C621" t="inlineStr">
        <is>
          <t>11%</t>
        </is>
      </c>
      <c r="D621" t="n">
        <v>30500</v>
      </c>
      <c r="E621" t="n">
        <v>34300</v>
      </c>
      <c r="F621" t="n">
        <v>30500</v>
      </c>
      <c r="G621" t="n">
        <v>34300</v>
      </c>
      <c r="H621" t="n">
        <v>30500</v>
      </c>
      <c r="I621" t="n">
        <v>34300</v>
      </c>
      <c r="J621" t="b">
        <v>1</v>
      </c>
      <c r="K621" t="inlineStr">
        <is>
          <t>Unilever Indonesia Official Shop</t>
        </is>
      </c>
      <c r="L621" t="inlineStr">
        <is>
          <t>KOTA BEKASI</t>
        </is>
      </c>
      <c r="M621" t="n">
        <v>4138374213</v>
      </c>
      <c r="N621" t="n">
        <v>14318452</v>
      </c>
      <c r="O621">
        <f>HYPERLINK("https://shopee.co.id/api/v4/item/get?itemid=4138374213&amp;shopid=14318452", "Vaseline Hypoallergenic Repairing Jelly Baby 50 ml")</f>
        <v/>
      </c>
      <c r="P621" t="n">
        <v>466</v>
      </c>
      <c r="Q621" t="n">
        <v>219</v>
      </c>
      <c r="R621" t="n">
        <v>4.933585914865166</v>
      </c>
      <c r="S621" t="n">
        <v>8</v>
      </c>
      <c r="T621" t="n">
        <v>3</v>
      </c>
      <c r="U621" t="n">
        <v>23</v>
      </c>
      <c r="V621" t="n">
        <v>215</v>
      </c>
      <c r="W621" t="n">
        <v>4239</v>
      </c>
    </row>
    <row r="622">
      <c r="A622" t="inlineStr">
        <is>
          <t>Citra Fresh Glow Multifunction Gel Coconut Nourish UV 180ml</t>
        </is>
      </c>
      <c r="B622" t="inlineStr"/>
      <c r="C622" t="inlineStr">
        <is>
          <t>2%</t>
        </is>
      </c>
      <c r="D622" t="n">
        <v>31400</v>
      </c>
      <c r="E622" t="n">
        <v>32200</v>
      </c>
      <c r="F622" t="n">
        <v>31400</v>
      </c>
      <c r="G622" t="n">
        <v>32200</v>
      </c>
      <c r="H622" t="n">
        <v>31400</v>
      </c>
      <c r="I622" t="n">
        <v>32200</v>
      </c>
      <c r="J622" t="b">
        <v>1</v>
      </c>
      <c r="K622" t="inlineStr">
        <is>
          <t>Unilever Indonesia Official Shop</t>
        </is>
      </c>
      <c r="L622" t="inlineStr">
        <is>
          <t>KOTA BEKASI</t>
        </is>
      </c>
      <c r="M622" t="n">
        <v>3520969653</v>
      </c>
      <c r="N622" t="n">
        <v>14318452</v>
      </c>
      <c r="O622">
        <f>HYPERLINK("https://shopee.co.id/api/v4/item/get?itemid=3520969653&amp;shopid=14318452", "Citra Fresh Glow Multifunction Gel Coconut Nourish UV 180ml")</f>
        <v/>
      </c>
      <c r="P622" t="n">
        <v>159</v>
      </c>
      <c r="Q622" t="n">
        <v>721</v>
      </c>
      <c r="R622" t="n">
        <v>4.909941305942773</v>
      </c>
      <c r="S622" t="n">
        <v>22</v>
      </c>
      <c r="T622" t="n">
        <v>16</v>
      </c>
      <c r="U622" t="n">
        <v>87</v>
      </c>
      <c r="V622" t="n">
        <v>675</v>
      </c>
      <c r="W622" t="n">
        <v>10105</v>
      </c>
    </row>
    <row r="623">
      <c r="A623" t="inlineStr">
        <is>
          <t>Lux Blue Peony Sabun Cair Refill 450ml (Paket Isi 4)</t>
        </is>
      </c>
      <c r="B623" t="inlineStr">
        <is>
          <t>0</t>
        </is>
      </c>
      <c r="C623" t="inlineStr">
        <is>
          <t>28%</t>
        </is>
      </c>
      <c r="D623" t="n">
        <v>89900</v>
      </c>
      <c r="E623" t="n">
        <v>125500</v>
      </c>
      <c r="F623" t="n">
        <v>89900</v>
      </c>
      <c r="G623" t="n">
        <v>125500</v>
      </c>
      <c r="H623" t="n">
        <v>89900</v>
      </c>
      <c r="I623" t="n">
        <v>125500</v>
      </c>
      <c r="J623" t="b">
        <v>1</v>
      </c>
      <c r="K623" t="inlineStr">
        <is>
          <t>Unilever Indonesia Official Shop</t>
        </is>
      </c>
      <c r="L623" t="inlineStr">
        <is>
          <t>KOTA SEMARANG</t>
        </is>
      </c>
      <c r="M623" t="n">
        <v>5631822841</v>
      </c>
      <c r="N623" t="n">
        <v>14318452</v>
      </c>
      <c r="O623">
        <f>HYPERLINK("https://shopee.co.id/api/v4/item/get?itemid=5631822841&amp;shopid=14318452", "Lux Blue Peony Sabun Cair Refill 450ml (Paket Isi 4)")</f>
        <v/>
      </c>
      <c r="P623" t="n">
        <v>55</v>
      </c>
      <c r="Q623" t="n">
        <v>8</v>
      </c>
      <c r="R623" t="n">
        <v>4.919675090252707</v>
      </c>
      <c r="S623" t="n">
        <v>7</v>
      </c>
      <c r="T623" t="n">
        <v>4</v>
      </c>
      <c r="U623" t="n">
        <v>7</v>
      </c>
      <c r="V623" t="n">
        <v>38</v>
      </c>
      <c r="W623" t="n">
        <v>1053</v>
      </c>
    </row>
    <row r="624">
      <c r="A624" t="inlineStr">
        <is>
          <t>Rinso Molto Perfume Essence Deterjen Bubuk Purple 1.8 Kg Multi Pack</t>
        </is>
      </c>
      <c r="B624" t="inlineStr">
        <is>
          <t>Rinso</t>
        </is>
      </c>
      <c r="C624" t="inlineStr">
        <is>
          <t>25%</t>
        </is>
      </c>
      <c r="D624" t="n">
        <v>156800</v>
      </c>
      <c r="E624" t="n">
        <v>210000</v>
      </c>
      <c r="F624" t="n">
        <v>156800</v>
      </c>
      <c r="G624" t="n">
        <v>210000</v>
      </c>
      <c r="H624" t="n">
        <v>156800</v>
      </c>
      <c r="I624" t="n">
        <v>210000</v>
      </c>
      <c r="J624" t="b">
        <v>1</v>
      </c>
      <c r="K624" t="inlineStr">
        <is>
          <t>Unilever Indonesia Official Shop</t>
        </is>
      </c>
      <c r="L624" t="inlineStr">
        <is>
          <t>KOTA BEKASI</t>
        </is>
      </c>
      <c r="M624" t="n">
        <v>3332235165</v>
      </c>
      <c r="N624" t="n">
        <v>14318452</v>
      </c>
      <c r="O624">
        <f>HYPERLINK("https://shopee.co.id/api/v4/item/get?itemid=3332235165&amp;shopid=14318452", "Rinso Molto Perfume Essence Deterjen Bubuk Purple 1.8 Kg Multi Pack")</f>
        <v/>
      </c>
      <c r="P624" t="n">
        <v>740</v>
      </c>
      <c r="Q624" t="n">
        <v>1020</v>
      </c>
      <c r="R624" t="n">
        <v>4.942377495462795</v>
      </c>
      <c r="S624" t="n">
        <v>17</v>
      </c>
      <c r="T624" t="n">
        <v>9</v>
      </c>
      <c r="U624" t="n">
        <v>19</v>
      </c>
      <c r="V624" t="n">
        <v>139</v>
      </c>
      <c r="W624" t="n">
        <v>4229</v>
      </c>
    </row>
    <row r="625">
      <c r="A625" t="inlineStr">
        <is>
          <t>Dove Conditioner Perawatan Rambut Rusak Kondisioner 320 ML</t>
        </is>
      </c>
      <c r="B625" t="inlineStr">
        <is>
          <t>Dove</t>
        </is>
      </c>
      <c r="C625" t="inlineStr">
        <is>
          <t>3%</t>
        </is>
      </c>
      <c r="D625" t="n">
        <v>71000</v>
      </c>
      <c r="E625" t="n">
        <v>72900</v>
      </c>
      <c r="F625" t="n">
        <v>71000</v>
      </c>
      <c r="G625" t="n">
        <v>72900</v>
      </c>
      <c r="H625" t="n">
        <v>71000</v>
      </c>
      <c r="I625" t="n">
        <v>72900</v>
      </c>
      <c r="J625" t="b">
        <v>1</v>
      </c>
      <c r="K625" t="inlineStr">
        <is>
          <t>Unilever Indonesia Official Shop</t>
        </is>
      </c>
      <c r="L625" t="inlineStr">
        <is>
          <t>KOTA BEKASI</t>
        </is>
      </c>
      <c r="M625" t="n">
        <v>126957915</v>
      </c>
      <c r="N625" t="n">
        <v>14318452</v>
      </c>
      <c r="O625">
        <f>HYPERLINK("https://shopee.co.id/api/v4/item/get?itemid=126957915&amp;shopid=14318452", "Dove Conditioner Perawatan Rambut Rusak Kondisioner 320 ML")</f>
        <v/>
      </c>
      <c r="P625" t="n">
        <v>133</v>
      </c>
      <c r="Q625" t="n">
        <v>489</v>
      </c>
      <c r="R625" t="n">
        <v>4.937522123893805</v>
      </c>
      <c r="S625" t="n">
        <v>15</v>
      </c>
      <c r="T625" t="n">
        <v>4</v>
      </c>
      <c r="U625" t="n">
        <v>31</v>
      </c>
      <c r="V625" t="n">
        <v>223</v>
      </c>
      <c r="W625" t="n">
        <v>5378</v>
      </c>
    </row>
    <row r="626">
      <c r="A626" t="inlineStr">
        <is>
          <t>Lifebuoy Body Wash Refill Cool Fresh Antibakteri 400ml Multi Pack</t>
        </is>
      </c>
      <c r="B626" t="inlineStr">
        <is>
          <t>Lifebuoy</t>
        </is>
      </c>
      <c r="C626" t="inlineStr">
        <is>
          <t>28%</t>
        </is>
      </c>
      <c r="D626" t="n">
        <v>67500</v>
      </c>
      <c r="E626" t="n">
        <v>94200</v>
      </c>
      <c r="F626" t="n">
        <v>67500</v>
      </c>
      <c r="G626" t="n">
        <v>94200</v>
      </c>
      <c r="H626" t="n">
        <v>67500</v>
      </c>
      <c r="I626" t="n">
        <v>94200</v>
      </c>
      <c r="J626" t="b">
        <v>1</v>
      </c>
      <c r="K626" t="inlineStr">
        <is>
          <t>Unilever Indonesia Official Shop</t>
        </is>
      </c>
      <c r="L626" t="inlineStr">
        <is>
          <t>KOTA BEKASI</t>
        </is>
      </c>
      <c r="M626" t="n">
        <v>7831329855</v>
      </c>
      <c r="N626" t="n">
        <v>14318452</v>
      </c>
      <c r="O626">
        <f>HYPERLINK("https://shopee.co.id/api/v4/item/get?itemid=7831329855&amp;shopid=14318452", "Lifebuoy Body Wash Refill Cool Fresh Antibakteri 400ml Multi Pack")</f>
        <v/>
      </c>
      <c r="P626" t="n">
        <v>206</v>
      </c>
      <c r="Q626" t="n">
        <v>19</v>
      </c>
      <c r="R626" t="n">
        <v>4.859984089101034</v>
      </c>
      <c r="S626" t="n">
        <v>29</v>
      </c>
      <c r="T626" t="n">
        <v>13</v>
      </c>
      <c r="U626" t="n">
        <v>42</v>
      </c>
      <c r="V626" t="n">
        <v>117</v>
      </c>
      <c r="W626" t="n">
        <v>2314</v>
      </c>
    </row>
    <row r="627">
      <c r="A627" t="inlineStr">
        <is>
          <t>Sarimurni Teh Kantong Bundar Isi 20 36G Triple Pack</t>
        </is>
      </c>
      <c r="B627" t="inlineStr">
        <is>
          <t>Sarimurni</t>
        </is>
      </c>
      <c r="C627" t="inlineStr">
        <is>
          <t>20%</t>
        </is>
      </c>
      <c r="D627" t="n">
        <v>12100</v>
      </c>
      <c r="E627" t="n">
        <v>15100</v>
      </c>
      <c r="F627" t="n">
        <v>12100</v>
      </c>
      <c r="G627" t="n">
        <v>15100</v>
      </c>
      <c r="H627" t="n">
        <v>12100</v>
      </c>
      <c r="I627" t="n">
        <v>15100</v>
      </c>
      <c r="J627" t="b">
        <v>1</v>
      </c>
      <c r="K627" t="inlineStr">
        <is>
          <t>Unilever Indonesia Official Shop</t>
        </is>
      </c>
      <c r="L627" t="inlineStr">
        <is>
          <t>KOTA BEKASI</t>
        </is>
      </c>
      <c r="M627" t="n">
        <v>6848579287</v>
      </c>
      <c r="N627" t="n">
        <v>14318452</v>
      </c>
      <c r="O627">
        <f>HYPERLINK("https://shopee.co.id/api/v4/item/get?itemid=6848579287&amp;shopid=14318452", "Sarimurni Teh Kantong Bundar Isi 20 36G Triple Pack")</f>
        <v/>
      </c>
      <c r="P627" t="n">
        <v>153</v>
      </c>
      <c r="Q627" t="n">
        <v>375</v>
      </c>
      <c r="R627" t="n">
        <v>4.941228070175439</v>
      </c>
      <c r="S627" t="n">
        <v>3</v>
      </c>
      <c r="T627" t="n">
        <v>1</v>
      </c>
      <c r="U627" t="n">
        <v>4</v>
      </c>
      <c r="V627" t="n">
        <v>44</v>
      </c>
      <c r="W627" t="n">
        <v>1088</v>
      </c>
    </row>
    <row r="628">
      <c r="A628" t="inlineStr">
        <is>
          <t>Pepsodent Action 123 Nature Essentials Siwak Pasta Gigi Halal 65 gr x3</t>
        </is>
      </c>
      <c r="B628" t="inlineStr">
        <is>
          <t>Pepsodent</t>
        </is>
      </c>
      <c r="C628" t="inlineStr">
        <is>
          <t>14%</t>
        </is>
      </c>
      <c r="D628" t="n">
        <v>19600</v>
      </c>
      <c r="E628" t="n">
        <v>22800</v>
      </c>
      <c r="F628" t="n">
        <v>19600</v>
      </c>
      <c r="G628" t="n">
        <v>22800</v>
      </c>
      <c r="H628" t="n">
        <v>19600</v>
      </c>
      <c r="I628" t="n">
        <v>22800</v>
      </c>
      <c r="J628" t="b">
        <v>1</v>
      </c>
      <c r="K628" t="inlineStr">
        <is>
          <t>Unilever Indonesia Official Shop</t>
        </is>
      </c>
      <c r="L628" t="inlineStr">
        <is>
          <t>KOTA BEKASI</t>
        </is>
      </c>
      <c r="M628" t="n">
        <v>7347435987</v>
      </c>
      <c r="N628" t="n">
        <v>14318452</v>
      </c>
      <c r="O628">
        <f>HYPERLINK("https://shopee.co.id/api/v4/item/get?itemid=7347435987&amp;shopid=14318452", "Pepsodent Action 123 Nature Essentials Siwak Pasta Gigi Halal 65 gr x3")</f>
        <v/>
      </c>
      <c r="P628" t="n">
        <v>90</v>
      </c>
      <c r="Q628" t="n">
        <v>452</v>
      </c>
      <c r="R628" t="n">
        <v>4.921052631578948</v>
      </c>
      <c r="S628" t="n">
        <v>4</v>
      </c>
      <c r="T628" t="n">
        <v>0</v>
      </c>
      <c r="U628" t="n">
        <v>12</v>
      </c>
      <c r="V628" t="n">
        <v>114</v>
      </c>
      <c r="W628" t="n">
        <v>1771</v>
      </c>
    </row>
    <row r="629">
      <c r="A629" t="inlineStr">
        <is>
          <t>Buavita Lychee 250 ml x 2 pcs</t>
        </is>
      </c>
      <c r="B629" t="inlineStr">
        <is>
          <t>0</t>
        </is>
      </c>
      <c r="C629" t="inlineStr">
        <is>
          <t>25%</t>
        </is>
      </c>
      <c r="D629" t="n">
        <v>10900</v>
      </c>
      <c r="E629" t="n">
        <v>14500</v>
      </c>
      <c r="F629" t="n">
        <v>10900</v>
      </c>
      <c r="G629" t="n">
        <v>14500</v>
      </c>
      <c r="H629" t="n">
        <v>10900</v>
      </c>
      <c r="I629" t="n">
        <v>14500</v>
      </c>
      <c r="J629" t="b">
        <v>1</v>
      </c>
      <c r="K629" t="inlineStr">
        <is>
          <t>Unilever Indonesia Official Shop</t>
        </is>
      </c>
      <c r="L629" t="inlineStr">
        <is>
          <t>KOTA SEMARANG</t>
        </is>
      </c>
      <c r="M629" t="n">
        <v>5642334194</v>
      </c>
      <c r="N629" t="n">
        <v>14318452</v>
      </c>
      <c r="O629">
        <f>HYPERLINK("https://shopee.co.id/api/v4/item/get?itemid=5642334194&amp;shopid=14318452", "Buavita Lychee 250 ml x 2 pcs")</f>
        <v/>
      </c>
      <c r="P629" t="n">
        <v>403</v>
      </c>
      <c r="Q629" t="n">
        <v>222</v>
      </c>
      <c r="R629" t="n">
        <v>4.913157894736842</v>
      </c>
      <c r="S629" t="n">
        <v>8</v>
      </c>
      <c r="T629" t="n">
        <v>12</v>
      </c>
      <c r="U629" t="n">
        <v>30</v>
      </c>
      <c r="V629" t="n">
        <v>136</v>
      </c>
      <c r="W629" t="n">
        <v>2859</v>
      </c>
    </row>
    <row r="630">
      <c r="A630" t="inlineStr">
        <is>
          <t>Sunsilk Hijab Shampo Anti Ketombe &amp; Menthol Dingin 300Ml Rambut Segar &amp; Harum 48 Jam x2</t>
        </is>
      </c>
      <c r="B630" t="inlineStr">
        <is>
          <t>Sunsilk</t>
        </is>
      </c>
      <c r="C630" t="inlineStr">
        <is>
          <t>13%</t>
        </is>
      </c>
      <c r="D630" t="n">
        <v>86500</v>
      </c>
      <c r="E630" t="n">
        <v>99400</v>
      </c>
      <c r="F630" t="n">
        <v>86500</v>
      </c>
      <c r="G630" t="n">
        <v>99400</v>
      </c>
      <c r="H630" t="n">
        <v>86500</v>
      </c>
      <c r="I630" t="n">
        <v>99400</v>
      </c>
      <c r="J630" t="b">
        <v>1</v>
      </c>
      <c r="K630" t="inlineStr">
        <is>
          <t>Unilever Indonesia Official Shop</t>
        </is>
      </c>
      <c r="L630" t="inlineStr">
        <is>
          <t>KOTA BEKASI</t>
        </is>
      </c>
      <c r="M630" t="n">
        <v>4031742461</v>
      </c>
      <c r="N630" t="n">
        <v>14318452</v>
      </c>
      <c r="O630">
        <f>HYPERLINK("https://shopee.co.id/api/v4/item/get?itemid=4031742461&amp;shopid=14318452", "Sunsilk Hijab Shampo Anti Ketombe &amp; Menthol Dingin 300Ml Rambut Segar &amp; Harum 48 Jam x2")</f>
        <v/>
      </c>
      <c r="P630" t="n">
        <v>155</v>
      </c>
      <c r="Q630" t="n">
        <v>223</v>
      </c>
      <c r="R630" t="n">
        <v>4.919005328596803</v>
      </c>
      <c r="S630" t="n">
        <v>10</v>
      </c>
      <c r="T630" t="n">
        <v>14</v>
      </c>
      <c r="U630" t="n">
        <v>19</v>
      </c>
      <c r="V630" t="n">
        <v>112</v>
      </c>
      <c r="W630" t="n">
        <v>2661</v>
      </c>
    </row>
    <row r="631">
      <c r="A631" t="inlineStr">
        <is>
          <t>Wipol Karbol Lemon Pembersih Lantai Refill Disinfektan Pel Antiseptik Karbol Lantai 750Ml</t>
        </is>
      </c>
      <c r="B631" t="inlineStr">
        <is>
          <t>0</t>
        </is>
      </c>
      <c r="C631" t="inlineStr">
        <is>
          <t>22%</t>
        </is>
      </c>
      <c r="D631" t="n">
        <v>18500</v>
      </c>
      <c r="E631" t="n">
        <v>23800</v>
      </c>
      <c r="F631" t="n">
        <v>18500</v>
      </c>
      <c r="G631" t="n">
        <v>23800</v>
      </c>
      <c r="H631" t="n">
        <v>18500</v>
      </c>
      <c r="I631" t="n">
        <v>23800</v>
      </c>
      <c r="J631" t="b">
        <v>1</v>
      </c>
      <c r="K631" t="inlineStr">
        <is>
          <t>Unilever Indonesia Official Shop</t>
        </is>
      </c>
      <c r="L631" t="inlineStr">
        <is>
          <t>KOTA BEKASI</t>
        </is>
      </c>
      <c r="M631" t="n">
        <v>1040498710</v>
      </c>
      <c r="N631" t="n">
        <v>14318452</v>
      </c>
      <c r="O631">
        <f>HYPERLINK("https://shopee.co.id/api/v4/item/get?itemid=1040498710&amp;shopid=14318452", "Wipol Karbol Lemon Pembersih Lantai Refill Disinfektan Pel Antiseptik Karbol Lantai 750Ml")</f>
        <v/>
      </c>
      <c r="P631" t="n">
        <v>515</v>
      </c>
      <c r="Q631" t="n">
        <v>2541</v>
      </c>
      <c r="R631" t="n">
        <v>4.933724129680583</v>
      </c>
      <c r="S631" t="n">
        <v>24</v>
      </c>
      <c r="T631" t="n">
        <v>20</v>
      </c>
      <c r="U631" t="n">
        <v>34</v>
      </c>
      <c r="V631" t="n">
        <v>341</v>
      </c>
      <c r="W631" t="n">
        <v>7946</v>
      </c>
    </row>
    <row r="632">
      <c r="A632" t="inlineStr">
        <is>
          <t>Dove 3 In 1 Super Shampoo Hair Serum 125Ml x2 - Anti Lepek Anti Ketombe Anti Hair Fall</t>
        </is>
      </c>
      <c r="B632" t="inlineStr">
        <is>
          <t>Dove</t>
        </is>
      </c>
      <c r="C632" t="inlineStr">
        <is>
          <t>18%</t>
        </is>
      </c>
      <c r="D632" t="n">
        <v>37300</v>
      </c>
      <c r="E632" t="n">
        <v>45700</v>
      </c>
      <c r="F632" t="n">
        <v>37300</v>
      </c>
      <c r="G632" t="n">
        <v>45700</v>
      </c>
      <c r="H632" t="n">
        <v>37300</v>
      </c>
      <c r="I632" t="n">
        <v>45700</v>
      </c>
      <c r="J632" t="b">
        <v>1</v>
      </c>
      <c r="K632" t="inlineStr">
        <is>
          <t>Unilever Indonesia Official Shop</t>
        </is>
      </c>
      <c r="L632" t="inlineStr">
        <is>
          <t>KOTA BEKASI</t>
        </is>
      </c>
      <c r="M632" t="n">
        <v>8312856039</v>
      </c>
      <c r="N632" t="n">
        <v>14318452</v>
      </c>
      <c r="O632">
        <f>HYPERLINK("https://shopee.co.id/api/v4/item/get?itemid=8312856039&amp;shopid=14318452", "Dove 3 In 1 Super Shampoo Hair Serum 125Ml x2 - Anti Lepek Anti Ketombe Anti Hair Fall")</f>
        <v/>
      </c>
      <c r="P632" t="n">
        <v>799</v>
      </c>
      <c r="Q632" t="n">
        <v>4135</v>
      </c>
      <c r="R632" t="n">
        <v>4.916202075649712</v>
      </c>
      <c r="S632" t="n">
        <v>43</v>
      </c>
      <c r="T632" t="n">
        <v>30</v>
      </c>
      <c r="U632" t="n">
        <v>95</v>
      </c>
      <c r="V632" t="n">
        <v>542</v>
      </c>
      <c r="W632" t="n">
        <v>10954</v>
      </c>
    </row>
    <row r="633">
      <c r="A633" t="inlineStr">
        <is>
          <t>Super Pell Pembersih Lantai Pink Pouch 780ml Twin Pack</t>
        </is>
      </c>
      <c r="B633" t="inlineStr">
        <is>
          <t>0</t>
        </is>
      </c>
      <c r="C633" t="inlineStr">
        <is>
          <t>23%</t>
        </is>
      </c>
      <c r="D633" t="n">
        <v>25900</v>
      </c>
      <c r="E633" t="n">
        <v>33600</v>
      </c>
      <c r="F633" t="n">
        <v>25900</v>
      </c>
      <c r="G633" t="n">
        <v>33600</v>
      </c>
      <c r="H633" t="n">
        <v>25900</v>
      </c>
      <c r="I633" t="n">
        <v>33600</v>
      </c>
      <c r="J633" t="b">
        <v>1</v>
      </c>
      <c r="K633" t="inlineStr">
        <is>
          <t>Unilever Indonesia Official Shop</t>
        </is>
      </c>
      <c r="L633" t="inlineStr">
        <is>
          <t>KAB. BANYUASIN</t>
        </is>
      </c>
      <c r="M633" t="n">
        <v>6031690941</v>
      </c>
      <c r="N633" t="n">
        <v>14318452</v>
      </c>
      <c r="O633">
        <f>HYPERLINK("https://shopee.co.id/api/v4/item/get?itemid=6031690941&amp;shopid=14318452", "Super Pell Pembersih Lantai Pink Pouch 780ml Twin Pack")</f>
        <v/>
      </c>
      <c r="P633" t="n">
        <v>125</v>
      </c>
      <c r="Q633" t="n">
        <v>3</v>
      </c>
      <c r="R633" t="n">
        <v>4.928327645051194</v>
      </c>
      <c r="S633" t="n">
        <v>3</v>
      </c>
      <c r="T633" t="n">
        <v>0</v>
      </c>
      <c r="U633" t="n">
        <v>8</v>
      </c>
      <c r="V633" t="n">
        <v>14</v>
      </c>
      <c r="W633" t="n">
        <v>561</v>
      </c>
    </row>
    <row r="634">
      <c r="A634" t="inlineStr">
        <is>
          <t>Molto Ultra Pure Pouch 720 ml Twin Pack</t>
        </is>
      </c>
      <c r="B634" t="inlineStr">
        <is>
          <t>Molto</t>
        </is>
      </c>
      <c r="C634" t="inlineStr">
        <is>
          <t>21%</t>
        </is>
      </c>
      <c r="D634" t="n">
        <v>62100</v>
      </c>
      <c r="E634" t="n">
        <v>79000</v>
      </c>
      <c r="F634" t="n">
        <v>62100</v>
      </c>
      <c r="G634" t="n">
        <v>79000</v>
      </c>
      <c r="H634" t="n">
        <v>62100</v>
      </c>
      <c r="I634" t="n">
        <v>79000</v>
      </c>
      <c r="J634" t="b">
        <v>1</v>
      </c>
      <c r="K634" t="inlineStr">
        <is>
          <t>Unilever Indonesia Official Shop</t>
        </is>
      </c>
      <c r="L634" t="inlineStr">
        <is>
          <t>KOTA BEKASI</t>
        </is>
      </c>
      <c r="M634" t="n">
        <v>7631659925</v>
      </c>
      <c r="N634" t="n">
        <v>14318452</v>
      </c>
      <c r="O634">
        <f>HYPERLINK("https://shopee.co.id/api/v4/item/get?itemid=7631659925&amp;shopid=14318452", "Molto Ultra Pure Pouch 720 ml Twin Pack")</f>
        <v/>
      </c>
      <c r="P634" t="n">
        <v>126</v>
      </c>
      <c r="Q634" t="n">
        <v>203</v>
      </c>
      <c r="R634" t="n">
        <v>4.942092011902037</v>
      </c>
      <c r="S634" t="n">
        <v>11</v>
      </c>
      <c r="T634" t="n">
        <v>9</v>
      </c>
      <c r="U634" t="n">
        <v>25</v>
      </c>
      <c r="V634" t="n">
        <v>135</v>
      </c>
      <c r="W634" t="n">
        <v>4190</v>
      </c>
    </row>
    <row r="635">
      <c r="A635" t="inlineStr">
        <is>
          <t>Ponds Vitamin Micellar Water Waterproof Makeup Remover Nourishing Milk All Skin 100Ml</t>
        </is>
      </c>
      <c r="B635" t="inlineStr">
        <is>
          <t>0</t>
        </is>
      </c>
      <c r="C635" t="inlineStr">
        <is>
          <t>9%</t>
        </is>
      </c>
      <c r="D635" t="n">
        <v>31000</v>
      </c>
      <c r="E635" t="n">
        <v>34200</v>
      </c>
      <c r="F635" t="n">
        <v>31000</v>
      </c>
      <c r="G635" t="n">
        <v>34200</v>
      </c>
      <c r="H635" t="n">
        <v>31000</v>
      </c>
      <c r="I635" t="n">
        <v>34200</v>
      </c>
      <c r="J635" t="b">
        <v>1</v>
      </c>
      <c r="K635" t="inlineStr">
        <is>
          <t>Unilever Indonesia Official Shop</t>
        </is>
      </c>
      <c r="L635" t="inlineStr">
        <is>
          <t>KOTA BEKASI</t>
        </is>
      </c>
      <c r="M635" t="n">
        <v>2662431104</v>
      </c>
      <c r="N635" t="n">
        <v>14318452</v>
      </c>
      <c r="O635">
        <f>HYPERLINK("https://shopee.co.id/api/v4/item/get?itemid=2662431104&amp;shopid=14318452", "Ponds Vitamin Micellar Water Waterproof Makeup Remover Nourishing Milk All Skin 100Ml")</f>
        <v/>
      </c>
      <c r="P635" t="n">
        <v>67</v>
      </c>
      <c r="Q635" t="n">
        <v>536</v>
      </c>
      <c r="R635" t="n">
        <v>4.896785714285715</v>
      </c>
      <c r="S635" t="n">
        <v>17</v>
      </c>
      <c r="T635" t="n">
        <v>8</v>
      </c>
      <c r="U635" t="n">
        <v>55</v>
      </c>
      <c r="V635" t="n">
        <v>379</v>
      </c>
      <c r="W635" t="n">
        <v>5142</v>
      </c>
    </row>
    <row r="636">
      <c r="A636" t="inlineStr">
        <is>
          <t>Molto Trika Pelicin Pakaian Blue 400 ml - Twin Pack</t>
        </is>
      </c>
      <c r="B636" t="inlineStr">
        <is>
          <t>Molto</t>
        </is>
      </c>
      <c r="C636" t="inlineStr">
        <is>
          <t>52%</t>
        </is>
      </c>
      <c r="D636" t="n">
        <v>17300</v>
      </c>
      <c r="E636" t="n">
        <v>36000</v>
      </c>
      <c r="F636" t="n">
        <v>17300</v>
      </c>
      <c r="G636" t="n">
        <v>36000</v>
      </c>
      <c r="H636" t="n">
        <v>17300</v>
      </c>
      <c r="I636" t="n">
        <v>36000</v>
      </c>
      <c r="J636" t="b">
        <v>1</v>
      </c>
      <c r="K636" t="inlineStr">
        <is>
          <t>Unilever Indonesia Official Shop</t>
        </is>
      </c>
      <c r="L636" t="inlineStr">
        <is>
          <t>KOTA BEKASI</t>
        </is>
      </c>
      <c r="M636" t="n">
        <v>3931794150</v>
      </c>
      <c r="N636" t="n">
        <v>14318452</v>
      </c>
      <c r="O636">
        <f>HYPERLINK("https://shopee.co.id/api/v4/item/get?itemid=3931794150&amp;shopid=14318452", "Molto Trika Pelicin Pakaian Blue 400 ml - Twin Pack")</f>
        <v/>
      </c>
      <c r="P636" t="n">
        <v>644</v>
      </c>
      <c r="Q636" t="n">
        <v>1460</v>
      </c>
      <c r="R636" t="n">
        <v>4.904575163398693</v>
      </c>
      <c r="S636" t="n">
        <v>22</v>
      </c>
      <c r="T636" t="n">
        <v>21</v>
      </c>
      <c r="U636" t="n">
        <v>89</v>
      </c>
      <c r="V636" t="n">
        <v>412</v>
      </c>
      <c r="W636" t="n">
        <v>7109</v>
      </c>
    </row>
    <row r="637">
      <c r="A637" t="inlineStr">
        <is>
          <t>Lifebuoy Sabun Cuci Tangan Total 10 200 Ml - Sabun Cuci Tangan Anti Bakteri, Hand Wash</t>
        </is>
      </c>
      <c r="B637" t="inlineStr">
        <is>
          <t>Lifebuoy</t>
        </is>
      </c>
      <c r="C637" t="inlineStr">
        <is>
          <t>13%</t>
        </is>
      </c>
      <c r="D637" t="n">
        <v>15600</v>
      </c>
      <c r="E637" t="n">
        <v>18000</v>
      </c>
      <c r="F637" t="n">
        <v>15600</v>
      </c>
      <c r="G637" t="n">
        <v>18000</v>
      </c>
      <c r="H637" t="n">
        <v>15600</v>
      </c>
      <c r="I637" t="n">
        <v>18000</v>
      </c>
      <c r="J637" t="b">
        <v>1</v>
      </c>
      <c r="K637" t="inlineStr">
        <is>
          <t>Unilever Indonesia Official Shop</t>
        </is>
      </c>
      <c r="L637" t="inlineStr">
        <is>
          <t>KOTA BEKASI</t>
        </is>
      </c>
      <c r="M637" t="n">
        <v>5410111327</v>
      </c>
      <c r="N637" t="n">
        <v>14318452</v>
      </c>
      <c r="O637">
        <f>HYPERLINK("https://shopee.co.id/api/v4/item/get?itemid=5410111327&amp;shopid=14318452", "Lifebuoy Sabun Cuci Tangan Total 10 200 Ml - Sabun Cuci Tangan Anti Bakteri, Hand Wash")</f>
        <v/>
      </c>
      <c r="P637" t="n">
        <v>285</v>
      </c>
      <c r="Q637" t="n">
        <v>148</v>
      </c>
      <c r="R637" t="n">
        <v>4.91819472376671</v>
      </c>
      <c r="S637" t="n">
        <v>54</v>
      </c>
      <c r="T637" t="n">
        <v>31</v>
      </c>
      <c r="U637" t="n">
        <v>147</v>
      </c>
      <c r="V637" t="n">
        <v>793</v>
      </c>
      <c r="W637" t="n">
        <v>15889</v>
      </c>
    </row>
    <row r="638">
      <c r="A638" t="inlineStr">
        <is>
          <t>Buavita Mango 250 ml - Twin Pack</t>
        </is>
      </c>
      <c r="B638" t="inlineStr">
        <is>
          <t>0</t>
        </is>
      </c>
      <c r="C638" t="inlineStr">
        <is>
          <t>25%</t>
        </is>
      </c>
      <c r="D638" t="n">
        <v>10900</v>
      </c>
      <c r="E638" t="n">
        <v>14500</v>
      </c>
      <c r="F638" t="n">
        <v>10900</v>
      </c>
      <c r="G638" t="n">
        <v>14500</v>
      </c>
      <c r="H638" t="n">
        <v>10900</v>
      </c>
      <c r="I638" t="n">
        <v>14500</v>
      </c>
      <c r="J638" t="b">
        <v>1</v>
      </c>
      <c r="K638" t="inlineStr">
        <is>
          <t>Unilever Indonesia Official Shop</t>
        </is>
      </c>
      <c r="L638" t="inlineStr">
        <is>
          <t>KOTA BEKASI</t>
        </is>
      </c>
      <c r="M638" t="n">
        <v>3231905305</v>
      </c>
      <c r="N638" t="n">
        <v>14318452</v>
      </c>
      <c r="O638">
        <f>HYPERLINK("https://shopee.co.id/api/v4/item/get?itemid=3231905305&amp;shopid=14318452", "Buavita Mango 250 ml - Twin Pack")</f>
        <v/>
      </c>
      <c r="P638" t="n">
        <v>148</v>
      </c>
      <c r="Q638" t="n">
        <v>663</v>
      </c>
      <c r="R638" t="n">
        <v>4.912368972746331</v>
      </c>
      <c r="S638" t="n">
        <v>8</v>
      </c>
      <c r="T638" t="n">
        <v>2</v>
      </c>
      <c r="U638" t="n">
        <v>25</v>
      </c>
      <c r="V638" t="n">
        <v>121</v>
      </c>
      <c r="W638" t="n">
        <v>2232</v>
      </c>
    </row>
    <row r="639">
      <c r="A639" t="inlineStr">
        <is>
          <t>Lux Botanicals Body Wash Bird of Paradise Vitamin E Essence 400 ml</t>
        </is>
      </c>
      <c r="B639" t="inlineStr"/>
      <c r="C639" t="inlineStr">
        <is>
          <t>24%</t>
        </is>
      </c>
      <c r="D639" t="n">
        <v>22500</v>
      </c>
      <c r="E639" t="n">
        <v>29500</v>
      </c>
      <c r="F639" t="n">
        <v>22500</v>
      </c>
      <c r="G639" t="n">
        <v>29500</v>
      </c>
      <c r="H639" t="n">
        <v>22500</v>
      </c>
      <c r="I639" t="n">
        <v>29500</v>
      </c>
      <c r="J639" t="b">
        <v>1</v>
      </c>
      <c r="K639" t="inlineStr">
        <is>
          <t>Unilever Indonesia Official Shop</t>
        </is>
      </c>
      <c r="L639" t="inlineStr">
        <is>
          <t>KOTA BEKASI</t>
        </is>
      </c>
      <c r="M639" t="n">
        <v>3416152928</v>
      </c>
      <c r="N639" t="n">
        <v>14318452</v>
      </c>
      <c r="O639">
        <f>HYPERLINK("https://shopee.co.id/api/v4/item/get?itemid=3416152928&amp;shopid=14318452", "Lux Botanicals Body Wash Bird of Paradise Vitamin E Essence 400 ml")</f>
        <v/>
      </c>
      <c r="P639" t="n">
        <v>255</v>
      </c>
      <c r="Q639" t="n">
        <v>4</v>
      </c>
      <c r="R639" t="n">
        <v>4.930133898979186</v>
      </c>
      <c r="S639" t="n">
        <v>17</v>
      </c>
      <c r="T639" t="n">
        <v>12</v>
      </c>
      <c r="U639" t="n">
        <v>42</v>
      </c>
      <c r="V639" t="n">
        <v>352</v>
      </c>
      <c r="W639" t="n">
        <v>7124</v>
      </c>
    </row>
    <row r="640">
      <c r="A640" t="inlineStr">
        <is>
          <t>Zwitsal Oil Natural - 100ml Twin Pack</t>
        </is>
      </c>
      <c r="B640" t="inlineStr">
        <is>
          <t>Zwitsal</t>
        </is>
      </c>
      <c r="C640" t="inlineStr">
        <is>
          <t>21%</t>
        </is>
      </c>
      <c r="D640" t="n">
        <v>34800</v>
      </c>
      <c r="E640" t="n">
        <v>44200</v>
      </c>
      <c r="F640" t="n">
        <v>34800</v>
      </c>
      <c r="G640" t="n">
        <v>44200</v>
      </c>
      <c r="H640" t="n">
        <v>34800</v>
      </c>
      <c r="I640" t="n">
        <v>44200</v>
      </c>
      <c r="J640" t="b">
        <v>1</v>
      </c>
      <c r="K640" t="inlineStr">
        <is>
          <t>Unilever Indonesia Official Shop</t>
        </is>
      </c>
      <c r="L640" t="inlineStr">
        <is>
          <t>KOTA SEMARANG</t>
        </is>
      </c>
      <c r="M640" t="n">
        <v>7531757212</v>
      </c>
      <c r="N640" t="n">
        <v>14318452</v>
      </c>
      <c r="O640">
        <f>HYPERLINK("https://shopee.co.id/api/v4/item/get?itemid=7531757212&amp;shopid=14318452", "Zwitsal Oil Natural - 100ml Twin Pack")</f>
        <v/>
      </c>
      <c r="P640" t="n">
        <v>96</v>
      </c>
      <c r="Q640" t="n">
        <v>497</v>
      </c>
      <c r="R640" t="n">
        <v>4.917910447761194</v>
      </c>
      <c r="S640" t="n">
        <v>3</v>
      </c>
      <c r="T640" t="n">
        <v>2</v>
      </c>
      <c r="U640" t="n">
        <v>10</v>
      </c>
      <c r="V640" t="n">
        <v>83</v>
      </c>
      <c r="W640" t="n">
        <v>1376</v>
      </c>
    </row>
    <row r="641">
      <c r="A641" t="inlineStr">
        <is>
          <t>LIFEBUOY Shampo Anti Ketombe Anti Dandruff dengan Milknutristrong &amp; Active Zinc Pouch 900 ML</t>
        </is>
      </c>
      <c r="B641" t="inlineStr">
        <is>
          <t>Lifebuoy</t>
        </is>
      </c>
      <c r="C641" t="inlineStr">
        <is>
          <t>29%</t>
        </is>
      </c>
      <c r="D641" t="n">
        <v>49700</v>
      </c>
      <c r="E641" t="n">
        <v>69900</v>
      </c>
      <c r="F641" t="n">
        <v>49700</v>
      </c>
      <c r="G641" t="n">
        <v>69900</v>
      </c>
      <c r="H641" t="n">
        <v>49700</v>
      </c>
      <c r="I641" t="n">
        <v>69900</v>
      </c>
      <c r="J641" t="b">
        <v>1</v>
      </c>
      <c r="K641" t="inlineStr">
        <is>
          <t>Unilever Indonesia Official Shop</t>
        </is>
      </c>
      <c r="L641" t="inlineStr">
        <is>
          <t>KOTA BEKASI</t>
        </is>
      </c>
      <c r="M641" t="n">
        <v>7262036548</v>
      </c>
      <c r="N641" t="n">
        <v>14318452</v>
      </c>
      <c r="O641">
        <f>HYPERLINK("https://shopee.co.id/api/v4/item/get?itemid=7262036548&amp;shopid=14318452", "LIFEBUOY Shampo Anti Ketombe Anti Dandruff dengan Milknutristrong &amp; Active Zinc Pouch 900 ML")</f>
        <v/>
      </c>
      <c r="P641" t="n">
        <v>1104</v>
      </c>
      <c r="Q641" t="n">
        <v>61</v>
      </c>
      <c r="R641" t="n">
        <v>4.948632762586251</v>
      </c>
      <c r="S641" t="n">
        <v>33</v>
      </c>
      <c r="T641" t="n">
        <v>17</v>
      </c>
      <c r="U641" t="n">
        <v>65</v>
      </c>
      <c r="V641" t="n">
        <v>509</v>
      </c>
      <c r="W641" t="n">
        <v>15063</v>
      </c>
    </row>
    <row r="642">
      <c r="A642" t="inlineStr">
        <is>
          <t>Clear Men 3-In-1 Shampo Active Clean Pouch 280ml</t>
        </is>
      </c>
      <c r="B642" t="inlineStr">
        <is>
          <t>Clear</t>
        </is>
      </c>
      <c r="C642" t="inlineStr">
        <is>
          <t>17%</t>
        </is>
      </c>
      <c r="D642" t="n">
        <v>35300</v>
      </c>
      <c r="E642" t="n">
        <v>42300</v>
      </c>
      <c r="F642" t="n">
        <v>35300</v>
      </c>
      <c r="G642" t="n">
        <v>42300</v>
      </c>
      <c r="H642" t="n">
        <v>35300</v>
      </c>
      <c r="I642" t="n">
        <v>42300</v>
      </c>
      <c r="J642" t="b">
        <v>1</v>
      </c>
      <c r="K642" t="inlineStr">
        <is>
          <t>Unilever Indonesia Official Shop</t>
        </is>
      </c>
      <c r="L642" t="inlineStr">
        <is>
          <t>KOTA BEKASI</t>
        </is>
      </c>
      <c r="M642" t="n">
        <v>8400509028</v>
      </c>
      <c r="N642" t="n">
        <v>14318452</v>
      </c>
      <c r="O642">
        <f>HYPERLINK("https://shopee.co.id/api/v4/item/get?itemid=8400509028&amp;shopid=14318452", "Clear Men 3-In-1 Shampo Active Clean Pouch 280ml")</f>
        <v/>
      </c>
      <c r="P642" t="n">
        <v>228</v>
      </c>
      <c r="Q642" t="n">
        <v>1828</v>
      </c>
      <c r="R642" t="n">
        <v>4.922955353615172</v>
      </c>
      <c r="S642" t="n">
        <v>8</v>
      </c>
      <c r="T642" t="n">
        <v>2</v>
      </c>
      <c r="U642" t="n">
        <v>12</v>
      </c>
      <c r="V642" t="n">
        <v>133</v>
      </c>
      <c r="W642" t="n">
        <v>2376</v>
      </c>
    </row>
    <row r="643">
      <c r="A643" t="inlineStr">
        <is>
          <t>Dove Shampo Anti Ketombe 290 ML</t>
        </is>
      </c>
      <c r="B643" t="inlineStr"/>
      <c r="C643" t="inlineStr">
        <is>
          <t>3%</t>
        </is>
      </c>
      <c r="D643" t="n">
        <v>56600</v>
      </c>
      <c r="E643" t="n">
        <v>58100</v>
      </c>
      <c r="F643" t="n">
        <v>56600</v>
      </c>
      <c r="G643" t="n">
        <v>58100</v>
      </c>
      <c r="H643" t="n">
        <v>56600</v>
      </c>
      <c r="I643" t="n">
        <v>58100</v>
      </c>
      <c r="J643" t="b">
        <v>1</v>
      </c>
      <c r="K643" t="inlineStr">
        <is>
          <t>Unilever Indonesia Official Shop</t>
        </is>
      </c>
      <c r="L643" t="inlineStr">
        <is>
          <t>KOTA BEKASI</t>
        </is>
      </c>
      <c r="M643" t="n">
        <v>10601735388</v>
      </c>
      <c r="N643" t="n">
        <v>14318452</v>
      </c>
      <c r="O643">
        <f>HYPERLINK("https://shopee.co.id/api/v4/item/get?itemid=10601735388&amp;shopid=14318452", "Dove Shampo Anti Ketombe 290 ML")</f>
        <v/>
      </c>
      <c r="P643" t="n">
        <v>110</v>
      </c>
      <c r="Q643" t="n">
        <v>236</v>
      </c>
      <c r="R643" t="n">
        <v>4.924157303370786</v>
      </c>
      <c r="S643" t="n">
        <v>7</v>
      </c>
      <c r="T643" t="n">
        <v>3</v>
      </c>
      <c r="U643" t="n">
        <v>18</v>
      </c>
      <c r="V643" t="n">
        <v>93</v>
      </c>
      <c r="W643" t="n">
        <v>2016</v>
      </c>
    </row>
    <row r="644">
      <c r="A644" t="inlineStr">
        <is>
          <t>Dove Go Fresh Fresh Touch Body Wash Refill 400Ml</t>
        </is>
      </c>
      <c r="B644" t="inlineStr">
        <is>
          <t>0</t>
        </is>
      </c>
      <c r="C644" t="inlineStr">
        <is>
          <t>5%</t>
        </is>
      </c>
      <c r="D644" t="n">
        <v>37800</v>
      </c>
      <c r="E644" t="n">
        <v>39800</v>
      </c>
      <c r="F644" t="n">
        <v>37800</v>
      </c>
      <c r="G644" t="n">
        <v>39800</v>
      </c>
      <c r="H644" t="n">
        <v>37800</v>
      </c>
      <c r="I644" t="n">
        <v>39800</v>
      </c>
      <c r="J644" t="b">
        <v>1</v>
      </c>
      <c r="K644" t="inlineStr">
        <is>
          <t>Unilever Indonesia Official Shop</t>
        </is>
      </c>
      <c r="L644" t="inlineStr">
        <is>
          <t>KOTA BEKASI</t>
        </is>
      </c>
      <c r="M644" t="n">
        <v>127003129</v>
      </c>
      <c r="N644" t="n">
        <v>14318452</v>
      </c>
      <c r="O644">
        <f>HYPERLINK("https://shopee.co.id/api/v4/item/get?itemid=127003129&amp;shopid=14318452", "Dove Go Fresh Fresh Touch Body Wash Refill 400Ml")</f>
        <v/>
      </c>
      <c r="P644" t="n">
        <v>129</v>
      </c>
      <c r="Q644" t="n">
        <v>1069</v>
      </c>
      <c r="R644" t="n">
        <v>4.910522369407648</v>
      </c>
      <c r="S644" t="n">
        <v>15</v>
      </c>
      <c r="T644" t="n">
        <v>7</v>
      </c>
      <c r="U644" t="n">
        <v>37</v>
      </c>
      <c r="V644" t="n">
        <v>207</v>
      </c>
      <c r="W644" t="n">
        <v>3736</v>
      </c>
    </row>
    <row r="645">
      <c r="A645" t="inlineStr">
        <is>
          <t>Dove Shampoo Nutritive Solutions Dandruff Care 135ml</t>
        </is>
      </c>
      <c r="B645" t="inlineStr">
        <is>
          <t>0</t>
        </is>
      </c>
      <c r="C645" t="inlineStr">
        <is>
          <t>1%</t>
        </is>
      </c>
      <c r="D645" t="n">
        <v>28600</v>
      </c>
      <c r="E645" t="n">
        <v>28800</v>
      </c>
      <c r="F645" t="n">
        <v>28600</v>
      </c>
      <c r="G645" t="n">
        <v>28800</v>
      </c>
      <c r="H645" t="n">
        <v>28600</v>
      </c>
      <c r="I645" t="n">
        <v>28800</v>
      </c>
      <c r="J645" t="b">
        <v>1</v>
      </c>
      <c r="K645" t="inlineStr">
        <is>
          <t>Unilever Indonesia Official Shop</t>
        </is>
      </c>
      <c r="L645" t="inlineStr">
        <is>
          <t>KOTA BEKASI</t>
        </is>
      </c>
      <c r="M645" t="n">
        <v>126977995</v>
      </c>
      <c r="N645" t="n">
        <v>14318452</v>
      </c>
      <c r="O645">
        <f>HYPERLINK("https://shopee.co.id/api/v4/item/get?itemid=126977995&amp;shopid=14318452", "Dove Shampoo Nutritive Solutions Dandruff Care 135ml")</f>
        <v/>
      </c>
      <c r="P645" t="n">
        <v>231</v>
      </c>
      <c r="Q645" t="n">
        <v>505</v>
      </c>
      <c r="R645" t="n">
        <v>4.92932479942306</v>
      </c>
      <c r="S645" t="n">
        <v>23</v>
      </c>
      <c r="T645" t="n">
        <v>16</v>
      </c>
      <c r="U645" t="n">
        <v>67</v>
      </c>
      <c r="V645" t="n">
        <v>516</v>
      </c>
      <c r="W645" t="n">
        <v>10473</v>
      </c>
    </row>
    <row r="646">
      <c r="A646" t="inlineStr">
        <is>
          <t>Dove Creambath - Hair Growth Ritual 30G</t>
        </is>
      </c>
      <c r="B646" t="inlineStr">
        <is>
          <t>0</t>
        </is>
      </c>
      <c r="C646" t="inlineStr">
        <is>
          <t>4%</t>
        </is>
      </c>
      <c r="D646" t="n">
        <v>4800</v>
      </c>
      <c r="E646" t="n">
        <v>5000</v>
      </c>
      <c r="F646" t="n">
        <v>4800</v>
      </c>
      <c r="G646" t="n">
        <v>5000</v>
      </c>
      <c r="H646" t="n">
        <v>4800</v>
      </c>
      <c r="I646" t="n">
        <v>5000</v>
      </c>
      <c r="J646" t="b">
        <v>1</v>
      </c>
      <c r="K646" t="inlineStr">
        <is>
          <t>Unilever Indonesia Official Shop</t>
        </is>
      </c>
      <c r="L646" t="inlineStr">
        <is>
          <t>KOTA BEKASI</t>
        </is>
      </c>
      <c r="M646" t="n">
        <v>1515340771</v>
      </c>
      <c r="N646" t="n">
        <v>14318452</v>
      </c>
      <c r="O646">
        <f>HYPERLINK("https://shopee.co.id/api/v4/item/get?itemid=1515340771&amp;shopid=14318452", "Dove Creambath - Hair Growth Ritual 30G")</f>
        <v/>
      </c>
      <c r="P646" t="n">
        <v>3532</v>
      </c>
      <c r="Q646" t="n">
        <v>9740</v>
      </c>
      <c r="R646" t="n">
        <v>4.923557566791402</v>
      </c>
      <c r="S646" t="n">
        <v>156</v>
      </c>
      <c r="T646" t="n">
        <v>80</v>
      </c>
      <c r="U646" t="n">
        <v>355</v>
      </c>
      <c r="V646" t="n">
        <v>2836</v>
      </c>
      <c r="W646" t="n">
        <v>54099</v>
      </c>
    </row>
    <row r="647">
      <c r="A647" t="inlineStr">
        <is>
          <t>Sunsilk Shampo Thick And Long Aloevera Dan Biotin 340Ml Rambut 2X Lebih Panjang</t>
        </is>
      </c>
      <c r="B647" t="inlineStr">
        <is>
          <t>Sunsilk</t>
        </is>
      </c>
      <c r="C647" t="inlineStr">
        <is>
          <t>12%</t>
        </is>
      </c>
      <c r="D647" t="n">
        <v>41500</v>
      </c>
      <c r="E647" t="n">
        <v>46900</v>
      </c>
      <c r="F647" t="n">
        <v>41500</v>
      </c>
      <c r="G647" t="n">
        <v>46900</v>
      </c>
      <c r="H647" t="n">
        <v>41500</v>
      </c>
      <c r="I647" t="n">
        <v>46900</v>
      </c>
      <c r="J647" t="b">
        <v>1</v>
      </c>
      <c r="K647" t="inlineStr">
        <is>
          <t>Unilever Indonesia Official Shop</t>
        </is>
      </c>
      <c r="L647" t="inlineStr">
        <is>
          <t>KOTA BEKASI</t>
        </is>
      </c>
      <c r="M647" t="n">
        <v>1807661265</v>
      </c>
      <c r="N647" t="n">
        <v>14318452</v>
      </c>
      <c r="O647">
        <f>HYPERLINK("https://shopee.co.id/api/v4/item/get?itemid=1807661265&amp;shopid=14318452", "Sunsilk Shampo Thick And Long Aloevera Dan Biotin 340Ml Rambut 2X Lebih Panjang")</f>
        <v/>
      </c>
      <c r="P647" t="n">
        <v>161</v>
      </c>
      <c r="Q647" t="n">
        <v>153</v>
      </c>
      <c r="R647" t="n">
        <v>4.935149469623915</v>
      </c>
      <c r="S647" t="n">
        <v>4</v>
      </c>
      <c r="T647" t="n">
        <v>5</v>
      </c>
      <c r="U647" t="n">
        <v>30</v>
      </c>
      <c r="V647" t="n">
        <v>178</v>
      </c>
      <c r="W647" t="n">
        <v>3931</v>
      </c>
    </row>
    <row r="648">
      <c r="A648" t="inlineStr">
        <is>
          <t>POND'S Maudy Ayunda Glow Pack</t>
        </is>
      </c>
      <c r="B648" t="inlineStr"/>
      <c r="C648" t="inlineStr">
        <is>
          <t>13%</t>
        </is>
      </c>
      <c r="D648" t="n">
        <v>66000</v>
      </c>
      <c r="E648" t="n">
        <v>75600</v>
      </c>
      <c r="F648" t="n">
        <v>66000</v>
      </c>
      <c r="G648" t="n">
        <v>75600</v>
      </c>
      <c r="H648" t="n">
        <v>66000</v>
      </c>
      <c r="I648" t="n">
        <v>75600</v>
      </c>
      <c r="J648" t="b">
        <v>1</v>
      </c>
      <c r="K648" t="inlineStr">
        <is>
          <t>Unilever Indonesia Official Shop</t>
        </is>
      </c>
      <c r="L648" t="inlineStr">
        <is>
          <t>KOTA PEKANBARU</t>
        </is>
      </c>
      <c r="M648" t="n">
        <v>6532151858</v>
      </c>
      <c r="N648" t="n">
        <v>14318452</v>
      </c>
      <c r="O648">
        <f>HYPERLINK("https://shopee.co.id/api/v4/item/get?itemid=6532151858&amp;shopid=14318452", "POND'S Maudy Ayunda Glow Pack")</f>
        <v/>
      </c>
      <c r="P648" t="n">
        <v>10</v>
      </c>
      <c r="Q648" t="n">
        <v>4</v>
      </c>
      <c r="R648" t="n">
        <v>4.934127979924718</v>
      </c>
      <c r="S648" t="n">
        <v>2</v>
      </c>
      <c r="T648" t="n">
        <v>2</v>
      </c>
      <c r="U648" t="n">
        <v>7</v>
      </c>
      <c r="V648" t="n">
        <v>77</v>
      </c>
      <c r="W648" t="n">
        <v>1506</v>
      </c>
    </row>
    <row r="649">
      <c r="A649" t="inlineStr">
        <is>
          <t>Zwitsal Baby Powder Rich Honey 300gr Twin Pack</t>
        </is>
      </c>
      <c r="B649" t="inlineStr">
        <is>
          <t>Zwitsal</t>
        </is>
      </c>
      <c r="C649" t="inlineStr">
        <is>
          <t>19%</t>
        </is>
      </c>
      <c r="D649" t="n">
        <v>35100</v>
      </c>
      <c r="E649" t="n">
        <v>43500</v>
      </c>
      <c r="F649" t="n">
        <v>35100</v>
      </c>
      <c r="G649" t="n">
        <v>43500</v>
      </c>
      <c r="H649" t="n">
        <v>35100</v>
      </c>
      <c r="I649" t="n">
        <v>43500</v>
      </c>
      <c r="J649" t="b">
        <v>1</v>
      </c>
      <c r="K649" t="inlineStr">
        <is>
          <t>Unilever Indonesia Official Shop</t>
        </is>
      </c>
      <c r="L649" t="inlineStr">
        <is>
          <t>KOTA BEKASI</t>
        </is>
      </c>
      <c r="M649" t="n">
        <v>4731761548</v>
      </c>
      <c r="N649" t="n">
        <v>14318452</v>
      </c>
      <c r="O649">
        <f>HYPERLINK("https://shopee.co.id/api/v4/item/get?itemid=4731761548&amp;shopid=14318452", "Zwitsal Baby Powder Rich Honey 300gr Twin Pack")</f>
        <v/>
      </c>
      <c r="P649" t="n">
        <v>69</v>
      </c>
      <c r="Q649" t="n">
        <v>551</v>
      </c>
      <c r="R649" t="n">
        <v>4.938894277400582</v>
      </c>
      <c r="S649" t="n">
        <v>1</v>
      </c>
      <c r="T649" t="n">
        <v>0</v>
      </c>
      <c r="U649" t="n">
        <v>7</v>
      </c>
      <c r="V649" t="n">
        <v>45</v>
      </c>
      <c r="W649" t="n">
        <v>978</v>
      </c>
    </row>
    <row r="650">
      <c r="A650" t="inlineStr">
        <is>
          <t>Sunsilk Hijab Shampo Anti Ketombe &amp; Menthol Dingin 160Ml Rambut Segar &amp; Harum 48 Jam x2</t>
        </is>
      </c>
      <c r="B650" t="inlineStr">
        <is>
          <t>Sunsilk</t>
        </is>
      </c>
      <c r="C650" t="inlineStr">
        <is>
          <t>10%</t>
        </is>
      </c>
      <c r="D650" t="n">
        <v>48400</v>
      </c>
      <c r="E650" t="n">
        <v>53500</v>
      </c>
      <c r="F650" t="n">
        <v>48400</v>
      </c>
      <c r="G650" t="n">
        <v>53500</v>
      </c>
      <c r="H650" t="n">
        <v>48400</v>
      </c>
      <c r="I650" t="n">
        <v>53500</v>
      </c>
      <c r="J650" t="b">
        <v>1</v>
      </c>
      <c r="K650" t="inlineStr">
        <is>
          <t>Unilever Indonesia Official Shop</t>
        </is>
      </c>
      <c r="L650" t="inlineStr">
        <is>
          <t>KOTA BEKASI</t>
        </is>
      </c>
      <c r="M650" t="n">
        <v>6731731390</v>
      </c>
      <c r="N650" t="n">
        <v>14318452</v>
      </c>
      <c r="O650">
        <f>HYPERLINK("https://shopee.co.id/api/v4/item/get?itemid=6731731390&amp;shopid=14318452", "Sunsilk Hijab Shampo Anti Ketombe &amp; Menthol Dingin 160Ml Rambut Segar &amp; Harum 48 Jam x2")</f>
        <v/>
      </c>
      <c r="P650" t="n">
        <v>57</v>
      </c>
      <c r="Q650" t="n">
        <v>227</v>
      </c>
      <c r="R650" t="n">
        <v>4.937323722970856</v>
      </c>
      <c r="S650" t="n">
        <v>3</v>
      </c>
      <c r="T650" t="n">
        <v>4</v>
      </c>
      <c r="U650" t="n">
        <v>20</v>
      </c>
      <c r="V650" t="n">
        <v>143</v>
      </c>
      <c r="W650" t="n">
        <v>3023</v>
      </c>
    </row>
    <row r="651">
      <c r="A651" t="inlineStr">
        <is>
          <t>Rexona Men Roll On Natural Fresh Charcoal Fresh 45ml</t>
        </is>
      </c>
      <c r="B651" t="inlineStr">
        <is>
          <t>Rexona</t>
        </is>
      </c>
      <c r="C651" t="inlineStr">
        <is>
          <t>1%</t>
        </is>
      </c>
      <c r="D651" t="n">
        <v>22100</v>
      </c>
      <c r="E651" t="n">
        <v>22300</v>
      </c>
      <c r="F651" t="n">
        <v>22100</v>
      </c>
      <c r="G651" t="n">
        <v>22300</v>
      </c>
      <c r="H651" t="n">
        <v>22100</v>
      </c>
      <c r="I651" t="n">
        <v>22300</v>
      </c>
      <c r="J651" t="b">
        <v>1</v>
      </c>
      <c r="K651" t="inlineStr">
        <is>
          <t>Unilever Indonesia Official Shop</t>
        </is>
      </c>
      <c r="L651" t="inlineStr">
        <is>
          <t>KOTA BEKASI</t>
        </is>
      </c>
      <c r="M651" t="n">
        <v>3862140412</v>
      </c>
      <c r="N651" t="n">
        <v>14318452</v>
      </c>
      <c r="O651">
        <f>HYPERLINK("https://shopee.co.id/api/v4/item/get?itemid=3862140412&amp;shopid=14318452", "Rexona Men Roll On Natural Fresh Charcoal Fresh 45ml")</f>
        <v/>
      </c>
      <c r="P651" t="n">
        <v>175</v>
      </c>
      <c r="Q651" t="n">
        <v>388</v>
      </c>
      <c r="R651" t="n">
        <v>4.916636593287622</v>
      </c>
      <c r="S651" t="n">
        <v>11</v>
      </c>
      <c r="T651" t="n">
        <v>5</v>
      </c>
      <c r="U651" t="n">
        <v>14</v>
      </c>
      <c r="V651" t="n">
        <v>144</v>
      </c>
      <c r="W651" t="n">
        <v>2597</v>
      </c>
    </row>
    <row r="652">
      <c r="A652" t="inlineStr">
        <is>
          <t>Glow &amp; Lovely Multivitamin Serum Sheet Mask 20g x2</t>
        </is>
      </c>
      <c r="B652" t="inlineStr">
        <is>
          <t>Fair &amp; Lovely</t>
        </is>
      </c>
      <c r="C652" t="inlineStr">
        <is>
          <t>18%</t>
        </is>
      </c>
      <c r="D652" t="n">
        <v>16400</v>
      </c>
      <c r="E652" t="n">
        <v>20000</v>
      </c>
      <c r="F652" t="n">
        <v>16400</v>
      </c>
      <c r="G652" t="n">
        <v>20000</v>
      </c>
      <c r="H652" t="n">
        <v>16400</v>
      </c>
      <c r="I652" t="n">
        <v>20000</v>
      </c>
      <c r="J652" t="b">
        <v>1</v>
      </c>
      <c r="K652" t="inlineStr">
        <is>
          <t>Unilever Indonesia Official Shop</t>
        </is>
      </c>
      <c r="L652" t="inlineStr">
        <is>
          <t>KOTA BEKASI</t>
        </is>
      </c>
      <c r="M652" t="n">
        <v>4852324443</v>
      </c>
      <c r="N652" t="n">
        <v>14318452</v>
      </c>
      <c r="O652">
        <f>HYPERLINK("https://shopee.co.id/api/v4/item/get?itemid=4852324443&amp;shopid=14318452", "Glow &amp; Lovely Multivitamin Serum Sheet Mask 20g x2")</f>
        <v/>
      </c>
      <c r="P652" t="n">
        <v>83</v>
      </c>
      <c r="Q652" t="n">
        <v>2334</v>
      </c>
      <c r="R652" t="n">
        <v>4.92811501597444</v>
      </c>
      <c r="S652" t="n">
        <v>1</v>
      </c>
      <c r="T652" t="n">
        <v>3</v>
      </c>
      <c r="U652" t="n">
        <v>13</v>
      </c>
      <c r="V652" t="n">
        <v>234</v>
      </c>
      <c r="W652" t="n">
        <v>3506</v>
      </c>
    </row>
    <row r="653">
      <c r="A653" t="inlineStr">
        <is>
          <t>Dove Roll On Deodorant Ultimate Repair 40 ml - Twin Pack</t>
        </is>
      </c>
      <c r="B653" t="inlineStr">
        <is>
          <t>Dove</t>
        </is>
      </c>
      <c r="C653" t="inlineStr">
        <is>
          <t>23%</t>
        </is>
      </c>
      <c r="D653" t="n">
        <v>36400</v>
      </c>
      <c r="E653" t="n">
        <v>47300</v>
      </c>
      <c r="F653" t="n">
        <v>36400</v>
      </c>
      <c r="G653" t="n">
        <v>47300</v>
      </c>
      <c r="H653" t="n">
        <v>36400</v>
      </c>
      <c r="I653" t="n">
        <v>47300</v>
      </c>
      <c r="J653" t="b">
        <v>1</v>
      </c>
      <c r="K653" t="inlineStr">
        <is>
          <t>Unilever Indonesia Official Shop</t>
        </is>
      </c>
      <c r="L653" t="inlineStr">
        <is>
          <t>KOTA BEKASI</t>
        </is>
      </c>
      <c r="M653" t="n">
        <v>7231058271</v>
      </c>
      <c r="N653" t="n">
        <v>14318452</v>
      </c>
      <c r="O653">
        <f>HYPERLINK("https://shopee.co.id/api/v4/item/get?itemid=7231058271&amp;shopid=14318452", "Dove Roll On Deodorant Ultimate Repair 40 ml - Twin Pack")</f>
        <v/>
      </c>
      <c r="P653" t="n">
        <v>75</v>
      </c>
      <c r="Q653" t="n">
        <v>387</v>
      </c>
      <c r="R653" t="n">
        <v>4.872234513274337</v>
      </c>
      <c r="S653" t="n">
        <v>15</v>
      </c>
      <c r="T653" t="n">
        <v>8</v>
      </c>
      <c r="U653" t="n">
        <v>24</v>
      </c>
      <c r="V653" t="n">
        <v>99</v>
      </c>
      <c r="W653" t="n">
        <v>1662</v>
      </c>
    </row>
    <row r="654">
      <c r="A654" t="inlineStr">
        <is>
          <t>Vixal Pembersih Porselen Kamar Mandi &amp; Kerak Toilet Kuat Harum Antibakteri 750Ml</t>
        </is>
      </c>
      <c r="B654" t="inlineStr">
        <is>
          <t>Vixal</t>
        </is>
      </c>
      <c r="C654" t="inlineStr">
        <is>
          <t>33%</t>
        </is>
      </c>
      <c r="D654" t="n">
        <v>18300</v>
      </c>
      <c r="E654" t="n">
        <v>27300</v>
      </c>
      <c r="F654" t="n">
        <v>18300</v>
      </c>
      <c r="G654" t="n">
        <v>27300</v>
      </c>
      <c r="H654" t="n">
        <v>18300</v>
      </c>
      <c r="I654" t="n">
        <v>27300</v>
      </c>
      <c r="J654" t="b">
        <v>1</v>
      </c>
      <c r="K654" t="inlineStr">
        <is>
          <t>Unilever Indonesia Official Shop</t>
        </is>
      </c>
      <c r="L654" t="inlineStr">
        <is>
          <t>KOTA BEKASI</t>
        </is>
      </c>
      <c r="M654" t="n">
        <v>1040498703</v>
      </c>
      <c r="N654" t="n">
        <v>14318452</v>
      </c>
      <c r="O654">
        <f>HYPERLINK("https://shopee.co.id/api/v4/item/get?itemid=1040498703&amp;shopid=14318452", "Vixal Pembersih Porselen Kamar Mandi &amp; Kerak Toilet Kuat Harum Antibakteri 750Ml")</f>
        <v/>
      </c>
      <c r="P654" t="n">
        <v>2193</v>
      </c>
      <c r="Q654" t="n">
        <v>3081</v>
      </c>
      <c r="R654" t="n">
        <v>4.914164051994621</v>
      </c>
      <c r="S654" t="n">
        <v>81</v>
      </c>
      <c r="T654" t="n">
        <v>48</v>
      </c>
      <c r="U654" t="n">
        <v>224</v>
      </c>
      <c r="V654" t="n">
        <v>1396</v>
      </c>
      <c r="W654" t="n">
        <v>25027</v>
      </c>
    </row>
    <row r="655">
      <c r="A655" t="inlineStr">
        <is>
          <t>Citra Green Tea Anti Acne Facial Foam 100 gr</t>
        </is>
      </c>
      <c r="B655" t="inlineStr">
        <is>
          <t>Citra</t>
        </is>
      </c>
      <c r="C655" t="inlineStr">
        <is>
          <t>2%</t>
        </is>
      </c>
      <c r="D655" t="n">
        <v>35200</v>
      </c>
      <c r="E655" t="n">
        <v>36100</v>
      </c>
      <c r="F655" t="n">
        <v>35200</v>
      </c>
      <c r="G655" t="n">
        <v>36100</v>
      </c>
      <c r="H655" t="n">
        <v>35200</v>
      </c>
      <c r="I655" t="n">
        <v>36100</v>
      </c>
      <c r="J655" t="b">
        <v>1</v>
      </c>
      <c r="K655" t="inlineStr">
        <is>
          <t>Unilever Indonesia Official Shop</t>
        </is>
      </c>
      <c r="L655" t="inlineStr">
        <is>
          <t>KOTA BEKASI</t>
        </is>
      </c>
      <c r="M655" t="n">
        <v>1097956220</v>
      </c>
      <c r="N655" t="n">
        <v>14318452</v>
      </c>
      <c r="O655">
        <f>HYPERLINK("https://shopee.co.id/api/v4/item/get?itemid=1097956220&amp;shopid=14318452", "Citra Green Tea Anti Acne Facial Foam 100 gr")</f>
        <v/>
      </c>
      <c r="P655" t="n">
        <v>130</v>
      </c>
      <c r="Q655" t="n">
        <v>1210</v>
      </c>
      <c r="R655" t="n">
        <v>4.926062550120289</v>
      </c>
      <c r="S655" t="n">
        <v>17</v>
      </c>
      <c r="T655" t="n">
        <v>10</v>
      </c>
      <c r="U655" t="n">
        <v>84</v>
      </c>
      <c r="V655" t="n">
        <v>662</v>
      </c>
      <c r="W655" t="n">
        <v>11699</v>
      </c>
    </row>
    <row r="656">
      <c r="A656" t="inlineStr">
        <is>
          <t>Dove Shampoo Perawatan Rambut Rontok Berkurang 99% dengan Nutri Serum dan Dynazinc 290ml</t>
        </is>
      </c>
      <c r="B656" t="inlineStr">
        <is>
          <t>0</t>
        </is>
      </c>
      <c r="C656" t="inlineStr">
        <is>
          <t>3%</t>
        </is>
      </c>
      <c r="D656" t="n">
        <v>56600</v>
      </c>
      <c r="E656" t="n">
        <v>58100</v>
      </c>
      <c r="F656" t="n">
        <v>56600</v>
      </c>
      <c r="G656" t="n">
        <v>58100</v>
      </c>
      <c r="H656" t="n">
        <v>56600</v>
      </c>
      <c r="I656" t="n">
        <v>58100</v>
      </c>
      <c r="J656" t="b">
        <v>1</v>
      </c>
      <c r="K656" t="inlineStr">
        <is>
          <t>Unilever Indonesia Official Shop</t>
        </is>
      </c>
      <c r="L656" t="inlineStr">
        <is>
          <t>KOTA BEKASI</t>
        </is>
      </c>
      <c r="M656" t="n">
        <v>126978032</v>
      </c>
      <c r="N656" t="n">
        <v>14318452</v>
      </c>
      <c r="O656">
        <f>HYPERLINK("https://shopee.co.id/api/v4/item/get?itemid=126978032&amp;shopid=14318452", "Dove Shampoo Perawatan Rambut Rontok Berkurang 99% dengan Nutri Serum dan Dynazinc 290ml")</f>
        <v/>
      </c>
      <c r="P656" t="n">
        <v>297</v>
      </c>
      <c r="Q656" t="n">
        <v>928</v>
      </c>
      <c r="R656" t="n">
        <v>4.919867283329982</v>
      </c>
      <c r="S656" t="n">
        <v>35</v>
      </c>
      <c r="T656" t="n">
        <v>15</v>
      </c>
      <c r="U656" t="n">
        <v>79</v>
      </c>
      <c r="V656" t="n">
        <v>454</v>
      </c>
      <c r="W656" t="n">
        <v>9363</v>
      </c>
    </row>
    <row r="657">
      <c r="A657" t="inlineStr">
        <is>
          <t>Lifebuoy Anti Hair Fall Shampo Perawatan Rambut Rontok 340ml Membunuh Bakteri</t>
        </is>
      </c>
      <c r="B657" t="inlineStr">
        <is>
          <t>0</t>
        </is>
      </c>
      <c r="C657" t="inlineStr">
        <is>
          <t>2%</t>
        </is>
      </c>
      <c r="D657" t="n">
        <v>44700</v>
      </c>
      <c r="E657" t="n">
        <v>45800</v>
      </c>
      <c r="F657" t="n">
        <v>44700</v>
      </c>
      <c r="G657" t="n">
        <v>45800</v>
      </c>
      <c r="H657" t="n">
        <v>44700</v>
      </c>
      <c r="I657" t="n">
        <v>45800</v>
      </c>
      <c r="J657" t="b">
        <v>1</v>
      </c>
      <c r="K657" t="inlineStr">
        <is>
          <t>Unilever Indonesia Official Shop</t>
        </is>
      </c>
      <c r="L657" t="inlineStr">
        <is>
          <t>KOTA BEKASI</t>
        </is>
      </c>
      <c r="M657" t="n">
        <v>2219266894</v>
      </c>
      <c r="N657" t="n">
        <v>14318452</v>
      </c>
      <c r="O657">
        <f>HYPERLINK("https://shopee.co.id/api/v4/item/get?itemid=2219266894&amp;shopid=14318452", "Lifebuoy Anti Hair Fall Shampo Perawatan Rambut Rontok 340ml Membunuh Bakteri")</f>
        <v/>
      </c>
      <c r="P657" t="n">
        <v>81</v>
      </c>
      <c r="Q657" t="n">
        <v>267</v>
      </c>
      <c r="R657" t="n">
        <v>4.932597713374102</v>
      </c>
      <c r="S657" t="n">
        <v>17</v>
      </c>
      <c r="T657" t="n">
        <v>11</v>
      </c>
      <c r="U657" t="n">
        <v>40</v>
      </c>
      <c r="V657" t="n">
        <v>336</v>
      </c>
      <c r="W657" t="n">
        <v>7121</v>
      </c>
    </row>
    <row r="658">
      <c r="A658" t="inlineStr">
        <is>
          <t>Molto Trika Pelicin Pakaian Blue 400 ml - Multi Pack</t>
        </is>
      </c>
      <c r="B658" t="inlineStr">
        <is>
          <t>Molto</t>
        </is>
      </c>
      <c r="C658" t="inlineStr">
        <is>
          <t>13%</t>
        </is>
      </c>
      <c r="D658" t="n">
        <v>23600</v>
      </c>
      <c r="E658" t="n">
        <v>27000</v>
      </c>
      <c r="F658" t="n">
        <v>23600</v>
      </c>
      <c r="G658" t="n">
        <v>27000</v>
      </c>
      <c r="H658" t="n">
        <v>23600</v>
      </c>
      <c r="I658" t="n">
        <v>27000</v>
      </c>
      <c r="J658" t="b">
        <v>1</v>
      </c>
      <c r="K658" t="inlineStr">
        <is>
          <t>Unilever Indonesia Official Shop</t>
        </is>
      </c>
      <c r="L658" t="inlineStr">
        <is>
          <t>KOTA BEKASI</t>
        </is>
      </c>
      <c r="M658" t="n">
        <v>7231698784</v>
      </c>
      <c r="N658" t="n">
        <v>14318452</v>
      </c>
      <c r="O658">
        <f>HYPERLINK("https://shopee.co.id/api/v4/item/get?itemid=7231698784&amp;shopid=14318452", "Molto Trika Pelicin Pakaian Blue 400 ml - Multi Pack")</f>
        <v/>
      </c>
      <c r="P658" t="n">
        <v>351</v>
      </c>
      <c r="Q658" t="n">
        <v>971</v>
      </c>
      <c r="R658" t="n">
        <v>4.914615552167284</v>
      </c>
      <c r="S658" t="n">
        <v>30</v>
      </c>
      <c r="T658" t="n">
        <v>20</v>
      </c>
      <c r="U658" t="n">
        <v>96</v>
      </c>
      <c r="V658" t="n">
        <v>423</v>
      </c>
      <c r="W658" t="n">
        <v>8618</v>
      </c>
    </row>
    <row r="659">
      <c r="A659" t="inlineStr">
        <is>
          <t>Vaseline Lotion Intensive Care Cocoa Radiant 200 ml Twin Pack</t>
        </is>
      </c>
      <c r="B659" t="inlineStr">
        <is>
          <t>Vaseline</t>
        </is>
      </c>
      <c r="C659" t="inlineStr">
        <is>
          <t>10%</t>
        </is>
      </c>
      <c r="D659" t="n">
        <v>85900</v>
      </c>
      <c r="E659" t="n">
        <v>95600</v>
      </c>
      <c r="F659" t="n">
        <v>85900</v>
      </c>
      <c r="G659" t="n">
        <v>95600</v>
      </c>
      <c r="H659" t="n">
        <v>85900</v>
      </c>
      <c r="I659" t="n">
        <v>95600</v>
      </c>
      <c r="J659" t="b">
        <v>1</v>
      </c>
      <c r="K659" t="inlineStr">
        <is>
          <t>Unilever Indonesia Official Shop</t>
        </is>
      </c>
      <c r="L659" t="inlineStr">
        <is>
          <t>KOTA BEKASI</t>
        </is>
      </c>
      <c r="M659" t="n">
        <v>4137231641</v>
      </c>
      <c r="N659" t="n">
        <v>14318452</v>
      </c>
      <c r="O659">
        <f>HYPERLINK("https://shopee.co.id/api/v4/item/get?itemid=4137231641&amp;shopid=14318452", "Vaseline Lotion Intensive Care Cocoa Radiant 200 ml Twin Pack")</f>
        <v/>
      </c>
      <c r="P659" t="n">
        <v>30</v>
      </c>
      <c r="Q659" t="n">
        <v>133</v>
      </c>
      <c r="R659" t="n">
        <v>4.941091954022989</v>
      </c>
      <c r="S659" t="n">
        <v>0</v>
      </c>
      <c r="T659" t="n">
        <v>1</v>
      </c>
      <c r="U659" t="n">
        <v>5</v>
      </c>
      <c r="V659" t="n">
        <v>28</v>
      </c>
      <c r="W659" t="n">
        <v>662</v>
      </c>
    </row>
    <row r="660">
      <c r="A660" t="inlineStr">
        <is>
          <t>Vaseline Blueberry Body Yogurt With Prebiotics 200 ml + Peach Body Yogurt With Prebiotics 200 ml</t>
        </is>
      </c>
      <c r="B660" t="inlineStr">
        <is>
          <t>Vaseline</t>
        </is>
      </c>
      <c r="C660" t="inlineStr">
        <is>
          <t>12%</t>
        </is>
      </c>
      <c r="D660" t="n">
        <v>58700</v>
      </c>
      <c r="E660" t="n">
        <v>66600</v>
      </c>
      <c r="F660" t="n">
        <v>58700</v>
      </c>
      <c r="G660" t="n">
        <v>66600</v>
      </c>
      <c r="H660" t="n">
        <v>58700</v>
      </c>
      <c r="I660" t="n">
        <v>66600</v>
      </c>
      <c r="J660" t="b">
        <v>1</v>
      </c>
      <c r="K660" t="inlineStr">
        <is>
          <t>Unilever Indonesia Official Shop</t>
        </is>
      </c>
      <c r="L660" t="inlineStr">
        <is>
          <t>KOTA BEKASI</t>
        </is>
      </c>
      <c r="M660" t="n">
        <v>6662128159</v>
      </c>
      <c r="N660" t="n">
        <v>14318452</v>
      </c>
      <c r="O660">
        <f>HYPERLINK("https://shopee.co.id/api/v4/item/get?itemid=6662128159&amp;shopid=14318452", "Vaseline Blueberry Body Yogurt With Prebiotics 200 ml + Peach Body Yogurt With Prebiotics 200 ml")</f>
        <v/>
      </c>
      <c r="P660" t="n">
        <v>12</v>
      </c>
      <c r="Q660" t="n">
        <v>246</v>
      </c>
      <c r="R660" t="n">
        <v>4.931779420125071</v>
      </c>
      <c r="S660" t="n">
        <v>3</v>
      </c>
      <c r="T660" t="n">
        <v>2</v>
      </c>
      <c r="U660" t="n">
        <v>16</v>
      </c>
      <c r="V660" t="n">
        <v>74</v>
      </c>
      <c r="W660" t="n">
        <v>1665</v>
      </c>
    </row>
    <row r="661">
      <c r="A661" t="inlineStr">
        <is>
          <t>Rexona Men Anti-Perspirant Deodorant Roll On Sport Defence 45ml Twin Pack</t>
        </is>
      </c>
      <c r="B661" t="inlineStr">
        <is>
          <t>0</t>
        </is>
      </c>
      <c r="C661" t="inlineStr">
        <is>
          <t>1%</t>
        </is>
      </c>
      <c r="D661" t="n">
        <v>38800</v>
      </c>
      <c r="E661" t="n">
        <v>39100</v>
      </c>
      <c r="F661" t="n">
        <v>38800</v>
      </c>
      <c r="G661" t="n">
        <v>39100</v>
      </c>
      <c r="H661" t="n">
        <v>38800</v>
      </c>
      <c r="I661" t="n">
        <v>39100</v>
      </c>
      <c r="J661" t="b">
        <v>1</v>
      </c>
      <c r="K661" t="inlineStr">
        <is>
          <t>Unilever Indonesia Official Shop</t>
        </is>
      </c>
      <c r="L661" t="inlineStr">
        <is>
          <t>KOTA BEKASI</t>
        </is>
      </c>
      <c r="M661" t="n">
        <v>5832154459</v>
      </c>
      <c r="N661" t="n">
        <v>14318452</v>
      </c>
      <c r="O661">
        <f>HYPERLINK("https://shopee.co.id/api/v4/item/get?itemid=5832154459&amp;shopid=14318452", "Rexona Men Anti-Perspirant Deodorant Roll On Sport Defence 45ml Twin Pack")</f>
        <v/>
      </c>
      <c r="P661" t="n">
        <v>1045</v>
      </c>
      <c r="Q661" t="n">
        <v>1703</v>
      </c>
      <c r="R661" t="n">
        <v>4.917544764571513</v>
      </c>
      <c r="S661" t="n">
        <v>53</v>
      </c>
      <c r="T661" t="n">
        <v>24</v>
      </c>
      <c r="U661" t="n">
        <v>110</v>
      </c>
      <c r="V661" t="n">
        <v>636</v>
      </c>
      <c r="W661" t="n">
        <v>12754</v>
      </c>
    </row>
    <row r="662">
      <c r="A662" t="inlineStr">
        <is>
          <t>Sunlight Sabun Cuci Piring Dishwash Jeruk Nipis 10X Bersihkan Lemak Lebih Cepat 1500Mlx2</t>
        </is>
      </c>
      <c r="B662" t="inlineStr">
        <is>
          <t>Sunlight</t>
        </is>
      </c>
      <c r="C662" t="inlineStr">
        <is>
          <t>40%</t>
        </is>
      </c>
      <c r="D662" t="n">
        <v>60500</v>
      </c>
      <c r="E662" t="n">
        <v>101400</v>
      </c>
      <c r="F662" t="n">
        <v>60500</v>
      </c>
      <c r="G662" t="n">
        <v>101400</v>
      </c>
      <c r="H662" t="n">
        <v>60500</v>
      </c>
      <c r="I662" t="n">
        <v>101400</v>
      </c>
      <c r="J662" t="b">
        <v>1</v>
      </c>
      <c r="K662" t="inlineStr">
        <is>
          <t>Unilever Indonesia Official Shop</t>
        </is>
      </c>
      <c r="L662" t="inlineStr">
        <is>
          <t>KOTA BEKASI</t>
        </is>
      </c>
      <c r="M662" t="n">
        <v>6458365374</v>
      </c>
      <c r="N662" t="n">
        <v>14318452</v>
      </c>
      <c r="O662">
        <f>HYPERLINK("https://shopee.co.id/api/v4/item/get?itemid=6458365374&amp;shopid=14318452", "Sunlight Sabun Cuci Piring Dishwash Jeruk Nipis 10X Bersihkan Lemak Lebih Cepat 1500Mlx2")</f>
        <v/>
      </c>
      <c r="P662" t="n">
        <v>723</v>
      </c>
      <c r="Q662" t="n">
        <v>3485</v>
      </c>
      <c r="R662" t="n">
        <v>4.938743179017779</v>
      </c>
      <c r="S662" t="n">
        <v>26</v>
      </c>
      <c r="T662" t="n">
        <v>28</v>
      </c>
      <c r="U662" t="n">
        <v>73</v>
      </c>
      <c r="V662" t="n">
        <v>382</v>
      </c>
      <c r="W662" t="n">
        <v>10868</v>
      </c>
    </row>
    <row r="663">
      <c r="A663" t="inlineStr">
        <is>
          <t>Buavita Juice Apel 250 mL</t>
        </is>
      </c>
      <c r="B663" t="inlineStr">
        <is>
          <t>0</t>
        </is>
      </c>
      <c r="C663" t="inlineStr">
        <is>
          <t>21%</t>
        </is>
      </c>
      <c r="D663" t="n">
        <v>5900</v>
      </c>
      <c r="E663" t="n">
        <v>7500</v>
      </c>
      <c r="F663" t="n">
        <v>5900</v>
      </c>
      <c r="G663" t="n">
        <v>7500</v>
      </c>
      <c r="H663" t="n">
        <v>5900</v>
      </c>
      <c r="I663" t="n">
        <v>7500</v>
      </c>
      <c r="J663" t="b">
        <v>1</v>
      </c>
      <c r="K663" t="inlineStr">
        <is>
          <t>Unilever Indonesia Official Shop</t>
        </is>
      </c>
      <c r="L663" t="inlineStr">
        <is>
          <t>KOTA BEKASI</t>
        </is>
      </c>
      <c r="M663" t="n">
        <v>1438264700</v>
      </c>
      <c r="N663" t="n">
        <v>14318452</v>
      </c>
      <c r="O663">
        <f>HYPERLINK("https://shopee.co.id/api/v4/item/get?itemid=1438264700&amp;shopid=14318452", "Buavita Juice Apel 250 mL")</f>
        <v/>
      </c>
      <c r="P663" t="n">
        <v>129</v>
      </c>
      <c r="Q663" t="n">
        <v>289</v>
      </c>
      <c r="R663" t="n">
        <v>4.900742880726372</v>
      </c>
      <c r="S663" t="n">
        <v>18</v>
      </c>
      <c r="T663" t="n">
        <v>10</v>
      </c>
      <c r="U663" t="n">
        <v>46</v>
      </c>
      <c r="V663" t="n">
        <v>291</v>
      </c>
      <c r="W663" t="n">
        <v>4482</v>
      </c>
    </row>
    <row r="664">
      <c r="A664" t="inlineStr">
        <is>
          <t>[Twin Pack] Sahaja Liquid Detergent Yasmin 630ml Extra 70ml</t>
        </is>
      </c>
      <c r="B664" t="inlineStr">
        <is>
          <t>None</t>
        </is>
      </c>
      <c r="C664" t="inlineStr">
        <is>
          <t>10%</t>
        </is>
      </c>
      <c r="D664" t="n">
        <v>28400</v>
      </c>
      <c r="E664" t="n">
        <v>31400</v>
      </c>
      <c r="F664" t="n">
        <v>28400</v>
      </c>
      <c r="G664" t="n">
        <v>31400</v>
      </c>
      <c r="H664" t="n">
        <v>28400</v>
      </c>
      <c r="I664" t="n">
        <v>31400</v>
      </c>
      <c r="J664" t="b">
        <v>0</v>
      </c>
      <c r="K664" t="inlineStr">
        <is>
          <t>Unilever Indonesia Official Shop</t>
        </is>
      </c>
      <c r="L664" t="inlineStr">
        <is>
          <t>KOTA BEKASI</t>
        </is>
      </c>
      <c r="M664" t="n">
        <v>3000862191</v>
      </c>
      <c r="N664" t="n">
        <v>14318452</v>
      </c>
      <c r="O664">
        <f>HYPERLINK("https://shopee.co.id/api/v4/item/get?itemid=3000862191&amp;shopid=14318452", "[Twin Pack] Sahaja Liquid Detergent Yasmin 630ml Extra 70ml")</f>
        <v/>
      </c>
      <c r="P664" t="n">
        <v>241</v>
      </c>
      <c r="Q664" t="n">
        <v>576</v>
      </c>
      <c r="R664" t="n">
        <v>4.935225618631732</v>
      </c>
      <c r="S664" t="n">
        <v>10</v>
      </c>
      <c r="T664" t="n">
        <v>2</v>
      </c>
      <c r="U664" t="n">
        <v>21</v>
      </c>
      <c r="V664" t="n">
        <v>94</v>
      </c>
      <c r="W664" t="n">
        <v>2625</v>
      </c>
    </row>
    <row r="665">
      <c r="A665" t="inlineStr">
        <is>
          <t>Rexona Women Anti Perspirant Deodorant Roll On Shower Clean 45 ml Twin Pack</t>
        </is>
      </c>
      <c r="B665" t="inlineStr"/>
      <c r="C665" t="inlineStr">
        <is>
          <t>1%</t>
        </is>
      </c>
      <c r="D665" t="n">
        <v>38800</v>
      </c>
      <c r="E665" t="n">
        <v>39100</v>
      </c>
      <c r="F665" t="n">
        <v>38800</v>
      </c>
      <c r="G665" t="n">
        <v>39100</v>
      </c>
      <c r="H665" t="n">
        <v>38800</v>
      </c>
      <c r="I665" t="n">
        <v>39100</v>
      </c>
      <c r="J665" t="b">
        <v>1</v>
      </c>
      <c r="K665" t="inlineStr">
        <is>
          <t>Unilever Indonesia Official Shop</t>
        </is>
      </c>
      <c r="L665" t="inlineStr">
        <is>
          <t>KOTA BEKASI</t>
        </is>
      </c>
      <c r="M665" t="n">
        <v>6432145343</v>
      </c>
      <c r="N665" t="n">
        <v>14318452</v>
      </c>
      <c r="O665">
        <f>HYPERLINK("https://shopee.co.id/api/v4/item/get?itemid=6432145343&amp;shopid=14318452", "Rexona Women Anti Perspirant Deodorant Roll On Shower Clean 45 ml Twin Pack")</f>
        <v/>
      </c>
      <c r="P665" t="n">
        <v>365</v>
      </c>
      <c r="Q665" t="n">
        <v>468</v>
      </c>
      <c r="R665" t="n">
        <v>4.932950191570881</v>
      </c>
      <c r="S665" t="n">
        <v>11</v>
      </c>
      <c r="T665" t="n">
        <v>7</v>
      </c>
      <c r="U665" t="n">
        <v>25</v>
      </c>
      <c r="V665" t="n">
        <v>169</v>
      </c>
      <c r="W665" t="n">
        <v>3965</v>
      </c>
    </row>
    <row r="666">
      <c r="A666" t="inlineStr">
        <is>
          <t>Molto All In One Pelembut Dan Pewangi Pakaian Blue 1600 Ml - Pelembut Baju Pouch</t>
        </is>
      </c>
      <c r="B666" t="inlineStr">
        <is>
          <t>Molto</t>
        </is>
      </c>
      <c r="C666" t="inlineStr">
        <is>
          <t>30%</t>
        </is>
      </c>
      <c r="D666" t="n">
        <v>49300</v>
      </c>
      <c r="E666" t="n">
        <v>70800</v>
      </c>
      <c r="F666" t="n">
        <v>49300</v>
      </c>
      <c r="G666" t="n">
        <v>70800</v>
      </c>
      <c r="H666" t="n">
        <v>49300</v>
      </c>
      <c r="I666" t="n">
        <v>70800</v>
      </c>
      <c r="J666" t="b">
        <v>1</v>
      </c>
      <c r="K666" t="inlineStr">
        <is>
          <t>Unilever Indonesia Official Shop</t>
        </is>
      </c>
      <c r="L666" t="inlineStr">
        <is>
          <t>KOTA BEKASI</t>
        </is>
      </c>
      <c r="M666" t="n">
        <v>1041656678</v>
      </c>
      <c r="N666" t="n">
        <v>14318452</v>
      </c>
      <c r="O666">
        <f>HYPERLINK("https://shopee.co.id/api/v4/item/get?itemid=1041656678&amp;shopid=14318452", "Molto All In One Pelembut Dan Pewangi Pakaian Blue 1600 Ml - Pelembut Baju Pouch")</f>
        <v/>
      </c>
      <c r="P666" t="n">
        <v>212</v>
      </c>
      <c r="Q666" t="n">
        <v>611</v>
      </c>
      <c r="R666" t="n">
        <v>4.932198457733159</v>
      </c>
      <c r="S666" t="n">
        <v>23</v>
      </c>
      <c r="T666" t="n">
        <v>6</v>
      </c>
      <c r="U666" t="n">
        <v>44</v>
      </c>
      <c r="V666" t="n">
        <v>268</v>
      </c>
      <c r="W666" t="n">
        <v>6535</v>
      </c>
    </row>
    <row r="667">
      <c r="A667" t="inlineStr">
        <is>
          <t>Vaseline Repairing Foot Mask with Vaseline Jelly &amp; Niacinamide for Moisturized Foot</t>
        </is>
      </c>
      <c r="B667" t="inlineStr">
        <is>
          <t>None</t>
        </is>
      </c>
      <c r="C667" t="inlineStr">
        <is>
          <t>8%</t>
        </is>
      </c>
      <c r="D667" t="n">
        <v>34600</v>
      </c>
      <c r="E667" t="n">
        <v>37500</v>
      </c>
      <c r="F667" t="n">
        <v>34600</v>
      </c>
      <c r="G667" t="n">
        <v>37500</v>
      </c>
      <c r="H667" t="n">
        <v>34600</v>
      </c>
      <c r="I667" t="n">
        <v>37500</v>
      </c>
      <c r="J667" t="b">
        <v>1</v>
      </c>
      <c r="K667" t="inlineStr">
        <is>
          <t>Unilever Indonesia Official Shop</t>
        </is>
      </c>
      <c r="L667" t="inlineStr">
        <is>
          <t>KOTA BEKASI</t>
        </is>
      </c>
      <c r="M667" t="n">
        <v>12507192542</v>
      </c>
      <c r="N667" t="n">
        <v>14318452</v>
      </c>
      <c r="O667">
        <f>HYPERLINK("https://shopee.co.id/api/v4/item/get?itemid=12507192542&amp;shopid=14318452", "Vaseline Repairing Foot Mask with Vaseline Jelly &amp; Niacinamide for Moisturized Foot")</f>
        <v/>
      </c>
      <c r="P667" t="n">
        <v>1503</v>
      </c>
      <c r="Q667" t="n">
        <v>733</v>
      </c>
      <c r="R667" t="n">
        <v>4.905211548937715</v>
      </c>
      <c r="S667" t="n">
        <v>12</v>
      </c>
      <c r="T667" t="n">
        <v>3</v>
      </c>
      <c r="U667" t="n">
        <v>51</v>
      </c>
      <c r="V667" t="n">
        <v>367</v>
      </c>
      <c r="W667" t="n">
        <v>5075</v>
      </c>
    </row>
    <row r="668">
      <c r="A668" t="inlineStr">
        <is>
          <t>Bango Kecap Manis Pouch 210mL Twinpack</t>
        </is>
      </c>
      <c r="B668" t="inlineStr">
        <is>
          <t>Bango</t>
        </is>
      </c>
      <c r="C668" t="inlineStr">
        <is>
          <t>13%</t>
        </is>
      </c>
      <c r="D668" t="n">
        <v>22200</v>
      </c>
      <c r="E668" t="n">
        <v>25600</v>
      </c>
      <c r="F668" t="n">
        <v>22200</v>
      </c>
      <c r="G668" t="n">
        <v>25600</v>
      </c>
      <c r="H668" t="n">
        <v>22200</v>
      </c>
      <c r="I668" t="n">
        <v>25600</v>
      </c>
      <c r="J668" t="b">
        <v>1</v>
      </c>
      <c r="K668" t="inlineStr">
        <is>
          <t>Unilever Indonesia Official Shop</t>
        </is>
      </c>
      <c r="L668" t="inlineStr">
        <is>
          <t>KOTA BEKASI</t>
        </is>
      </c>
      <c r="M668" t="n">
        <v>6134592256</v>
      </c>
      <c r="N668" t="n">
        <v>14318452</v>
      </c>
      <c r="O668">
        <f>HYPERLINK("https://shopee.co.id/api/v4/item/get?itemid=6134592256&amp;shopid=14318452", "Bango Kecap Manis Pouch 210mL Twinpack")</f>
        <v/>
      </c>
      <c r="P668" t="n">
        <v>435</v>
      </c>
      <c r="Q668" t="n">
        <v>1241</v>
      </c>
      <c r="R668" t="n">
        <v>4.926470588235294</v>
      </c>
      <c r="S668" t="n">
        <v>5</v>
      </c>
      <c r="T668" t="n">
        <v>4</v>
      </c>
      <c r="U668" t="n">
        <v>13</v>
      </c>
      <c r="V668" t="n">
        <v>80</v>
      </c>
      <c r="W668" t="n">
        <v>1743</v>
      </c>
    </row>
    <row r="669">
      <c r="A669" t="inlineStr">
        <is>
          <t>Vaseline Hand Cream Antibacterial Moisturizer for Dry Skin 50Ml -Pelembab Kulit Kering</t>
        </is>
      </c>
      <c r="B669" t="inlineStr">
        <is>
          <t>Vaseline</t>
        </is>
      </c>
      <c r="C669" t="inlineStr">
        <is>
          <t>10%</t>
        </is>
      </c>
      <c r="D669" t="n">
        <v>24900</v>
      </c>
      <c r="E669" t="n">
        <v>27800</v>
      </c>
      <c r="F669" t="n">
        <v>24900</v>
      </c>
      <c r="G669" t="n">
        <v>27800</v>
      </c>
      <c r="H669" t="n">
        <v>24900</v>
      </c>
      <c r="I669" t="n">
        <v>27800</v>
      </c>
      <c r="J669" t="b">
        <v>1</v>
      </c>
      <c r="K669" t="inlineStr">
        <is>
          <t>Unilever Indonesia Official Shop</t>
        </is>
      </c>
      <c r="L669" t="inlineStr">
        <is>
          <t>KOTA BEKASI</t>
        </is>
      </c>
      <c r="M669" t="n">
        <v>3936457905</v>
      </c>
      <c r="N669" t="n">
        <v>14318452</v>
      </c>
      <c r="O669">
        <f>HYPERLINK("https://shopee.co.id/api/v4/item/get?itemid=3936457905&amp;shopid=14318452", "Vaseline Hand Cream Antibacterial Moisturizer for Dry Skin 50Ml -Pelembab Kulit Kering")</f>
        <v/>
      </c>
      <c r="P669" t="n">
        <v>693</v>
      </c>
      <c r="Q669" t="n">
        <v>431</v>
      </c>
      <c r="R669" t="n">
        <v>4.924463981340271</v>
      </c>
      <c r="S669" t="n">
        <v>26</v>
      </c>
      <c r="T669" t="n">
        <v>31</v>
      </c>
      <c r="U669" t="n">
        <v>141</v>
      </c>
      <c r="V669" t="n">
        <v>1215</v>
      </c>
      <c r="W669" t="n">
        <v>20884</v>
      </c>
    </row>
    <row r="670">
      <c r="A670" t="inlineStr">
        <is>
          <t>Rexona Deodorant Roll On Invisible All In One 45ml Anti Bakteri</t>
        </is>
      </c>
      <c r="B670" t="inlineStr">
        <is>
          <t>0</t>
        </is>
      </c>
      <c r="C670" t="inlineStr">
        <is>
          <t>1%</t>
        </is>
      </c>
      <c r="D670" t="n">
        <v>22100</v>
      </c>
      <c r="E670" t="n">
        <v>22300</v>
      </c>
      <c r="F670" t="n">
        <v>22100</v>
      </c>
      <c r="G670" t="n">
        <v>22300</v>
      </c>
      <c r="H670" t="n">
        <v>22100</v>
      </c>
      <c r="I670" t="n">
        <v>22300</v>
      </c>
      <c r="J670" t="b">
        <v>1</v>
      </c>
      <c r="K670" t="inlineStr">
        <is>
          <t>Unilever Indonesia Official Shop</t>
        </is>
      </c>
      <c r="L670" t="inlineStr">
        <is>
          <t>KOTA BEKASI</t>
        </is>
      </c>
      <c r="M670" t="n">
        <v>1508978492</v>
      </c>
      <c r="N670" t="n">
        <v>14318452</v>
      </c>
      <c r="O670">
        <f>HYPERLINK("https://shopee.co.id/api/v4/item/get?itemid=1508978492&amp;shopid=14318452", "Rexona Deodorant Roll On Invisible All In One 45ml Anti Bakteri")</f>
        <v/>
      </c>
      <c r="P670" t="n">
        <v>154</v>
      </c>
      <c r="Q670" t="n">
        <v>357</v>
      </c>
      <c r="R670" t="n">
        <v>4.899957063117218</v>
      </c>
      <c r="S670" t="n">
        <v>6</v>
      </c>
      <c r="T670" t="n">
        <v>6</v>
      </c>
      <c r="U670" t="n">
        <v>20</v>
      </c>
      <c r="V670" t="n">
        <v>151</v>
      </c>
      <c r="W670" t="n">
        <v>2146</v>
      </c>
    </row>
    <row r="671">
      <c r="A671" t="inlineStr">
        <is>
          <t>Pepsodent Sensitive Mineral Expert Pasta Gigi Sensitivity Treatment Pasta Gigi Sensitive Extra Fresh 105G</t>
        </is>
      </c>
      <c r="B671" t="inlineStr">
        <is>
          <t>None</t>
        </is>
      </c>
      <c r="C671" t="inlineStr">
        <is>
          <t>28%</t>
        </is>
      </c>
      <c r="D671" t="n">
        <v>30300</v>
      </c>
      <c r="E671" t="n">
        <v>42300</v>
      </c>
      <c r="F671" t="n">
        <v>30300</v>
      </c>
      <c r="G671" t="n">
        <v>42300</v>
      </c>
      <c r="H671" t="n">
        <v>30300</v>
      </c>
      <c r="I671" t="n">
        <v>42300</v>
      </c>
      <c r="J671" t="b">
        <v>1</v>
      </c>
      <c r="K671" t="inlineStr">
        <is>
          <t>Unilever Indonesia Official Shop</t>
        </is>
      </c>
      <c r="L671" t="inlineStr">
        <is>
          <t>KOTA BEKASI</t>
        </is>
      </c>
      <c r="M671" t="n">
        <v>8311842403</v>
      </c>
      <c r="N671" t="n">
        <v>14318452</v>
      </c>
      <c r="O671">
        <f>HYPERLINK("https://shopee.co.id/api/v4/item/get?itemid=8311842403&amp;shopid=14318452", "Pepsodent Sensitive Mineral Expert Pasta Gigi Sensitivity Treatment Pasta Gigi Sensitive Extra Fresh 105G")</f>
        <v/>
      </c>
      <c r="P671" t="n">
        <v>430</v>
      </c>
      <c r="Q671" t="n">
        <v>145</v>
      </c>
      <c r="R671" t="n">
        <v>4.91047619047619</v>
      </c>
      <c r="S671" t="n">
        <v>8</v>
      </c>
      <c r="T671" t="n">
        <v>3</v>
      </c>
      <c r="U671" t="n">
        <v>9</v>
      </c>
      <c r="V671" t="n">
        <v>82</v>
      </c>
      <c r="W671" t="n">
        <v>1473</v>
      </c>
    </row>
    <row r="672">
      <c r="A672" t="inlineStr">
        <is>
          <t>Buavita Lychee 250 ml</t>
        </is>
      </c>
      <c r="B672" t="inlineStr">
        <is>
          <t>0</t>
        </is>
      </c>
      <c r="C672" t="inlineStr">
        <is>
          <t>22%</t>
        </is>
      </c>
      <c r="D672" t="n">
        <v>5700</v>
      </c>
      <c r="E672" t="n">
        <v>7300</v>
      </c>
      <c r="F672" t="n">
        <v>5700</v>
      </c>
      <c r="G672" t="n">
        <v>7300</v>
      </c>
      <c r="H672" t="n">
        <v>5700</v>
      </c>
      <c r="I672" t="n">
        <v>7300</v>
      </c>
      <c r="J672" t="b">
        <v>1</v>
      </c>
      <c r="K672" t="inlineStr">
        <is>
          <t>Unilever Indonesia Official Shop</t>
        </is>
      </c>
      <c r="L672" t="inlineStr">
        <is>
          <t>KOTA SEMARANG</t>
        </is>
      </c>
      <c r="M672" t="n">
        <v>1480864152</v>
      </c>
      <c r="N672" t="n">
        <v>14318452</v>
      </c>
      <c r="O672">
        <f>HYPERLINK("https://shopee.co.id/api/v4/item/get?itemid=1480864152&amp;shopid=14318452", "Buavita Lychee 250 ml")</f>
        <v/>
      </c>
      <c r="P672" t="n">
        <v>280</v>
      </c>
      <c r="Q672" t="n">
        <v>448</v>
      </c>
      <c r="R672" t="n">
        <v>4.916734409476251</v>
      </c>
      <c r="S672" t="n">
        <v>26</v>
      </c>
      <c r="T672" t="n">
        <v>18</v>
      </c>
      <c r="U672" t="n">
        <v>67</v>
      </c>
      <c r="V672" t="n">
        <v>428</v>
      </c>
      <c r="W672" t="n">
        <v>8073</v>
      </c>
    </row>
    <row r="673">
      <c r="A673" t="inlineStr">
        <is>
          <t>Vaseline Lotion Intensive Care Aloe Soothe 200ml Twin Pack</t>
        </is>
      </c>
      <c r="B673" t="inlineStr">
        <is>
          <t>0</t>
        </is>
      </c>
      <c r="C673" t="inlineStr">
        <is>
          <t>10%</t>
        </is>
      </c>
      <c r="D673" t="n">
        <v>59500</v>
      </c>
      <c r="E673" t="n">
        <v>66100</v>
      </c>
      <c r="F673" t="n">
        <v>59500</v>
      </c>
      <c r="G673" t="n">
        <v>66100</v>
      </c>
      <c r="H673" t="n">
        <v>59500</v>
      </c>
      <c r="I673" t="n">
        <v>66100</v>
      </c>
      <c r="J673" t="b">
        <v>1</v>
      </c>
      <c r="K673" t="inlineStr">
        <is>
          <t>Unilever Indonesia Official Shop</t>
        </is>
      </c>
      <c r="L673" t="inlineStr">
        <is>
          <t>KOTA BEKASI</t>
        </is>
      </c>
      <c r="M673" t="n">
        <v>3147377170</v>
      </c>
      <c r="N673" t="n">
        <v>14318452</v>
      </c>
      <c r="O673">
        <f>HYPERLINK("https://shopee.co.id/api/v4/item/get?itemid=3147377170&amp;shopid=14318452", "Vaseline Lotion Intensive Care Aloe Soothe 200ml Twin Pack")</f>
        <v/>
      </c>
      <c r="P673" t="n">
        <v>53</v>
      </c>
      <c r="Q673" t="n">
        <v>125</v>
      </c>
      <c r="R673" t="n">
        <v>4.95124716553288</v>
      </c>
      <c r="S673" t="n">
        <v>1</v>
      </c>
      <c r="T673" t="n">
        <v>0</v>
      </c>
      <c r="U673" t="n">
        <v>1</v>
      </c>
      <c r="V673" t="n">
        <v>37</v>
      </c>
      <c r="W673" t="n">
        <v>843</v>
      </c>
    </row>
    <row r="674">
      <c r="A674" t="inlineStr">
        <is>
          <t>Lifebuoy Antibacterial Body Wash Lemon Fresh 300 ml</t>
        </is>
      </c>
      <c r="B674" t="inlineStr">
        <is>
          <t>0</t>
        </is>
      </c>
      <c r="C674" t="inlineStr">
        <is>
          <t>32%</t>
        </is>
      </c>
      <c r="D674" t="n">
        <v>33200</v>
      </c>
      <c r="E674" t="n">
        <v>48600</v>
      </c>
      <c r="F674" t="n">
        <v>33200</v>
      </c>
      <c r="G674" t="n">
        <v>48600</v>
      </c>
      <c r="H674" t="n">
        <v>33200</v>
      </c>
      <c r="I674" t="n">
        <v>48600</v>
      </c>
      <c r="J674" t="b">
        <v>1</v>
      </c>
      <c r="K674" t="inlineStr">
        <is>
          <t>Unilever Indonesia Official Shop</t>
        </is>
      </c>
      <c r="L674" t="inlineStr">
        <is>
          <t>KOTA BEKASI</t>
        </is>
      </c>
      <c r="M674" t="n">
        <v>1008956371</v>
      </c>
      <c r="N674" t="n">
        <v>14318452</v>
      </c>
      <c r="O674">
        <f>HYPERLINK("https://shopee.co.id/api/v4/item/get?itemid=1008956371&amp;shopid=14318452", "Lifebuoy Antibacterial Body Wash Lemon Fresh 300 ml")</f>
        <v/>
      </c>
      <c r="P674" t="n">
        <v>28</v>
      </c>
      <c r="Q674" t="n">
        <v>47</v>
      </c>
      <c r="R674" t="n">
        <v>4.926487747957993</v>
      </c>
      <c r="S674" t="n">
        <v>2</v>
      </c>
      <c r="T674" t="n">
        <v>4</v>
      </c>
      <c r="U674" t="n">
        <v>12</v>
      </c>
      <c r="V674" t="n">
        <v>148</v>
      </c>
      <c r="W674" t="n">
        <v>2406</v>
      </c>
    </row>
    <row r="675">
      <c r="A675" t="inlineStr">
        <is>
          <t>Zwitsal Baby Hair Lotion Aloe Vera Kemiri Seledri Penumbuh Rambut Bayi 200ml x 3</t>
        </is>
      </c>
      <c r="B675" t="inlineStr">
        <is>
          <t>Zwitsal</t>
        </is>
      </c>
      <c r="C675" t="inlineStr">
        <is>
          <t>19%</t>
        </is>
      </c>
      <c r="D675" t="n">
        <v>97500</v>
      </c>
      <c r="E675" t="n">
        <v>120500</v>
      </c>
      <c r="F675" t="n">
        <v>97500</v>
      </c>
      <c r="G675" t="n">
        <v>120500</v>
      </c>
      <c r="H675" t="n">
        <v>97500</v>
      </c>
      <c r="I675" t="n">
        <v>120500</v>
      </c>
      <c r="J675" t="b">
        <v>1</v>
      </c>
      <c r="K675" t="inlineStr">
        <is>
          <t>Unilever Indonesia Official Shop</t>
        </is>
      </c>
      <c r="L675" t="inlineStr">
        <is>
          <t>KOTA BEKASI</t>
        </is>
      </c>
      <c r="M675" t="n">
        <v>7731210543</v>
      </c>
      <c r="N675" t="n">
        <v>14318452</v>
      </c>
      <c r="O675">
        <f>HYPERLINK("https://shopee.co.id/api/v4/item/get?itemid=7731210543&amp;shopid=14318452", "Zwitsal Baby Hair Lotion Aloe Vera Kemiri Seledri Penumbuh Rambut Bayi 200ml x 3")</f>
        <v/>
      </c>
      <c r="P675" t="n">
        <v>54</v>
      </c>
      <c r="Q675" t="n">
        <v>162</v>
      </c>
      <c r="R675" t="n">
        <v>4.916043225270158</v>
      </c>
      <c r="S675" t="n">
        <v>4</v>
      </c>
      <c r="T675" t="n">
        <v>2</v>
      </c>
      <c r="U675" t="n">
        <v>12</v>
      </c>
      <c r="V675" t="n">
        <v>55</v>
      </c>
      <c r="W675" t="n">
        <v>1130</v>
      </c>
    </row>
    <row r="676">
      <c r="A676" t="inlineStr">
        <is>
          <t>Wipol Pembersih Lantai Karbol Refill 750ml Twin Pack</t>
        </is>
      </c>
      <c r="B676" t="inlineStr">
        <is>
          <t>0</t>
        </is>
      </c>
      <c r="C676" t="inlineStr">
        <is>
          <t>30%</t>
        </is>
      </c>
      <c r="D676" t="n">
        <v>33300</v>
      </c>
      <c r="E676" t="n">
        <v>47500</v>
      </c>
      <c r="F676" t="n">
        <v>33300</v>
      </c>
      <c r="G676" t="n">
        <v>47500</v>
      </c>
      <c r="H676" t="n">
        <v>33300</v>
      </c>
      <c r="I676" t="n">
        <v>47500</v>
      </c>
      <c r="J676" t="b">
        <v>1</v>
      </c>
      <c r="K676" t="inlineStr">
        <is>
          <t>Unilever Indonesia Official Shop</t>
        </is>
      </c>
      <c r="L676" t="inlineStr">
        <is>
          <t>KOTA BEKASI</t>
        </is>
      </c>
      <c r="M676" t="n">
        <v>4131693945</v>
      </c>
      <c r="N676" t="n">
        <v>14318452</v>
      </c>
      <c r="O676">
        <f>HYPERLINK("https://shopee.co.id/api/v4/item/get?itemid=4131693945&amp;shopid=14318452", "Wipol Pembersih Lantai Karbol Refill 750ml Twin Pack")</f>
        <v/>
      </c>
      <c r="P676" t="n">
        <v>511</v>
      </c>
      <c r="Q676" t="n">
        <v>4098</v>
      </c>
      <c r="R676" t="n">
        <v>4.943071965628357</v>
      </c>
      <c r="S676" t="n">
        <v>89</v>
      </c>
      <c r="T676" t="n">
        <v>57</v>
      </c>
      <c r="U676" t="n">
        <v>177</v>
      </c>
      <c r="V676" t="n">
        <v>1210</v>
      </c>
      <c r="W676" t="n">
        <v>33878</v>
      </c>
    </row>
    <row r="677">
      <c r="A677" t="inlineStr">
        <is>
          <t>Sunsilk Shampoo Rambut Lembut Soft &amp; Smooth Activ-Infusion Rambut 5X Lebih Lembut &amp; Halus with Argan Oil 160 ml x2</t>
        </is>
      </c>
      <c r="B677" t="inlineStr">
        <is>
          <t>0</t>
        </is>
      </c>
      <c r="C677" t="inlineStr">
        <is>
          <t>11%</t>
        </is>
      </c>
      <c r="D677" t="n">
        <v>47700</v>
      </c>
      <c r="E677" t="n">
        <v>53800</v>
      </c>
      <c r="F677" t="n">
        <v>47700</v>
      </c>
      <c r="G677" t="n">
        <v>53800</v>
      </c>
      <c r="H677" t="n">
        <v>47700</v>
      </c>
      <c r="I677" t="n">
        <v>53800</v>
      </c>
      <c r="J677" t="b">
        <v>1</v>
      </c>
      <c r="K677" t="inlineStr">
        <is>
          <t>Unilever Indonesia Official Shop</t>
        </is>
      </c>
      <c r="L677" t="inlineStr">
        <is>
          <t>KOTA BEKASI</t>
        </is>
      </c>
      <c r="M677" t="n">
        <v>4731739331</v>
      </c>
      <c r="N677" t="n">
        <v>14318452</v>
      </c>
      <c r="O677">
        <f>HYPERLINK("https://shopee.co.id/api/v4/item/get?itemid=4731739331&amp;shopid=14318452", "Sunsilk Shampoo Rambut Lembut Soft &amp; Smooth Activ-Infusion Rambut 5X Lebih Lembut &amp; Halus with Argan Oil 160 ml x2")</f>
        <v/>
      </c>
      <c r="P677" t="n">
        <v>72</v>
      </c>
      <c r="Q677" t="n">
        <v>152</v>
      </c>
      <c r="R677" t="n">
        <v>4.92829373650108</v>
      </c>
      <c r="S677" t="n">
        <v>9</v>
      </c>
      <c r="T677" t="n">
        <v>1</v>
      </c>
      <c r="U677" t="n">
        <v>16</v>
      </c>
      <c r="V677" t="n">
        <v>95</v>
      </c>
      <c r="W677" t="n">
        <v>2194</v>
      </c>
    </row>
    <row r="678">
      <c r="A678" t="inlineStr">
        <is>
          <t>Wipol Karbol Lemon Pembersih Lantai Refill 780 ml - Multi Pack</t>
        </is>
      </c>
      <c r="B678" t="inlineStr">
        <is>
          <t>0</t>
        </is>
      </c>
      <c r="C678" t="inlineStr">
        <is>
          <t>31%</t>
        </is>
      </c>
      <c r="D678" t="n">
        <v>49500</v>
      </c>
      <c r="E678" t="n">
        <v>71300</v>
      </c>
      <c r="F678" t="n">
        <v>49500</v>
      </c>
      <c r="G678" t="n">
        <v>71300</v>
      </c>
      <c r="H678" t="n">
        <v>49500</v>
      </c>
      <c r="I678" t="n">
        <v>71300</v>
      </c>
      <c r="J678" t="b">
        <v>1</v>
      </c>
      <c r="K678" t="inlineStr">
        <is>
          <t>Unilever Indonesia Official Shop</t>
        </is>
      </c>
      <c r="L678" t="inlineStr">
        <is>
          <t>KOTA BEKASI</t>
        </is>
      </c>
      <c r="M678" t="n">
        <v>6431743637</v>
      </c>
      <c r="N678" t="n">
        <v>14318452</v>
      </c>
      <c r="O678">
        <f>HYPERLINK("https://shopee.co.id/api/v4/item/get?itemid=6431743637&amp;shopid=14318452", "Wipol Karbol Lemon Pembersih Lantai Refill 780 ml - Multi Pack")</f>
        <v/>
      </c>
      <c r="P678" t="n">
        <v>344</v>
      </c>
      <c r="Q678" t="n">
        <v>845</v>
      </c>
      <c r="R678" t="n">
        <v>4.939241486068111</v>
      </c>
      <c r="S678" t="n">
        <v>9</v>
      </c>
      <c r="T678" t="n">
        <v>7</v>
      </c>
      <c r="U678" t="n">
        <v>11</v>
      </c>
      <c r="V678" t="n">
        <v>85</v>
      </c>
      <c r="W678" t="n">
        <v>2474</v>
      </c>
    </row>
    <row r="679">
      <c r="A679" t="inlineStr">
        <is>
          <t>Dove Conditioner Perawatan Rambut Rontok Berkurang 99% dengan Nutri Serum dan Dynazinc 320ml</t>
        </is>
      </c>
      <c r="B679" t="inlineStr">
        <is>
          <t>Dove</t>
        </is>
      </c>
      <c r="C679" t="inlineStr">
        <is>
          <t>1%</t>
        </is>
      </c>
      <c r="D679" t="n">
        <v>67100</v>
      </c>
      <c r="E679" t="n">
        <v>67700</v>
      </c>
      <c r="F679" t="n">
        <v>67100</v>
      </c>
      <c r="G679" t="n">
        <v>67700</v>
      </c>
      <c r="H679" t="n">
        <v>67100</v>
      </c>
      <c r="I679" t="n">
        <v>67700</v>
      </c>
      <c r="J679" t="b">
        <v>1</v>
      </c>
      <c r="K679" t="inlineStr">
        <is>
          <t>Unilever Indonesia Official Shop</t>
        </is>
      </c>
      <c r="L679" t="inlineStr">
        <is>
          <t>KOTA BEKASI</t>
        </is>
      </c>
      <c r="M679" t="n">
        <v>126957924</v>
      </c>
      <c r="N679" t="n">
        <v>14318452</v>
      </c>
      <c r="O679">
        <f>HYPERLINK("https://shopee.co.id/api/v4/item/get?itemid=126957924&amp;shopid=14318452", "Dove Conditioner Perawatan Rambut Rontok Berkurang 99% dengan Nutri Serum dan Dynazinc 320ml")</f>
        <v/>
      </c>
      <c r="P679" t="n">
        <v>466</v>
      </c>
      <c r="Q679" t="n">
        <v>470</v>
      </c>
      <c r="R679" t="n">
        <v>4.936204268292683</v>
      </c>
      <c r="S679" t="n">
        <v>26</v>
      </c>
      <c r="T679" t="n">
        <v>11</v>
      </c>
      <c r="U679" t="n">
        <v>74</v>
      </c>
      <c r="V679" t="n">
        <v>552</v>
      </c>
      <c r="W679" t="n">
        <v>12457</v>
      </c>
    </row>
    <row r="680">
      <c r="A680" t="inlineStr">
        <is>
          <t>Molto Pelembut Softener Dan Pewangi Pure 720 ml</t>
        </is>
      </c>
      <c r="B680" t="inlineStr"/>
      <c r="C680" t="inlineStr">
        <is>
          <t>34%</t>
        </is>
      </c>
      <c r="D680" t="n">
        <v>23900</v>
      </c>
      <c r="E680" t="n">
        <v>36100</v>
      </c>
      <c r="F680" t="n">
        <v>23900</v>
      </c>
      <c r="G680" t="n">
        <v>36100</v>
      </c>
      <c r="H680" t="n">
        <v>23900</v>
      </c>
      <c r="I680" t="n">
        <v>36100</v>
      </c>
      <c r="J680" t="b">
        <v>1</v>
      </c>
      <c r="K680" t="inlineStr">
        <is>
          <t>Unilever Indonesia Official Shop</t>
        </is>
      </c>
      <c r="L680" t="inlineStr">
        <is>
          <t>KAB. BANYUASIN</t>
        </is>
      </c>
      <c r="M680" t="n">
        <v>8115796016</v>
      </c>
      <c r="N680" t="n">
        <v>14318452</v>
      </c>
      <c r="O680">
        <f>HYPERLINK("https://shopee.co.id/api/v4/item/get?itemid=8115796016&amp;shopid=14318452", "Molto Pelembut Softener Dan Pewangi Pure 720 ml")</f>
        <v/>
      </c>
      <c r="P680" t="n">
        <v>25</v>
      </c>
      <c r="Q680" t="n">
        <v>148</v>
      </c>
      <c r="R680" t="n">
        <v>4.950310559006211</v>
      </c>
      <c r="S680" t="n">
        <v>2</v>
      </c>
      <c r="T680" t="n">
        <v>0</v>
      </c>
      <c r="U680" t="n">
        <v>0</v>
      </c>
      <c r="V680" t="n">
        <v>16</v>
      </c>
      <c r="W680" t="n">
        <v>465</v>
      </c>
    </row>
    <row r="681">
      <c r="A681" t="inlineStr">
        <is>
          <t>Rinso Molto Detergen Cair Royal Gold 700ml</t>
        </is>
      </c>
      <c r="B681" t="inlineStr">
        <is>
          <t>0</t>
        </is>
      </c>
      <c r="C681" t="inlineStr">
        <is>
          <t>33%</t>
        </is>
      </c>
      <c r="D681" t="n">
        <v>21100</v>
      </c>
      <c r="E681" t="n">
        <v>31500</v>
      </c>
      <c r="F681" t="n">
        <v>21100</v>
      </c>
      <c r="G681" t="n">
        <v>31500</v>
      </c>
      <c r="H681" t="n">
        <v>21100</v>
      </c>
      <c r="I681" t="n">
        <v>31500</v>
      </c>
      <c r="J681" t="b">
        <v>1</v>
      </c>
      <c r="K681" t="inlineStr">
        <is>
          <t>Unilever Indonesia Official Shop</t>
        </is>
      </c>
      <c r="L681" t="inlineStr">
        <is>
          <t>KOTA BEKASI</t>
        </is>
      </c>
      <c r="M681" t="n">
        <v>1921369089</v>
      </c>
      <c r="N681" t="n">
        <v>14318452</v>
      </c>
      <c r="O681">
        <f>HYPERLINK("https://shopee.co.id/api/v4/item/get?itemid=1921369089&amp;shopid=14318452", "Rinso Molto Detergen Cair Royal Gold 700ml")</f>
        <v/>
      </c>
      <c r="P681" t="n">
        <v>268</v>
      </c>
      <c r="Q681" t="n">
        <v>310</v>
      </c>
      <c r="R681" t="n">
        <v>4.937066892943006</v>
      </c>
      <c r="S681" t="n">
        <v>19</v>
      </c>
      <c r="T681" t="n">
        <v>12</v>
      </c>
      <c r="U681" t="n">
        <v>29</v>
      </c>
      <c r="V681" t="n">
        <v>279</v>
      </c>
      <c r="W681" t="n">
        <v>6736</v>
      </c>
    </row>
    <row r="682">
      <c r="A682" t="inlineStr">
        <is>
          <t>Dove Body Wash Pump Deeply Nourishing Kulit Lembut 550ml</t>
        </is>
      </c>
      <c r="B682" t="inlineStr">
        <is>
          <t>Dove</t>
        </is>
      </c>
      <c r="C682" t="inlineStr">
        <is>
          <t>16%</t>
        </is>
      </c>
      <c r="D682" t="n">
        <v>79400</v>
      </c>
      <c r="E682" t="n">
        <v>94200</v>
      </c>
      <c r="F682" t="n">
        <v>79400</v>
      </c>
      <c r="G682" t="n">
        <v>94200</v>
      </c>
      <c r="H682" t="n">
        <v>79400</v>
      </c>
      <c r="I682" t="n">
        <v>94200</v>
      </c>
      <c r="J682" t="b">
        <v>1</v>
      </c>
      <c r="K682" t="inlineStr">
        <is>
          <t>Unilever Indonesia Official Shop</t>
        </is>
      </c>
      <c r="L682" t="inlineStr">
        <is>
          <t>KOTA BEKASI</t>
        </is>
      </c>
      <c r="M682" t="n">
        <v>127003131</v>
      </c>
      <c r="N682" t="n">
        <v>14318452</v>
      </c>
      <c r="O682">
        <f>HYPERLINK("https://shopee.co.id/api/v4/item/get?itemid=127003131&amp;shopid=14318452", "Dove Body Wash Pump Deeply Nourishing Kulit Lembut 550ml")</f>
        <v/>
      </c>
      <c r="P682" t="n">
        <v>85</v>
      </c>
      <c r="Q682" t="n">
        <v>510</v>
      </c>
      <c r="R682" t="n">
        <v>4.893651218858826</v>
      </c>
      <c r="S682" t="n">
        <v>37</v>
      </c>
      <c r="T682" t="n">
        <v>17</v>
      </c>
      <c r="U682" t="n">
        <v>98</v>
      </c>
      <c r="V682" t="n">
        <v>416</v>
      </c>
      <c r="W682" t="n">
        <v>6903</v>
      </c>
    </row>
    <row r="683">
      <c r="A683" t="inlineStr">
        <is>
          <t>Jawara Saus Sambal Bawang Goreng Hot Pouch 250Ml</t>
        </is>
      </c>
      <c r="B683" t="inlineStr">
        <is>
          <t>Jawara</t>
        </is>
      </c>
      <c r="C683" t="inlineStr">
        <is>
          <t>9%</t>
        </is>
      </c>
      <c r="D683" t="n">
        <v>13600</v>
      </c>
      <c r="E683" t="n">
        <v>15000</v>
      </c>
      <c r="F683" t="n">
        <v>13600</v>
      </c>
      <c r="G683" t="n">
        <v>15000</v>
      </c>
      <c r="H683" t="n">
        <v>13600</v>
      </c>
      <c r="I683" t="n">
        <v>15000</v>
      </c>
      <c r="J683" t="b">
        <v>1</v>
      </c>
      <c r="K683" t="inlineStr">
        <is>
          <t>Unilever Indonesia Official Shop</t>
        </is>
      </c>
      <c r="L683" t="inlineStr">
        <is>
          <t>KOTA BEKASI</t>
        </is>
      </c>
      <c r="M683" t="n">
        <v>4528207435</v>
      </c>
      <c r="N683" t="n">
        <v>14318452</v>
      </c>
      <c r="O683">
        <f>HYPERLINK("https://shopee.co.id/api/v4/item/get?itemid=4528207435&amp;shopid=14318452", "Jawara Saus Sambal Bawang Goreng Hot Pouch 250Ml")</f>
        <v/>
      </c>
      <c r="P683" t="n">
        <v>470</v>
      </c>
      <c r="Q683" t="n">
        <v>602</v>
      </c>
      <c r="R683" t="n">
        <v>4.916008128245654</v>
      </c>
      <c r="S683" t="n">
        <v>11</v>
      </c>
      <c r="T683" t="n">
        <v>11</v>
      </c>
      <c r="U683" t="n">
        <v>37</v>
      </c>
      <c r="V683" t="n">
        <v>227</v>
      </c>
      <c r="W683" t="n">
        <v>4145</v>
      </c>
    </row>
    <row r="684">
      <c r="A684" t="inlineStr">
        <is>
          <t>Rinso Detergen Cair Liquid Detergent Konsentrat Rose Fresh Proteksi Higienis 1.65L</t>
        </is>
      </c>
      <c r="B684" t="inlineStr"/>
      <c r="C684" t="inlineStr">
        <is>
          <t>20%</t>
        </is>
      </c>
      <c r="D684" t="n">
        <v>42500</v>
      </c>
      <c r="E684" t="n">
        <v>53200</v>
      </c>
      <c r="F684" t="n">
        <v>42500</v>
      </c>
      <c r="G684" t="n">
        <v>53200</v>
      </c>
      <c r="H684" t="n">
        <v>42500</v>
      </c>
      <c r="I684" t="n">
        <v>53200</v>
      </c>
      <c r="J684" t="b">
        <v>1</v>
      </c>
      <c r="K684" t="inlineStr">
        <is>
          <t>Unilever Indonesia Official Shop</t>
        </is>
      </c>
      <c r="L684" t="inlineStr">
        <is>
          <t>KOTA BEKASI</t>
        </is>
      </c>
      <c r="M684" t="n">
        <v>9427264402</v>
      </c>
      <c r="N684" t="n">
        <v>14318452</v>
      </c>
      <c r="O684">
        <f>HYPERLINK("https://shopee.co.id/api/v4/item/get?itemid=9427264402&amp;shopid=14318452", "Rinso Detergen Cair Liquid Detergent Konsentrat Rose Fresh Proteksi Higienis 1.65L")</f>
        <v/>
      </c>
      <c r="P684" t="n">
        <v>356</v>
      </c>
      <c r="Q684" t="n">
        <v>346</v>
      </c>
      <c r="R684" t="n">
        <v>4.936468234117059</v>
      </c>
      <c r="S684" t="n">
        <v>9</v>
      </c>
      <c r="T684" t="n">
        <v>3</v>
      </c>
      <c r="U684" t="n">
        <v>9</v>
      </c>
      <c r="V684" t="n">
        <v>67</v>
      </c>
      <c r="W684" t="n">
        <v>1918</v>
      </c>
    </row>
    <row r="685">
      <c r="A685" t="inlineStr">
        <is>
          <t>Glow &amp; Lovely Multivitamin Serum Sheet Mask / Masker Wajah 20g 10 pcs</t>
        </is>
      </c>
      <c r="B685" t="inlineStr">
        <is>
          <t>Fair &amp; Lovely</t>
        </is>
      </c>
      <c r="C685" t="inlineStr">
        <is>
          <t>21%</t>
        </is>
      </c>
      <c r="D685" t="n">
        <v>78800</v>
      </c>
      <c r="E685" t="n">
        <v>100000</v>
      </c>
      <c r="F685" t="n">
        <v>78800</v>
      </c>
      <c r="G685" t="n">
        <v>100000</v>
      </c>
      <c r="H685" t="n">
        <v>78800</v>
      </c>
      <c r="I685" t="n">
        <v>100000</v>
      </c>
      <c r="J685" t="b">
        <v>1</v>
      </c>
      <c r="K685" t="inlineStr">
        <is>
          <t>Unilever Indonesia Official Shop</t>
        </is>
      </c>
      <c r="L685" t="inlineStr">
        <is>
          <t>KOTA BEKASI</t>
        </is>
      </c>
      <c r="M685" t="n">
        <v>4457544785</v>
      </c>
      <c r="N685" t="n">
        <v>14318452</v>
      </c>
      <c r="O685">
        <f>HYPERLINK("https://shopee.co.id/api/v4/item/get?itemid=4457544785&amp;shopid=14318452", "Glow &amp; Lovely Multivitamin Serum Sheet Mask / Masker Wajah 20g 10 pcs")</f>
        <v/>
      </c>
      <c r="P685" t="n">
        <v>196</v>
      </c>
      <c r="Q685" t="n">
        <v>463</v>
      </c>
      <c r="R685" t="n">
        <v>4.930984085742124</v>
      </c>
      <c r="S685" t="n">
        <v>7</v>
      </c>
      <c r="T685" t="n">
        <v>5</v>
      </c>
      <c r="U685" t="n">
        <v>36</v>
      </c>
      <c r="V685" t="n">
        <v>313</v>
      </c>
      <c r="W685" t="n">
        <v>5803</v>
      </c>
    </row>
    <row r="686">
      <c r="A686" t="inlineStr">
        <is>
          <t>Zwitsal Baby Bath Classic 450 ml</t>
        </is>
      </c>
      <c r="B686" t="inlineStr">
        <is>
          <t>Zwitsal</t>
        </is>
      </c>
      <c r="C686" t="inlineStr">
        <is>
          <t>21%</t>
        </is>
      </c>
      <c r="D686" t="n">
        <v>33300</v>
      </c>
      <c r="E686" t="n">
        <v>41900</v>
      </c>
      <c r="F686" t="n">
        <v>33300</v>
      </c>
      <c r="G686" t="n">
        <v>41900</v>
      </c>
      <c r="H686" t="n">
        <v>33300</v>
      </c>
      <c r="I686" t="n">
        <v>41900</v>
      </c>
      <c r="J686" t="b">
        <v>1</v>
      </c>
      <c r="K686" t="inlineStr">
        <is>
          <t>Unilever Indonesia Official Shop</t>
        </is>
      </c>
      <c r="L686" t="inlineStr">
        <is>
          <t>KOTA BEKASI</t>
        </is>
      </c>
      <c r="M686" t="n">
        <v>1856541134</v>
      </c>
      <c r="N686" t="n">
        <v>14318452</v>
      </c>
      <c r="O686">
        <f>HYPERLINK("https://shopee.co.id/api/v4/item/get?itemid=1856541134&amp;shopid=14318452", "Zwitsal Baby Bath Classic 450 ml")</f>
        <v/>
      </c>
      <c r="P686" t="n">
        <v>69</v>
      </c>
      <c r="Q686" t="n">
        <v>575</v>
      </c>
      <c r="R686" t="n">
        <v>4.929128400623808</v>
      </c>
      <c r="S686" t="n">
        <v>20</v>
      </c>
      <c r="T686" t="n">
        <v>6</v>
      </c>
      <c r="U686" t="n">
        <v>30</v>
      </c>
      <c r="V686" t="n">
        <v>258</v>
      </c>
      <c r="W686" t="n">
        <v>5459</v>
      </c>
    </row>
    <row r="687">
      <c r="A687" t="inlineStr">
        <is>
          <t>Super Pell Pembersih Lantai Fresh Lemon Pouch 780 ml Twin Pack</t>
        </is>
      </c>
      <c r="B687" t="inlineStr">
        <is>
          <t>0</t>
        </is>
      </c>
      <c r="C687" t="inlineStr">
        <is>
          <t>23%</t>
        </is>
      </c>
      <c r="D687" t="n">
        <v>25900</v>
      </c>
      <c r="E687" t="n">
        <v>33600</v>
      </c>
      <c r="F687" t="n">
        <v>25900</v>
      </c>
      <c r="G687" t="n">
        <v>33600</v>
      </c>
      <c r="H687" t="n">
        <v>25900</v>
      </c>
      <c r="I687" t="n">
        <v>33600</v>
      </c>
      <c r="J687" t="b">
        <v>1</v>
      </c>
      <c r="K687" t="inlineStr">
        <is>
          <t>Unilever Indonesia Official Shop</t>
        </is>
      </c>
      <c r="L687" t="inlineStr">
        <is>
          <t>KOTA BEKASI</t>
        </is>
      </c>
      <c r="M687" t="n">
        <v>6831698584</v>
      </c>
      <c r="N687" t="n">
        <v>14318452</v>
      </c>
      <c r="O687">
        <f>HYPERLINK("https://shopee.co.id/api/v4/item/get?itemid=6831698584&amp;shopid=14318452", "Super Pell Pembersih Lantai Fresh Lemon Pouch 780 ml Twin Pack")</f>
        <v/>
      </c>
      <c r="P687" t="n">
        <v>97</v>
      </c>
      <c r="Q687" t="n">
        <v>161</v>
      </c>
      <c r="R687" t="n">
        <v>4.958027981345769</v>
      </c>
      <c r="S687" t="n">
        <v>1</v>
      </c>
      <c r="T687" t="n">
        <v>0</v>
      </c>
      <c r="U687" t="n">
        <v>6</v>
      </c>
      <c r="V687" t="n">
        <v>47</v>
      </c>
      <c r="W687" t="n">
        <v>1448</v>
      </c>
    </row>
    <row r="688">
      <c r="A688" t="inlineStr">
        <is>
          <t>Ponds Age Miracle Eye Cream Anti Aging+Glowing with Retinol, Niacinamide &amp; Prebiotic 15ml</t>
        </is>
      </c>
      <c r="B688" t="inlineStr">
        <is>
          <t>0</t>
        </is>
      </c>
      <c r="C688" t="inlineStr">
        <is>
          <t>17%</t>
        </is>
      </c>
      <c r="D688" t="n">
        <v>171600</v>
      </c>
      <c r="E688" t="n">
        <v>207700</v>
      </c>
      <c r="F688" t="n">
        <v>171600</v>
      </c>
      <c r="G688" t="n">
        <v>207700</v>
      </c>
      <c r="H688" t="n">
        <v>171600</v>
      </c>
      <c r="I688" t="n">
        <v>207700</v>
      </c>
      <c r="J688" t="b">
        <v>1</v>
      </c>
      <c r="K688" t="inlineStr">
        <is>
          <t>Unilever Indonesia Official Shop</t>
        </is>
      </c>
      <c r="L688" t="inlineStr">
        <is>
          <t>KOTA BEKASI</t>
        </is>
      </c>
      <c r="M688" t="n">
        <v>127358334</v>
      </c>
      <c r="N688" t="n">
        <v>14318452</v>
      </c>
      <c r="O688">
        <f>HYPERLINK("https://shopee.co.id/api/v4/item/get?itemid=127358334&amp;shopid=14318452", "Ponds Age Miracle Eye Cream Anti Aging+Glowing with Retinol, Niacinamide &amp; Prebiotic 15ml")</f>
        <v/>
      </c>
      <c r="P688" t="n">
        <v>192</v>
      </c>
      <c r="Q688" t="n">
        <v>212</v>
      </c>
      <c r="R688" t="n">
        <v>4.914925939992404</v>
      </c>
      <c r="S688" t="n">
        <v>11</v>
      </c>
      <c r="T688" t="n">
        <v>6</v>
      </c>
      <c r="U688" t="n">
        <v>30</v>
      </c>
      <c r="V688" t="n">
        <v>329</v>
      </c>
      <c r="W688" t="n">
        <v>4891</v>
      </c>
    </row>
    <row r="689">
      <c r="A689" t="inlineStr">
        <is>
          <t>Dove Body Wash Refill Deeply Nourishing Kulit Lembut 400ml Twin Pack</t>
        </is>
      </c>
      <c r="B689" t="inlineStr">
        <is>
          <t>Dove</t>
        </is>
      </c>
      <c r="C689" t="inlineStr">
        <is>
          <t>33%</t>
        </is>
      </c>
      <c r="D689" t="n">
        <v>61900</v>
      </c>
      <c r="E689" t="n">
        <v>92500</v>
      </c>
      <c r="F689" t="n">
        <v>61900</v>
      </c>
      <c r="G689" t="n">
        <v>92500</v>
      </c>
      <c r="H689" t="n">
        <v>61900</v>
      </c>
      <c r="I689" t="n">
        <v>92500</v>
      </c>
      <c r="J689" t="b">
        <v>1</v>
      </c>
      <c r="K689" t="inlineStr">
        <is>
          <t>Unilever Indonesia Official Shop</t>
        </is>
      </c>
      <c r="L689" t="inlineStr">
        <is>
          <t>KOTA BEKASI</t>
        </is>
      </c>
      <c r="M689" t="n">
        <v>4731129799</v>
      </c>
      <c r="N689" t="n">
        <v>14318452</v>
      </c>
      <c r="O689">
        <f>HYPERLINK("https://shopee.co.id/api/v4/item/get?itemid=4731129799&amp;shopid=14318452", "Dove Body Wash Refill Deeply Nourishing Kulit Lembut 400ml Twin Pack")</f>
        <v/>
      </c>
      <c r="P689" t="n">
        <v>192</v>
      </c>
      <c r="Q689" t="n">
        <v>2261</v>
      </c>
      <c r="R689" t="n">
        <v>4.955361148497084</v>
      </c>
      <c r="S689" t="n">
        <v>5</v>
      </c>
      <c r="T689" t="n">
        <v>6</v>
      </c>
      <c r="U689" t="n">
        <v>17</v>
      </c>
      <c r="V689" t="n">
        <v>134</v>
      </c>
      <c r="W689" t="n">
        <v>4298</v>
      </c>
    </row>
    <row r="690">
      <c r="A690" t="inlineStr">
        <is>
          <t>St. Ives Gentle Smoothing Oatmeal Scrub &amp; Mask / Masker Wajah 170 gr</t>
        </is>
      </c>
      <c r="B690" t="inlineStr">
        <is>
          <t>0</t>
        </is>
      </c>
      <c r="C690" t="inlineStr">
        <is>
          <t>1%</t>
        </is>
      </c>
      <c r="D690" t="n">
        <v>68400</v>
      </c>
      <c r="E690" t="n">
        <v>69000</v>
      </c>
      <c r="F690" t="n">
        <v>68400</v>
      </c>
      <c r="G690" t="n">
        <v>69000</v>
      </c>
      <c r="H690" t="n">
        <v>68400</v>
      </c>
      <c r="I690" t="n">
        <v>69000</v>
      </c>
      <c r="J690" t="b">
        <v>1</v>
      </c>
      <c r="K690" t="inlineStr">
        <is>
          <t>Unilever Indonesia Official Shop</t>
        </is>
      </c>
      <c r="L690" t="inlineStr">
        <is>
          <t>KOTA BEKASI</t>
        </is>
      </c>
      <c r="M690" t="n">
        <v>7560790327</v>
      </c>
      <c r="N690" t="n">
        <v>14318452</v>
      </c>
      <c r="O690">
        <f>HYPERLINK("https://shopee.co.id/api/v4/item/get?itemid=7560790327&amp;shopid=14318452", "St. Ives Gentle Smoothing Oatmeal Scrub &amp; Mask / Masker Wajah 170 gr")</f>
        <v/>
      </c>
      <c r="P690" t="n">
        <v>174</v>
      </c>
      <c r="Q690" t="n">
        <v>102</v>
      </c>
      <c r="R690" t="n">
        <v>4.895971443141255</v>
      </c>
      <c r="S690" t="n">
        <v>5</v>
      </c>
      <c r="T690" t="n">
        <v>7</v>
      </c>
      <c r="U690" t="n">
        <v>16</v>
      </c>
      <c r="V690" t="n">
        <v>131</v>
      </c>
      <c r="W690" t="n">
        <v>1802</v>
      </c>
    </row>
    <row r="691">
      <c r="A691" t="inlineStr">
        <is>
          <t>Citra Natural Glow UV Hand &amp; Body Lotion 120 ml x3</t>
        </is>
      </c>
      <c r="B691" t="inlineStr">
        <is>
          <t>0</t>
        </is>
      </c>
      <c r="C691" t="inlineStr">
        <is>
          <t>1%</t>
        </is>
      </c>
      <c r="D691" t="n">
        <v>42700</v>
      </c>
      <c r="E691" t="n">
        <v>43100</v>
      </c>
      <c r="F691" t="n">
        <v>42700</v>
      </c>
      <c r="G691" t="n">
        <v>43100</v>
      </c>
      <c r="H691" t="n">
        <v>42700</v>
      </c>
      <c r="I691" t="n">
        <v>43100</v>
      </c>
      <c r="J691" t="b">
        <v>1</v>
      </c>
      <c r="K691" t="inlineStr">
        <is>
          <t>Unilever Indonesia Official Shop</t>
        </is>
      </c>
      <c r="L691" t="inlineStr">
        <is>
          <t>KOTA BEKASI</t>
        </is>
      </c>
      <c r="M691" t="n">
        <v>5358801785</v>
      </c>
      <c r="N691" t="n">
        <v>14318452</v>
      </c>
      <c r="O691">
        <f>HYPERLINK("https://shopee.co.id/api/v4/item/get?itemid=5358801785&amp;shopid=14318452", "Citra Natural Glow UV Hand &amp; Body Lotion 120 ml x3")</f>
        <v/>
      </c>
      <c r="P691" t="n">
        <v>56</v>
      </c>
      <c r="Q691" t="n">
        <v>897</v>
      </c>
      <c r="R691" t="n">
        <v>4.926179604261796</v>
      </c>
      <c r="S691" t="n">
        <v>4</v>
      </c>
      <c r="T691" t="n">
        <v>2</v>
      </c>
      <c r="U691" t="n">
        <v>8</v>
      </c>
      <c r="V691" t="n">
        <v>69</v>
      </c>
      <c r="W691" t="n">
        <v>1234</v>
      </c>
    </row>
    <row r="692">
      <c r="A692" t="inlineStr">
        <is>
          <t>Dove Original Nourish and Smooth Deodorant Roll On 40 ml - Triplepack</t>
        </is>
      </c>
      <c r="B692" t="inlineStr">
        <is>
          <t>Dove</t>
        </is>
      </c>
      <c r="C692" t="inlineStr">
        <is>
          <t>18%</t>
        </is>
      </c>
      <c r="D692" t="n">
        <v>57800</v>
      </c>
      <c r="E692" t="n">
        <v>70800</v>
      </c>
      <c r="F692" t="n">
        <v>57800</v>
      </c>
      <c r="G692" t="n">
        <v>70800</v>
      </c>
      <c r="H692" t="n">
        <v>57800</v>
      </c>
      <c r="I692" t="n">
        <v>70800</v>
      </c>
      <c r="J692" t="b">
        <v>1</v>
      </c>
      <c r="K692" t="inlineStr">
        <is>
          <t>Unilever Indonesia Official Shop</t>
        </is>
      </c>
      <c r="L692" t="inlineStr">
        <is>
          <t>KOTA BEKASI</t>
        </is>
      </c>
      <c r="M692" t="n">
        <v>7831030613</v>
      </c>
      <c r="N692" t="n">
        <v>14318452</v>
      </c>
      <c r="O692">
        <f>HYPERLINK("https://shopee.co.id/api/v4/item/get?itemid=7831030613&amp;shopid=14318452", "Dove Original Nourish and Smooth Deodorant Roll On 40 ml - Triplepack")</f>
        <v/>
      </c>
      <c r="P692" t="n">
        <v>30</v>
      </c>
      <c r="Q692" t="n">
        <v>357</v>
      </c>
      <c r="R692" t="n">
        <v>4.926385442514475</v>
      </c>
      <c r="S692" t="n">
        <v>5</v>
      </c>
      <c r="T692" t="n">
        <v>3</v>
      </c>
      <c r="U692" t="n">
        <v>9</v>
      </c>
      <c r="V692" t="n">
        <v>46</v>
      </c>
      <c r="W692" t="n">
        <v>1147</v>
      </c>
    </row>
    <row r="693">
      <c r="A693" t="inlineStr">
        <is>
          <t>Bango Bumbu Mie Aceh 25 gr</t>
        </is>
      </c>
      <c r="B693" t="inlineStr">
        <is>
          <t>Bango</t>
        </is>
      </c>
      <c r="C693" t="inlineStr">
        <is>
          <t>12%</t>
        </is>
      </c>
      <c r="D693" t="n">
        <v>5700</v>
      </c>
      <c r="E693" t="n">
        <v>6500</v>
      </c>
      <c r="F693" t="n">
        <v>5700</v>
      </c>
      <c r="G693" t="n">
        <v>6500</v>
      </c>
      <c r="H693" t="n">
        <v>5700</v>
      </c>
      <c r="I693" t="n">
        <v>6500</v>
      </c>
      <c r="J693" t="b">
        <v>1</v>
      </c>
      <c r="K693" t="inlineStr">
        <is>
          <t>Unilever Indonesia Official Shop</t>
        </is>
      </c>
      <c r="L693" t="inlineStr">
        <is>
          <t>KAB. BANYUASIN</t>
        </is>
      </c>
      <c r="M693" t="n">
        <v>3437765884</v>
      </c>
      <c r="N693" t="n">
        <v>14318452</v>
      </c>
      <c r="O693">
        <f>HYPERLINK("https://shopee.co.id/api/v4/item/get?itemid=3437765884&amp;shopid=14318452", "Bango Bumbu Mie Aceh 25 gr")</f>
        <v/>
      </c>
      <c r="P693" t="n">
        <v>56</v>
      </c>
      <c r="Q693" t="n">
        <v>249</v>
      </c>
      <c r="R693" t="n">
        <v>4.91913282863042</v>
      </c>
      <c r="S693" t="n">
        <v>8</v>
      </c>
      <c r="T693" t="n">
        <v>2</v>
      </c>
      <c r="U693" t="n">
        <v>13</v>
      </c>
      <c r="V693" t="n">
        <v>175</v>
      </c>
      <c r="W693" t="n">
        <v>2709</v>
      </c>
    </row>
    <row r="694">
      <c r="A694" t="inlineStr">
        <is>
          <t>St. Ives Radiant Skin Pink Lemon &amp; Mandarin Orange Scrub 170 gr</t>
        </is>
      </c>
      <c r="B694" t="inlineStr">
        <is>
          <t>St.Ives</t>
        </is>
      </c>
      <c r="C694" t="inlineStr">
        <is>
          <t>1%</t>
        </is>
      </c>
      <c r="D694" t="n">
        <v>68400</v>
      </c>
      <c r="E694" t="n">
        <v>69000</v>
      </c>
      <c r="F694" t="n">
        <v>68400</v>
      </c>
      <c r="G694" t="n">
        <v>69000</v>
      </c>
      <c r="H694" t="n">
        <v>68400</v>
      </c>
      <c r="I694" t="n">
        <v>69000</v>
      </c>
      <c r="J694" t="b">
        <v>1</v>
      </c>
      <c r="K694" t="inlineStr">
        <is>
          <t>Unilever Indonesia Official Shop</t>
        </is>
      </c>
      <c r="L694" t="inlineStr">
        <is>
          <t>KOTA BEKASI</t>
        </is>
      </c>
      <c r="M694" t="n">
        <v>1340005046</v>
      </c>
      <c r="N694" t="n">
        <v>14318452</v>
      </c>
      <c r="O694">
        <f>HYPERLINK("https://shopee.co.id/api/v4/item/get?itemid=1340005046&amp;shopid=14318452", "St. Ives Radiant Skin Pink Lemon &amp; Mandarin Orange Scrub 170 gr")</f>
        <v/>
      </c>
      <c r="P694" t="n">
        <v>109</v>
      </c>
      <c r="Q694" t="n">
        <v>155</v>
      </c>
      <c r="R694" t="n">
        <v>4.876281390681781</v>
      </c>
      <c r="S694" t="n">
        <v>86</v>
      </c>
      <c r="T694" t="n">
        <v>66</v>
      </c>
      <c r="U694" t="n">
        <v>220</v>
      </c>
      <c r="V694" t="n">
        <v>1302</v>
      </c>
      <c r="W694" t="n">
        <v>16764</v>
      </c>
    </row>
    <row r="695">
      <c r="A695" t="inlineStr">
        <is>
          <t>Rinso Detergen Cair Liquid Detergent Konsentrat Classic Fresh Proteksi Higienis 700ml</t>
        </is>
      </c>
      <c r="B695" t="inlineStr">
        <is>
          <t>0</t>
        </is>
      </c>
      <c r="C695" t="inlineStr">
        <is>
          <t>21%</t>
        </is>
      </c>
      <c r="D695" t="n">
        <v>25000</v>
      </c>
      <c r="E695" t="n">
        <v>31800</v>
      </c>
      <c r="F695" t="n">
        <v>25000</v>
      </c>
      <c r="G695" t="n">
        <v>31800</v>
      </c>
      <c r="H695" t="n">
        <v>25000</v>
      </c>
      <c r="I695" t="n">
        <v>31800</v>
      </c>
      <c r="J695" t="b">
        <v>1</v>
      </c>
      <c r="K695" t="inlineStr">
        <is>
          <t>Unilever Indonesia Official Shop</t>
        </is>
      </c>
      <c r="L695" t="inlineStr">
        <is>
          <t>KOTA BEKASI</t>
        </is>
      </c>
      <c r="M695" t="n">
        <v>976680587</v>
      </c>
      <c r="N695" t="n">
        <v>14318452</v>
      </c>
      <c r="O695">
        <f>HYPERLINK("https://shopee.co.id/api/v4/item/get?itemid=976680587&amp;shopid=14318452", "Rinso Detergen Cair Liquid Detergent Konsentrat Classic Fresh Proteksi Higienis 700ml")</f>
        <v/>
      </c>
      <c r="P695" t="n">
        <v>35</v>
      </c>
      <c r="Q695" t="n">
        <v>420</v>
      </c>
      <c r="R695" t="n">
        <v>4.923183803096467</v>
      </c>
      <c r="S695" t="n">
        <v>35</v>
      </c>
      <c r="T695" t="n">
        <v>15</v>
      </c>
      <c r="U695" t="n">
        <v>62</v>
      </c>
      <c r="V695" t="n">
        <v>469</v>
      </c>
      <c r="W695" t="n">
        <v>9496</v>
      </c>
    </row>
    <row r="696">
      <c r="A696" t="inlineStr">
        <is>
          <t>Sunlight Sabun Cuci Piring Extra Higienis Habbatussauda 100X Perlindungan 700Ml</t>
        </is>
      </c>
      <c r="B696" t="inlineStr">
        <is>
          <t>Sunlight</t>
        </is>
      </c>
      <c r="C696" t="inlineStr">
        <is>
          <t>12%</t>
        </is>
      </c>
      <c r="D696" t="n">
        <v>22500</v>
      </c>
      <c r="E696" t="n">
        <v>25500</v>
      </c>
      <c r="F696" t="n">
        <v>22500</v>
      </c>
      <c r="G696" t="n">
        <v>25500</v>
      </c>
      <c r="H696" t="n">
        <v>22500</v>
      </c>
      <c r="I696" t="n">
        <v>25500</v>
      </c>
      <c r="J696" t="b">
        <v>1</v>
      </c>
      <c r="K696" t="inlineStr">
        <is>
          <t>Unilever Indonesia Official Shop</t>
        </is>
      </c>
      <c r="L696" t="inlineStr">
        <is>
          <t>KAB. BANYUASIN</t>
        </is>
      </c>
      <c r="M696" t="n">
        <v>1042550481</v>
      </c>
      <c r="N696" t="n">
        <v>14318452</v>
      </c>
      <c r="O696">
        <f>HYPERLINK("https://shopee.co.id/api/v4/item/get?itemid=1042550481&amp;shopid=14318452", "Sunlight Sabun Cuci Piring Extra Higienis Habbatussauda 100X Perlindungan 700Ml")</f>
        <v/>
      </c>
      <c r="P696" t="n">
        <v>55</v>
      </c>
      <c r="Q696" t="n">
        <v>474</v>
      </c>
      <c r="R696" t="n">
        <v>4.939626120684173</v>
      </c>
      <c r="S696" t="n">
        <v>44</v>
      </c>
      <c r="T696" t="n">
        <v>43</v>
      </c>
      <c r="U696" t="n">
        <v>148</v>
      </c>
      <c r="V696" t="n">
        <v>1305</v>
      </c>
      <c r="W696" t="n">
        <v>29923</v>
      </c>
    </row>
    <row r="697">
      <c r="A697" t="inlineStr">
        <is>
          <t>Glow &amp; Lovely Krim Wajah Pencerah Harian Multivitamin Day Cream 46G</t>
        </is>
      </c>
      <c r="B697" t="inlineStr"/>
      <c r="C697" t="inlineStr">
        <is>
          <t>15%</t>
        </is>
      </c>
      <c r="D697" t="n">
        <v>32400</v>
      </c>
      <c r="E697" t="n">
        <v>38200</v>
      </c>
      <c r="F697" t="n">
        <v>32400</v>
      </c>
      <c r="G697" t="n">
        <v>38200</v>
      </c>
      <c r="H697" t="n">
        <v>32400</v>
      </c>
      <c r="I697" t="n">
        <v>38200</v>
      </c>
      <c r="J697" t="b">
        <v>1</v>
      </c>
      <c r="K697" t="inlineStr">
        <is>
          <t>Unilever Indonesia Official Shop</t>
        </is>
      </c>
      <c r="L697" t="inlineStr">
        <is>
          <t>KAB. BANYUASIN</t>
        </is>
      </c>
      <c r="M697" t="n">
        <v>6863823434</v>
      </c>
      <c r="N697" t="n">
        <v>14318452</v>
      </c>
      <c r="O697">
        <f>HYPERLINK("https://shopee.co.id/api/v4/item/get?itemid=6863823434&amp;shopid=14318452", "Glow &amp; Lovely Krim Wajah Pencerah Harian Multivitamin Day Cream 46G")</f>
        <v/>
      </c>
      <c r="P697" t="n">
        <v>24</v>
      </c>
      <c r="Q697" t="n">
        <v>36</v>
      </c>
      <c r="R697" t="n">
        <v>4.888755502200881</v>
      </c>
      <c r="S697" t="n">
        <v>1</v>
      </c>
      <c r="T697" t="n">
        <v>10</v>
      </c>
      <c r="U697" t="n">
        <v>24</v>
      </c>
      <c r="V697" t="n">
        <v>196</v>
      </c>
      <c r="W697" t="n">
        <v>2268</v>
      </c>
    </row>
    <row r="698">
      <c r="A698" t="inlineStr">
        <is>
          <t>Vaseline Men Anti Acne Facial Wash 100 gr Twin Pack</t>
        </is>
      </c>
      <c r="B698" t="inlineStr">
        <is>
          <t>Vaseline</t>
        </is>
      </c>
      <c r="C698" t="inlineStr">
        <is>
          <t>5%</t>
        </is>
      </c>
      <c r="D698" t="n">
        <v>73600</v>
      </c>
      <c r="E698" t="n">
        <v>77200</v>
      </c>
      <c r="F698" t="n">
        <v>73600</v>
      </c>
      <c r="G698" t="n">
        <v>77200</v>
      </c>
      <c r="H698" t="n">
        <v>73600</v>
      </c>
      <c r="I698" t="n">
        <v>77200</v>
      </c>
      <c r="J698" t="b">
        <v>1</v>
      </c>
      <c r="K698" t="inlineStr">
        <is>
          <t>Unilever Indonesia Official Shop</t>
        </is>
      </c>
      <c r="L698" t="inlineStr">
        <is>
          <t>KOTA BEKASI</t>
        </is>
      </c>
      <c r="M698" t="n">
        <v>6031758122</v>
      </c>
      <c r="N698" t="n">
        <v>14318452</v>
      </c>
      <c r="O698">
        <f>HYPERLINK("https://shopee.co.id/api/v4/item/get?itemid=6031758122&amp;shopid=14318452", "Vaseline Men Anti Acne Facial Wash 100 gr Twin Pack")</f>
        <v/>
      </c>
      <c r="P698" t="n">
        <v>147</v>
      </c>
      <c r="Q698" t="n">
        <v>260</v>
      </c>
      <c r="R698" t="n">
        <v>4.924949290060852</v>
      </c>
      <c r="S698" t="n">
        <v>3</v>
      </c>
      <c r="T698" t="n">
        <v>3</v>
      </c>
      <c r="U698" t="n">
        <v>11</v>
      </c>
      <c r="V698" t="n">
        <v>105</v>
      </c>
      <c r="W698" t="n">
        <v>1850</v>
      </c>
    </row>
    <row r="699">
      <c r="A699" t="inlineStr">
        <is>
          <t>Lifebuoy Sabun Cuci Tangan Mild Care 200 Ml - Sabun Cuci Tangan Anti Bakteri, Hand Wash</t>
        </is>
      </c>
      <c r="B699" t="inlineStr">
        <is>
          <t>Lifebuoy</t>
        </is>
      </c>
      <c r="C699" t="inlineStr">
        <is>
          <t>13%</t>
        </is>
      </c>
      <c r="D699" t="n">
        <v>15600</v>
      </c>
      <c r="E699" t="n">
        <v>18000</v>
      </c>
      <c r="F699" t="n">
        <v>15600</v>
      </c>
      <c r="G699" t="n">
        <v>18000</v>
      </c>
      <c r="H699" t="n">
        <v>15600</v>
      </c>
      <c r="I699" t="n">
        <v>18000</v>
      </c>
      <c r="J699" t="b">
        <v>1</v>
      </c>
      <c r="K699" t="inlineStr">
        <is>
          <t>Unilever Indonesia Official Shop</t>
        </is>
      </c>
      <c r="L699" t="inlineStr">
        <is>
          <t>KOTA BEKASI</t>
        </is>
      </c>
      <c r="M699" t="n">
        <v>7010111827</v>
      </c>
      <c r="N699" t="n">
        <v>14318452</v>
      </c>
      <c r="O699">
        <f>HYPERLINK("https://shopee.co.id/api/v4/item/get?itemid=7010111827&amp;shopid=14318452", "Lifebuoy Sabun Cuci Tangan Mild Care 200 Ml - Sabun Cuci Tangan Anti Bakteri, Hand Wash")</f>
        <v/>
      </c>
      <c r="P699" t="n">
        <v>219</v>
      </c>
      <c r="Q699" t="n">
        <v>283</v>
      </c>
      <c r="R699" t="n">
        <v>4.930843448490507</v>
      </c>
      <c r="S699" t="n">
        <v>30</v>
      </c>
      <c r="T699" t="n">
        <v>29</v>
      </c>
      <c r="U699" t="n">
        <v>111</v>
      </c>
      <c r="V699" t="n">
        <v>705</v>
      </c>
      <c r="W699" t="n">
        <v>15198</v>
      </c>
    </row>
    <row r="700">
      <c r="A700" t="inlineStr">
        <is>
          <t>Pepsodent Nanosoft Sikat Gigi Sensitive Multipack Isi 3 x2</t>
        </is>
      </c>
      <c r="B700" t="inlineStr">
        <is>
          <t>Pepsodent</t>
        </is>
      </c>
      <c r="C700" t="inlineStr">
        <is>
          <t>20%</t>
        </is>
      </c>
      <c r="D700" t="n">
        <v>47600</v>
      </c>
      <c r="E700" t="n">
        <v>59600</v>
      </c>
      <c r="F700" t="n">
        <v>47600</v>
      </c>
      <c r="G700" t="n">
        <v>59600</v>
      </c>
      <c r="H700" t="n">
        <v>47600</v>
      </c>
      <c r="I700" t="n">
        <v>59600</v>
      </c>
      <c r="J700" t="b">
        <v>1</v>
      </c>
      <c r="K700" t="inlineStr">
        <is>
          <t>Unilever Indonesia Official Shop</t>
        </is>
      </c>
      <c r="L700" t="inlineStr">
        <is>
          <t>KOTA BEKASI</t>
        </is>
      </c>
      <c r="M700" t="n">
        <v>5731378985</v>
      </c>
      <c r="N700" t="n">
        <v>14318452</v>
      </c>
      <c r="O700">
        <f>HYPERLINK("https://shopee.co.id/api/v4/item/get?itemid=5731378985&amp;shopid=14318452", "Pepsodent Nanosoft Sikat Gigi Sensitive Multipack Isi 3 x2")</f>
        <v/>
      </c>
      <c r="P700" t="n">
        <v>217</v>
      </c>
      <c r="Q700" t="n">
        <v>233</v>
      </c>
      <c r="R700" t="n">
        <v>4.951871657754011</v>
      </c>
      <c r="S700" t="n">
        <v>4</v>
      </c>
      <c r="T700" t="n">
        <v>1</v>
      </c>
      <c r="U700" t="n">
        <v>12</v>
      </c>
      <c r="V700" t="n">
        <v>96</v>
      </c>
      <c r="W700" t="n">
        <v>2694</v>
      </c>
    </row>
    <row r="701">
      <c r="A701" t="inlineStr">
        <is>
          <t>Sunlight Pencuci Piring Refill Habbatussauda 700ml Twin Pack</t>
        </is>
      </c>
      <c r="B701" t="inlineStr">
        <is>
          <t>Sunlight</t>
        </is>
      </c>
      <c r="C701" t="inlineStr">
        <is>
          <t>14%</t>
        </is>
      </c>
      <c r="D701" t="n">
        <v>42900</v>
      </c>
      <c r="E701" t="n">
        <v>49600</v>
      </c>
      <c r="F701" t="n">
        <v>42900</v>
      </c>
      <c r="G701" t="n">
        <v>49600</v>
      </c>
      <c r="H701" t="n">
        <v>42900</v>
      </c>
      <c r="I701" t="n">
        <v>49600</v>
      </c>
      <c r="J701" t="b">
        <v>1</v>
      </c>
      <c r="K701" t="inlineStr">
        <is>
          <t>Unilever Indonesia Official Shop</t>
        </is>
      </c>
      <c r="L701" t="inlineStr">
        <is>
          <t>KAB. BANYUASIN</t>
        </is>
      </c>
      <c r="M701" t="n">
        <v>5231698237</v>
      </c>
      <c r="N701" t="n">
        <v>14318452</v>
      </c>
      <c r="O701">
        <f>HYPERLINK("https://shopee.co.id/api/v4/item/get?itemid=5231698237&amp;shopid=14318452", "Sunlight Pencuci Piring Refill Habbatussauda 700ml Twin Pack")</f>
        <v/>
      </c>
      <c r="P701" t="n">
        <v>31</v>
      </c>
      <c r="Q701" t="n">
        <v>236</v>
      </c>
      <c r="R701" t="n">
        <v>4.941614504640621</v>
      </c>
      <c r="S701" t="n">
        <v>27</v>
      </c>
      <c r="T701" t="n">
        <v>8</v>
      </c>
      <c r="U701" t="n">
        <v>46</v>
      </c>
      <c r="V701" t="n">
        <v>321</v>
      </c>
      <c r="W701" t="n">
        <v>8865</v>
      </c>
    </row>
    <row r="702">
      <c r="A702" t="inlineStr">
        <is>
          <t>Ponds Age Miracle Serum Sheet Mask Anti Aging 25G</t>
        </is>
      </c>
      <c r="B702" t="inlineStr">
        <is>
          <t>Pond's</t>
        </is>
      </c>
      <c r="C702" t="inlineStr">
        <is>
          <t>13%</t>
        </is>
      </c>
      <c r="D702" t="n">
        <v>27000</v>
      </c>
      <c r="E702" t="n">
        <v>31100</v>
      </c>
      <c r="F702" t="n">
        <v>27000</v>
      </c>
      <c r="G702" t="n">
        <v>31100</v>
      </c>
      <c r="H702" t="n">
        <v>27000</v>
      </c>
      <c r="I702" t="n">
        <v>31100</v>
      </c>
      <c r="J702" t="b">
        <v>1</v>
      </c>
      <c r="K702" t="inlineStr">
        <is>
          <t>Unilever Indonesia Official Shop</t>
        </is>
      </c>
      <c r="L702" t="inlineStr">
        <is>
          <t>KOTA BEKASI</t>
        </is>
      </c>
      <c r="M702" t="n">
        <v>9515627289</v>
      </c>
      <c r="N702" t="n">
        <v>14318452</v>
      </c>
      <c r="O702">
        <f>HYPERLINK("https://shopee.co.id/api/v4/item/get?itemid=9515627289&amp;shopid=14318452", "Ponds Age Miracle Serum Sheet Mask Anti Aging 25G")</f>
        <v/>
      </c>
      <c r="P702" t="n">
        <v>94</v>
      </c>
      <c r="Q702" t="n">
        <v>2665</v>
      </c>
      <c r="R702" t="n">
        <v>4.919113573407202</v>
      </c>
      <c r="S702" t="n">
        <v>5</v>
      </c>
      <c r="T702" t="n">
        <v>0</v>
      </c>
      <c r="U702" t="n">
        <v>15</v>
      </c>
      <c r="V702" t="n">
        <v>96</v>
      </c>
      <c r="W702" t="n">
        <v>1689</v>
      </c>
    </row>
    <row r="703">
      <c r="A703" t="inlineStr">
        <is>
          <t>Rexona Men Deodorant Roll On Antiperspirant Activ-Bright 5X Efek Mencerahkan Ketiak 45Ml</t>
        </is>
      </c>
      <c r="B703" t="inlineStr">
        <is>
          <t>0</t>
        </is>
      </c>
      <c r="C703" t="inlineStr">
        <is>
          <t>1%</t>
        </is>
      </c>
      <c r="D703" t="n">
        <v>22100</v>
      </c>
      <c r="E703" t="n">
        <v>22300</v>
      </c>
      <c r="F703" t="n">
        <v>22100</v>
      </c>
      <c r="G703" t="n">
        <v>22300</v>
      </c>
      <c r="H703" t="n">
        <v>22100</v>
      </c>
      <c r="I703" t="n">
        <v>22300</v>
      </c>
      <c r="J703" t="b">
        <v>1</v>
      </c>
      <c r="K703" t="inlineStr">
        <is>
          <t>Unilever Indonesia Official Shop</t>
        </is>
      </c>
      <c r="L703" t="inlineStr">
        <is>
          <t>KOTA BEKASI</t>
        </is>
      </c>
      <c r="M703" t="n">
        <v>2051570059</v>
      </c>
      <c r="N703" t="n">
        <v>14318452</v>
      </c>
      <c r="O703">
        <f>HYPERLINK("https://shopee.co.id/api/v4/item/get?itemid=2051570059&amp;shopid=14318452", "Rexona Men Deodorant Roll On Antiperspirant Activ-Bright 5X Efek Mencerahkan Ketiak 45Ml")</f>
        <v/>
      </c>
      <c r="P703" t="n">
        <v>118</v>
      </c>
      <c r="Q703" t="n">
        <v>255</v>
      </c>
      <c r="R703" t="n">
        <v>4.921213493321258</v>
      </c>
      <c r="S703" t="n">
        <v>15</v>
      </c>
      <c r="T703" t="n">
        <v>8</v>
      </c>
      <c r="U703" t="n">
        <v>21</v>
      </c>
      <c r="V703" t="n">
        <v>226</v>
      </c>
      <c r="W703" t="n">
        <v>4148</v>
      </c>
    </row>
    <row r="704">
      <c r="A704" t="inlineStr">
        <is>
          <t>Rinso Molto Deterjen Cair Perfume Essence 750 ml Twin Pack</t>
        </is>
      </c>
      <c r="B704" t="inlineStr">
        <is>
          <t>Rinso</t>
        </is>
      </c>
      <c r="C704" t="inlineStr">
        <is>
          <t>32%</t>
        </is>
      </c>
      <c r="D704" t="n">
        <v>42000</v>
      </c>
      <c r="E704" t="n">
        <v>61400</v>
      </c>
      <c r="F704" t="n">
        <v>42000</v>
      </c>
      <c r="G704" t="n">
        <v>61400</v>
      </c>
      <c r="H704" t="n">
        <v>42000</v>
      </c>
      <c r="I704" t="n">
        <v>61400</v>
      </c>
      <c r="J704" t="b">
        <v>1</v>
      </c>
      <c r="K704" t="inlineStr">
        <is>
          <t>Unilever Indonesia Official Shop</t>
        </is>
      </c>
      <c r="L704" t="inlineStr">
        <is>
          <t>KOTA BEKASI</t>
        </is>
      </c>
      <c r="M704" t="n">
        <v>4631736459</v>
      </c>
      <c r="N704" t="n">
        <v>14318452</v>
      </c>
      <c r="O704">
        <f>HYPERLINK("https://shopee.co.id/api/v4/item/get?itemid=4631736459&amp;shopid=14318452", "Rinso Molto Deterjen Cair Perfume Essence 750 ml Twin Pack")</f>
        <v/>
      </c>
      <c r="P704" t="n">
        <v>78</v>
      </c>
      <c r="Q704" t="n">
        <v>384</v>
      </c>
      <c r="R704" t="n">
        <v>4.940920938314509</v>
      </c>
      <c r="S704" t="n">
        <v>8</v>
      </c>
      <c r="T704" t="n">
        <v>4</v>
      </c>
      <c r="U704" t="n">
        <v>12</v>
      </c>
      <c r="V704" t="n">
        <v>76</v>
      </c>
      <c r="W704" t="n">
        <v>2204</v>
      </c>
    </row>
    <row r="705">
      <c r="A705" t="inlineStr">
        <is>
          <t>Lifebouy Sabun Cair Cool Fresh Refill 400ml (Paket Isi 4)</t>
        </is>
      </c>
      <c r="B705" t="inlineStr">
        <is>
          <t>Lifebuoy</t>
        </is>
      </c>
      <c r="C705" t="inlineStr">
        <is>
          <t>28%</t>
        </is>
      </c>
      <c r="D705" t="n">
        <v>89900</v>
      </c>
      <c r="E705" t="n">
        <v>125500</v>
      </c>
      <c r="F705" t="n">
        <v>89900</v>
      </c>
      <c r="G705" t="n">
        <v>125500</v>
      </c>
      <c r="H705" t="n">
        <v>89900</v>
      </c>
      <c r="I705" t="n">
        <v>125500</v>
      </c>
      <c r="J705" t="b">
        <v>1</v>
      </c>
      <c r="K705" t="inlineStr">
        <is>
          <t>Unilever Indonesia Official Shop</t>
        </is>
      </c>
      <c r="L705" t="inlineStr">
        <is>
          <t>KOTA BEKASI</t>
        </is>
      </c>
      <c r="M705" t="n">
        <v>3631428687</v>
      </c>
      <c r="N705" t="n">
        <v>14318452</v>
      </c>
      <c r="O705">
        <f>HYPERLINK("https://shopee.co.id/api/v4/item/get?itemid=3631428687&amp;shopid=14318452", "Lifebouy Sabun Cair Cool Fresh Refill 400ml (Paket Isi 4)")</f>
        <v/>
      </c>
      <c r="P705" t="n">
        <v>36</v>
      </c>
      <c r="Q705" t="n">
        <v>10</v>
      </c>
      <c r="R705" t="n">
        <v>4.923809523809524</v>
      </c>
      <c r="S705" t="n">
        <v>9</v>
      </c>
      <c r="T705" t="n">
        <v>2</v>
      </c>
      <c r="U705" t="n">
        <v>9</v>
      </c>
      <c r="V705" t="n">
        <v>44</v>
      </c>
      <c r="W705" t="n">
        <v>1198</v>
      </c>
    </row>
    <row r="706">
      <c r="A706" t="inlineStr">
        <is>
          <t>Rinso Deterjen Bubuk Anti Noda 1,2 kg Twin Pack</t>
        </is>
      </c>
      <c r="B706" t="inlineStr">
        <is>
          <t>0</t>
        </is>
      </c>
      <c r="C706" t="inlineStr">
        <is>
          <t>14%</t>
        </is>
      </c>
      <c r="D706" t="n">
        <v>77400</v>
      </c>
      <c r="E706" t="n">
        <v>90500</v>
      </c>
      <c r="F706" t="n">
        <v>77400</v>
      </c>
      <c r="G706" t="n">
        <v>90500</v>
      </c>
      <c r="H706" t="n">
        <v>77400</v>
      </c>
      <c r="I706" t="n">
        <v>90500</v>
      </c>
      <c r="J706" t="b">
        <v>1</v>
      </c>
      <c r="K706" t="inlineStr">
        <is>
          <t>Unilever Indonesia Official Shop</t>
        </is>
      </c>
      <c r="L706" t="inlineStr">
        <is>
          <t>KOTA BEKASI</t>
        </is>
      </c>
      <c r="M706" t="n">
        <v>6431751623</v>
      </c>
      <c r="N706" t="n">
        <v>14318452</v>
      </c>
      <c r="O706">
        <f>HYPERLINK("https://shopee.co.id/api/v4/item/get?itemid=6431751623&amp;shopid=14318452", "Rinso Deterjen Bubuk Anti Noda 1,2 kg Twin Pack")</f>
        <v/>
      </c>
      <c r="P706" t="n">
        <v>102</v>
      </c>
      <c r="Q706" t="n">
        <v>253</v>
      </c>
      <c r="R706" t="n">
        <v>4.86470051687443</v>
      </c>
      <c r="S706" t="n">
        <v>47</v>
      </c>
      <c r="T706" t="n">
        <v>14</v>
      </c>
      <c r="U706" t="n">
        <v>49</v>
      </c>
      <c r="V706" t="n">
        <v>121</v>
      </c>
      <c r="W706" t="n">
        <v>3059</v>
      </c>
    </row>
    <row r="707">
      <c r="A707" t="inlineStr">
        <is>
          <t>CLEAR Men Complete Care Shampoo 300 ml</t>
        </is>
      </c>
      <c r="B707" t="inlineStr">
        <is>
          <t>Clear</t>
        </is>
      </c>
      <c r="C707" t="inlineStr">
        <is>
          <t>17%</t>
        </is>
      </c>
      <c r="D707" t="n">
        <v>59700</v>
      </c>
      <c r="E707" t="n">
        <v>71600</v>
      </c>
      <c r="F707" t="n">
        <v>59700</v>
      </c>
      <c r="G707" t="n">
        <v>71600</v>
      </c>
      <c r="H707" t="n">
        <v>59700</v>
      </c>
      <c r="I707" t="n">
        <v>71600</v>
      </c>
      <c r="J707" t="b">
        <v>1</v>
      </c>
      <c r="K707" t="inlineStr">
        <is>
          <t>Unilever Indonesia Official Shop</t>
        </is>
      </c>
      <c r="L707" t="inlineStr">
        <is>
          <t>KOTA BEKASI</t>
        </is>
      </c>
      <c r="M707" t="n">
        <v>1465737738</v>
      </c>
      <c r="N707" t="n">
        <v>14318452</v>
      </c>
      <c r="O707">
        <f>HYPERLINK("https://shopee.co.id/api/v4/item/get?itemid=1465737738&amp;shopid=14318452", "CLEAR Men Complete Care Shampoo 300 ml")</f>
        <v/>
      </c>
      <c r="P707" t="n">
        <v>71</v>
      </c>
      <c r="Q707" t="n">
        <v>313</v>
      </c>
      <c r="R707" t="n">
        <v>4.907129455909944</v>
      </c>
      <c r="S707" t="n">
        <v>14</v>
      </c>
      <c r="T707" t="n">
        <v>3</v>
      </c>
      <c r="U707" t="n">
        <v>39</v>
      </c>
      <c r="V707" t="n">
        <v>157</v>
      </c>
      <c r="W707" t="n">
        <v>2986</v>
      </c>
    </row>
    <row r="708">
      <c r="A708" t="inlineStr">
        <is>
          <t>Dove Serum Shampoo Perawatan Rambut Rusak Dengan Nutriserum &amp; Keratin 680Ml 1</t>
        </is>
      </c>
      <c r="B708" t="inlineStr">
        <is>
          <t>0</t>
        </is>
      </c>
      <c r="C708" t="inlineStr">
        <is>
          <t>3%</t>
        </is>
      </c>
      <c r="D708" t="n">
        <v>95000</v>
      </c>
      <c r="E708" t="n">
        <v>97500</v>
      </c>
      <c r="F708" t="n">
        <v>95000</v>
      </c>
      <c r="G708" t="n">
        <v>97500</v>
      </c>
      <c r="H708" t="n">
        <v>95000</v>
      </c>
      <c r="I708" t="n">
        <v>97500</v>
      </c>
      <c r="J708" t="b">
        <v>1</v>
      </c>
      <c r="K708" t="inlineStr">
        <is>
          <t>Unilever Indonesia Official Shop</t>
        </is>
      </c>
      <c r="L708" t="inlineStr">
        <is>
          <t>KOTA BEKASI</t>
        </is>
      </c>
      <c r="M708" t="n">
        <v>126978028</v>
      </c>
      <c r="N708" t="n">
        <v>14318452</v>
      </c>
      <c r="O708">
        <f>HYPERLINK("https://shopee.co.id/api/v4/item/get?itemid=126978028&amp;shopid=14318452", "Dove Serum Shampoo Perawatan Rambut Rusak Dengan Nutriserum &amp; Keratin 680Ml 1")</f>
        <v/>
      </c>
      <c r="P708" t="n">
        <v>324</v>
      </c>
      <c r="Q708" t="n">
        <v>1318</v>
      </c>
      <c r="R708" t="n">
        <v>4.912421995839778</v>
      </c>
      <c r="S708" t="n">
        <v>64</v>
      </c>
      <c r="T708" t="n">
        <v>57</v>
      </c>
      <c r="U708" t="n">
        <v>161</v>
      </c>
      <c r="V708" t="n">
        <v>911</v>
      </c>
      <c r="W708" t="n">
        <v>17562</v>
      </c>
    </row>
    <row r="709">
      <c r="A709" t="inlineStr">
        <is>
          <t>Rinso Molto Deterjen Cair Rose Fresh 750 ml Twin Pack</t>
        </is>
      </c>
      <c r="B709" t="inlineStr">
        <is>
          <t>0</t>
        </is>
      </c>
      <c r="C709" t="inlineStr">
        <is>
          <t>32%</t>
        </is>
      </c>
      <c r="D709" t="n">
        <v>41800</v>
      </c>
      <c r="E709" t="n">
        <v>61400</v>
      </c>
      <c r="F709" t="n">
        <v>41800</v>
      </c>
      <c r="G709" t="n">
        <v>61400</v>
      </c>
      <c r="H709" t="n">
        <v>41800</v>
      </c>
      <c r="I709" t="n">
        <v>61400</v>
      </c>
      <c r="J709" t="b">
        <v>1</v>
      </c>
      <c r="K709" t="inlineStr">
        <is>
          <t>Unilever Indonesia Official Shop</t>
        </is>
      </c>
      <c r="L709" t="inlineStr">
        <is>
          <t>KAB. BANYUASIN</t>
        </is>
      </c>
      <c r="M709" t="n">
        <v>3631763696</v>
      </c>
      <c r="N709" t="n">
        <v>14318452</v>
      </c>
      <c r="O709">
        <f>HYPERLINK("https://shopee.co.id/api/v4/item/get?itemid=3631763696&amp;shopid=14318452", "Rinso Molto Deterjen Cair Rose Fresh 750 ml Twin Pack")</f>
        <v/>
      </c>
      <c r="P709" t="n">
        <v>109</v>
      </c>
      <c r="Q709" t="n">
        <v>33</v>
      </c>
      <c r="R709" t="n">
        <v>4.946201743462018</v>
      </c>
      <c r="S709" t="n">
        <v>8</v>
      </c>
      <c r="T709" t="n">
        <v>2</v>
      </c>
      <c r="U709" t="n">
        <v>20</v>
      </c>
      <c r="V709" t="n">
        <v>142</v>
      </c>
      <c r="W709" t="n">
        <v>3845</v>
      </c>
    </row>
    <row r="710">
      <c r="A710" t="inlineStr">
        <is>
          <t>Pepsodent Pencegah Gigi Berlubang Pasta Gigi 190 G - Multipack</t>
        </is>
      </c>
      <c r="B710" t="inlineStr">
        <is>
          <t>Pepsodent</t>
        </is>
      </c>
      <c r="C710" t="inlineStr">
        <is>
          <t>22%</t>
        </is>
      </c>
      <c r="D710" t="n">
        <v>34500</v>
      </c>
      <c r="E710" t="n">
        <v>44300</v>
      </c>
      <c r="F710" t="n">
        <v>34500</v>
      </c>
      <c r="G710" t="n">
        <v>44300</v>
      </c>
      <c r="H710" t="n">
        <v>34500</v>
      </c>
      <c r="I710" t="n">
        <v>44300</v>
      </c>
      <c r="J710" t="b">
        <v>0</v>
      </c>
      <c r="K710" t="inlineStr">
        <is>
          <t>Unilever Indonesia Official Shop</t>
        </is>
      </c>
      <c r="L710" t="inlineStr">
        <is>
          <t>KOTA BEKASI</t>
        </is>
      </c>
      <c r="M710" t="n">
        <v>4979826860</v>
      </c>
      <c r="N710" t="n">
        <v>14318452</v>
      </c>
      <c r="O710">
        <f>HYPERLINK("https://shopee.co.id/api/v4/item/get?itemid=4979826860&amp;shopid=14318452", "Pepsodent Pencegah Gigi Berlubang Pasta Gigi 190 G - Multipack")</f>
        <v/>
      </c>
      <c r="P710" t="n">
        <v>78</v>
      </c>
      <c r="Q710" t="n">
        <v>513</v>
      </c>
      <c r="R710" t="n">
        <v>4.909379968203497</v>
      </c>
      <c r="S710" t="n">
        <v>5</v>
      </c>
      <c r="T710" t="n">
        <v>1</v>
      </c>
      <c r="U710" t="n">
        <v>2</v>
      </c>
      <c r="V710" t="n">
        <v>30</v>
      </c>
      <c r="W710" t="n">
        <v>591</v>
      </c>
    </row>
    <row r="711">
      <c r="A711" t="inlineStr">
        <is>
          <t>Dove Deodorant Silk Dry 40ml Anti Bakteri</t>
        </is>
      </c>
      <c r="B711" t="inlineStr">
        <is>
          <t>0</t>
        </is>
      </c>
      <c r="C711" t="inlineStr">
        <is>
          <t>18%</t>
        </is>
      </c>
      <c r="D711" t="n">
        <v>20200</v>
      </c>
      <c r="E711" t="n">
        <v>24700</v>
      </c>
      <c r="F711" t="n">
        <v>20200</v>
      </c>
      <c r="G711" t="n">
        <v>24700</v>
      </c>
      <c r="H711" t="n">
        <v>20200</v>
      </c>
      <c r="I711" t="n">
        <v>24700</v>
      </c>
      <c r="J711" t="b">
        <v>1</v>
      </c>
      <c r="K711" t="inlineStr">
        <is>
          <t>Unilever Indonesia Official Shop</t>
        </is>
      </c>
      <c r="L711" t="inlineStr">
        <is>
          <t>KOTA BEKASI</t>
        </is>
      </c>
      <c r="M711" t="n">
        <v>126957880</v>
      </c>
      <c r="N711" t="n">
        <v>14318452</v>
      </c>
      <c r="O711">
        <f>HYPERLINK("https://shopee.co.id/api/v4/item/get?itemid=126957880&amp;shopid=14318452", "Dove Deodorant Silk Dry 40ml Anti Bakteri")</f>
        <v/>
      </c>
      <c r="P711" t="n">
        <v>91</v>
      </c>
      <c r="Q711" t="n">
        <v>333</v>
      </c>
      <c r="R711" t="n">
        <v>4.904326494201606</v>
      </c>
      <c r="S711" t="n">
        <v>10</v>
      </c>
      <c r="T711" t="n">
        <v>9</v>
      </c>
      <c r="U711" t="n">
        <v>44</v>
      </c>
      <c r="V711" t="n">
        <v>274</v>
      </c>
      <c r="W711" t="n">
        <v>4147</v>
      </c>
    </row>
    <row r="712">
      <c r="A712" t="inlineStr">
        <is>
          <t>Sunlight Pencuci Piring Refill Habbatussauda 755 ml Multi Pack</t>
        </is>
      </c>
      <c r="B712" t="inlineStr">
        <is>
          <t>Sunlight</t>
        </is>
      </c>
      <c r="C712" t="inlineStr">
        <is>
          <t>15%</t>
        </is>
      </c>
      <c r="D712" t="n">
        <v>62800</v>
      </c>
      <c r="E712" t="n">
        <v>74300</v>
      </c>
      <c r="F712" t="n">
        <v>62800</v>
      </c>
      <c r="G712" t="n">
        <v>74300</v>
      </c>
      <c r="H712" t="n">
        <v>62800</v>
      </c>
      <c r="I712" t="n">
        <v>74300</v>
      </c>
      <c r="J712" t="b">
        <v>1</v>
      </c>
      <c r="K712" t="inlineStr">
        <is>
          <t>Unilever Indonesia Official Shop</t>
        </is>
      </c>
      <c r="L712" t="inlineStr">
        <is>
          <t>KAB. BANYUASIN</t>
        </is>
      </c>
      <c r="M712" t="n">
        <v>6031697336</v>
      </c>
      <c r="N712" t="n">
        <v>14318452</v>
      </c>
      <c r="O712">
        <f>HYPERLINK("https://shopee.co.id/api/v4/item/get?itemid=6031697336&amp;shopid=14318452", "Sunlight Pencuci Piring Refill Habbatussauda 755 ml Multi Pack")</f>
        <v/>
      </c>
      <c r="P712" t="n">
        <v>17</v>
      </c>
      <c r="Q712" t="n">
        <v>157</v>
      </c>
      <c r="R712" t="n">
        <v>4.94743935309973</v>
      </c>
      <c r="S712" t="n">
        <v>12</v>
      </c>
      <c r="T712" t="n">
        <v>6</v>
      </c>
      <c r="U712" t="n">
        <v>20</v>
      </c>
      <c r="V712" t="n">
        <v>150</v>
      </c>
      <c r="W712" t="n">
        <v>4271</v>
      </c>
    </row>
    <row r="713">
      <c r="A713" t="inlineStr">
        <is>
          <t>Dove Shampoo Perawatan Rambut Rontok Berkurang 99% dengan Nutri Serum dan Dynazinc 680ml</t>
        </is>
      </c>
      <c r="B713" t="inlineStr">
        <is>
          <t>Dove</t>
        </is>
      </c>
      <c r="C713" t="inlineStr">
        <is>
          <t>3%</t>
        </is>
      </c>
      <c r="D713" t="n">
        <v>95000</v>
      </c>
      <c r="E713" t="n">
        <v>97500</v>
      </c>
      <c r="F713" t="n">
        <v>95000</v>
      </c>
      <c r="G713" t="n">
        <v>97500</v>
      </c>
      <c r="H713" t="n">
        <v>95000</v>
      </c>
      <c r="I713" t="n">
        <v>97500</v>
      </c>
      <c r="J713" t="b">
        <v>1</v>
      </c>
      <c r="K713" t="inlineStr">
        <is>
          <t>Unilever Indonesia Official Shop</t>
        </is>
      </c>
      <c r="L713" t="inlineStr">
        <is>
          <t>KOTA BEKASI</t>
        </is>
      </c>
      <c r="M713" t="n">
        <v>126978040</v>
      </c>
      <c r="N713" t="n">
        <v>14318452</v>
      </c>
      <c r="O713">
        <f>HYPERLINK("https://shopee.co.id/api/v4/item/get?itemid=126978040&amp;shopid=14318452", "Dove Shampoo Perawatan Rambut Rontok Berkurang 99% dengan Nutri Serum dan Dynazinc 680ml")</f>
        <v/>
      </c>
      <c r="P713" t="n">
        <v>170</v>
      </c>
      <c r="Q713" t="n">
        <v>2288</v>
      </c>
      <c r="R713" t="n">
        <v>4.915171771873413</v>
      </c>
      <c r="S713" t="n">
        <v>83</v>
      </c>
      <c r="T713" t="n">
        <v>60</v>
      </c>
      <c r="U713" t="n">
        <v>229</v>
      </c>
      <c r="V713" t="n">
        <v>1083</v>
      </c>
      <c r="W713" t="n">
        <v>22196</v>
      </c>
    </row>
    <row r="714">
      <c r="A714" t="inlineStr">
        <is>
          <t>Sunlight Lime New Pouch 435 ml - Twinpack</t>
        </is>
      </c>
      <c r="B714" t="inlineStr">
        <is>
          <t>0</t>
        </is>
      </c>
      <c r="C714" t="inlineStr">
        <is>
          <t>11%</t>
        </is>
      </c>
      <c r="D714" t="n">
        <v>17800</v>
      </c>
      <c r="E714" t="n">
        <v>20000</v>
      </c>
      <c r="F714" t="n">
        <v>17800</v>
      </c>
      <c r="G714" t="n">
        <v>20000</v>
      </c>
      <c r="H714" t="n">
        <v>17800</v>
      </c>
      <c r="I714" t="n">
        <v>20000</v>
      </c>
      <c r="J714" t="b">
        <v>1</v>
      </c>
      <c r="K714" t="inlineStr">
        <is>
          <t>Unilever Indonesia Official Shop</t>
        </is>
      </c>
      <c r="L714" t="inlineStr">
        <is>
          <t>KOTA MAKASSAR</t>
        </is>
      </c>
      <c r="M714" t="n">
        <v>4158410819</v>
      </c>
      <c r="N714" t="n">
        <v>14318452</v>
      </c>
      <c r="O714">
        <f>HYPERLINK("https://shopee.co.id/api/v4/item/get?itemid=4158410819&amp;shopid=14318452", "Sunlight Lime New Pouch 435 ml - Twinpack")</f>
        <v/>
      </c>
      <c r="P714" t="n">
        <v>1</v>
      </c>
      <c r="Q714" t="n">
        <v>26</v>
      </c>
      <c r="R714" t="n">
        <v>4.947803946530872</v>
      </c>
      <c r="S714" t="n">
        <v>3</v>
      </c>
      <c r="T714" t="n">
        <v>0</v>
      </c>
      <c r="U714" t="n">
        <v>6</v>
      </c>
      <c r="V714" t="n">
        <v>62</v>
      </c>
      <c r="W714" t="n">
        <v>1501</v>
      </c>
    </row>
    <row r="715">
      <c r="A715" t="inlineStr">
        <is>
          <t>Dove Aqua Moisture Body Wash Refill 400 ml</t>
        </is>
      </c>
      <c r="B715" t="inlineStr">
        <is>
          <t>0</t>
        </is>
      </c>
      <c r="C715" t="inlineStr">
        <is>
          <t>5%</t>
        </is>
      </c>
      <c r="D715" t="n">
        <v>37900</v>
      </c>
      <c r="E715" t="n">
        <v>39800</v>
      </c>
      <c r="F715" t="n">
        <v>37900</v>
      </c>
      <c r="G715" t="n">
        <v>39800</v>
      </c>
      <c r="H715" t="n">
        <v>37900</v>
      </c>
      <c r="I715" t="n">
        <v>39800</v>
      </c>
      <c r="J715" t="b">
        <v>1</v>
      </c>
      <c r="K715" t="inlineStr">
        <is>
          <t>Unilever Indonesia Official Shop</t>
        </is>
      </c>
      <c r="L715" t="inlineStr">
        <is>
          <t>KOTA BEKASI</t>
        </is>
      </c>
      <c r="M715" t="n">
        <v>127003136</v>
      </c>
      <c r="N715" t="n">
        <v>14318452</v>
      </c>
      <c r="O715">
        <f>HYPERLINK("https://shopee.co.id/api/v4/item/get?itemid=127003136&amp;shopid=14318452", "Dove Aqua Moisture Body Wash Refill 400 ml")</f>
        <v/>
      </c>
      <c r="P715" t="n">
        <v>140</v>
      </c>
      <c r="Q715" t="n">
        <v>654</v>
      </c>
      <c r="R715" t="n">
        <v>4.918214285714286</v>
      </c>
      <c r="S715" t="n">
        <v>7</v>
      </c>
      <c r="T715" t="n">
        <v>6</v>
      </c>
      <c r="U715" t="n">
        <v>21</v>
      </c>
      <c r="V715" t="n">
        <v>144</v>
      </c>
      <c r="W715" t="n">
        <v>2623</v>
      </c>
    </row>
    <row r="716">
      <c r="A716" t="inlineStr">
        <is>
          <t>Buavita Jus Buah Asli Jeruk 250 Ml - Jus Jeruk, Orange Juice, Mengandung Vitamin C</t>
        </is>
      </c>
      <c r="B716" t="inlineStr">
        <is>
          <t>0</t>
        </is>
      </c>
      <c r="C716" t="inlineStr">
        <is>
          <t>21%</t>
        </is>
      </c>
      <c r="D716" t="n">
        <v>5900</v>
      </c>
      <c r="E716" t="n">
        <v>7500</v>
      </c>
      <c r="F716" t="n">
        <v>5900</v>
      </c>
      <c r="G716" t="n">
        <v>7500</v>
      </c>
      <c r="H716" t="n">
        <v>5900</v>
      </c>
      <c r="I716" t="n">
        <v>7500</v>
      </c>
      <c r="J716" t="b">
        <v>1</v>
      </c>
      <c r="K716" t="inlineStr">
        <is>
          <t>Unilever Indonesia Official Shop</t>
        </is>
      </c>
      <c r="L716" t="inlineStr">
        <is>
          <t>KOTA SEMARANG</t>
        </is>
      </c>
      <c r="M716" t="n">
        <v>1438264715</v>
      </c>
      <c r="N716" t="n">
        <v>14318452</v>
      </c>
      <c r="O716">
        <f>HYPERLINK("https://shopee.co.id/api/v4/item/get?itemid=1438264715&amp;shopid=14318452", "Buavita Jus Buah Asli Jeruk 250 Ml - Jus Jeruk, Orange Juice, Mengandung Vitamin C")</f>
        <v/>
      </c>
      <c r="P716" t="n">
        <v>92</v>
      </c>
      <c r="Q716" t="n">
        <v>194</v>
      </c>
      <c r="R716" t="n">
        <v>4.902358749314317</v>
      </c>
      <c r="S716" t="n">
        <v>18</v>
      </c>
      <c r="T716" t="n">
        <v>8</v>
      </c>
      <c r="U716" t="n">
        <v>29</v>
      </c>
      <c r="V716" t="n">
        <v>206</v>
      </c>
      <c r="W716" t="n">
        <v>3386</v>
      </c>
    </row>
    <row r="717">
      <c r="A717" t="inlineStr">
        <is>
          <t>Molto Pelembut Dan Pewangi Pakaian Blue 780 ml</t>
        </is>
      </c>
      <c r="B717" t="inlineStr">
        <is>
          <t>Molto</t>
        </is>
      </c>
      <c r="C717" t="inlineStr">
        <is>
          <t>8%</t>
        </is>
      </c>
      <c r="D717" t="n">
        <v>15400</v>
      </c>
      <c r="E717" t="n">
        <v>16700</v>
      </c>
      <c r="F717" t="n">
        <v>15400</v>
      </c>
      <c r="G717" t="n">
        <v>16700</v>
      </c>
      <c r="H717" t="n">
        <v>15400</v>
      </c>
      <c r="I717" t="n">
        <v>16700</v>
      </c>
      <c r="J717" t="b">
        <v>1</v>
      </c>
      <c r="K717" t="inlineStr">
        <is>
          <t>Unilever Indonesia Official Shop</t>
        </is>
      </c>
      <c r="L717" t="inlineStr">
        <is>
          <t>KOTA BEKASI</t>
        </is>
      </c>
      <c r="M717" t="n">
        <v>6860818672</v>
      </c>
      <c r="N717" t="n">
        <v>14318452</v>
      </c>
      <c r="O717">
        <f>HYPERLINK("https://shopee.co.id/api/v4/item/get?itemid=6860818672&amp;shopid=14318452", "Molto Pelembut Dan Pewangi Pakaian Blue 780 ml")</f>
        <v/>
      </c>
      <c r="P717" t="n">
        <v>65</v>
      </c>
      <c r="Q717" t="n">
        <v>657</v>
      </c>
      <c r="R717" t="n">
        <v>4.938655841226884</v>
      </c>
      <c r="S717" t="n">
        <v>7</v>
      </c>
      <c r="T717" t="n">
        <v>0</v>
      </c>
      <c r="U717" t="n">
        <v>10</v>
      </c>
      <c r="V717" t="n">
        <v>92</v>
      </c>
      <c r="W717" t="n">
        <v>2110</v>
      </c>
    </row>
    <row r="718">
      <c r="A718" t="inlineStr">
        <is>
          <t>Vixal Pembersih Kamar Mandi Ekstra Kuat 470 ml - Bersihkan Kerak Dan Bunuh Kuman</t>
        </is>
      </c>
      <c r="B718" t="inlineStr">
        <is>
          <t>None</t>
        </is>
      </c>
      <c r="C718" t="inlineStr">
        <is>
          <t>9%</t>
        </is>
      </c>
      <c r="D718" t="n">
        <v>15900</v>
      </c>
      <c r="E718" t="n">
        <v>17400</v>
      </c>
      <c r="F718" t="n">
        <v>15900</v>
      </c>
      <c r="G718" t="n">
        <v>17400</v>
      </c>
      <c r="H718" t="n">
        <v>15900</v>
      </c>
      <c r="I718" t="n">
        <v>17400</v>
      </c>
      <c r="J718" t="b">
        <v>1</v>
      </c>
      <c r="K718" t="inlineStr">
        <is>
          <t>Unilever Indonesia Official Shop</t>
        </is>
      </c>
      <c r="L718" t="inlineStr">
        <is>
          <t>KAB. DELI SERDANG</t>
        </is>
      </c>
      <c r="M718" t="n">
        <v>6703967550</v>
      </c>
      <c r="N718" t="n">
        <v>14318452</v>
      </c>
      <c r="O718">
        <f>HYPERLINK("https://shopee.co.id/api/v4/item/get?itemid=6703967550&amp;shopid=14318452", "Vixal Pembersih Kamar Mandi Ekstra Kuat 470 ml - Bersihkan Kerak Dan Bunuh Kuman")</f>
        <v/>
      </c>
      <c r="P718" t="n">
        <v>5</v>
      </c>
      <c r="Q718" t="n">
        <v>43</v>
      </c>
      <c r="R718" t="n">
        <v>4.90262045646661</v>
      </c>
      <c r="S718" t="n">
        <v>21</v>
      </c>
      <c r="T718" t="n">
        <v>15</v>
      </c>
      <c r="U718" t="n">
        <v>56</v>
      </c>
      <c r="V718" t="n">
        <v>343</v>
      </c>
      <c r="W718" t="n">
        <v>5482</v>
      </c>
    </row>
    <row r="719">
      <c r="A719" t="inlineStr">
        <is>
          <t>Bango Bumbu Rawon Khas Malang 35 gr</t>
        </is>
      </c>
      <c r="B719" t="inlineStr">
        <is>
          <t>Bango</t>
        </is>
      </c>
      <c r="C719" t="inlineStr">
        <is>
          <t>12%</t>
        </is>
      </c>
      <c r="D719" t="n">
        <v>5700</v>
      </c>
      <c r="E719" t="n">
        <v>6500</v>
      </c>
      <c r="F719" t="n">
        <v>5700</v>
      </c>
      <c r="G719" t="n">
        <v>6500</v>
      </c>
      <c r="H719" t="n">
        <v>5700</v>
      </c>
      <c r="I719" t="n">
        <v>6500</v>
      </c>
      <c r="J719" t="b">
        <v>1</v>
      </c>
      <c r="K719" t="inlineStr">
        <is>
          <t>Unilever Indonesia Official Shop</t>
        </is>
      </c>
      <c r="L719" t="inlineStr">
        <is>
          <t>KOTA BEKASI</t>
        </is>
      </c>
      <c r="M719" t="n">
        <v>5537669027</v>
      </c>
      <c r="N719" t="n">
        <v>14318452</v>
      </c>
      <c r="O719">
        <f>HYPERLINK("https://shopee.co.id/api/v4/item/get?itemid=5537669027&amp;shopid=14318452", "Bango Bumbu Rawon Khas Malang 35 gr")</f>
        <v/>
      </c>
      <c r="P719" t="n">
        <v>91</v>
      </c>
      <c r="Q719" t="n">
        <v>349</v>
      </c>
      <c r="R719" t="n">
        <v>4.92049883086516</v>
      </c>
      <c r="S719" t="n">
        <v>3</v>
      </c>
      <c r="T719" t="n">
        <v>2</v>
      </c>
      <c r="U719" t="n">
        <v>4</v>
      </c>
      <c r="V719" t="n">
        <v>76</v>
      </c>
      <c r="W719" t="n">
        <v>1198</v>
      </c>
    </row>
    <row r="720">
      <c r="A720" t="inlineStr">
        <is>
          <t>Pepsodent Sensitive Mineral Expert Pasta Gigi Original Pasta Gigi Sensitive 100G Multipack</t>
        </is>
      </c>
      <c r="B720" t="inlineStr">
        <is>
          <t>Pepsodent</t>
        </is>
      </c>
      <c r="C720" t="inlineStr">
        <is>
          <t>29%</t>
        </is>
      </c>
      <c r="D720" t="n">
        <v>73900</v>
      </c>
      <c r="E720" t="n">
        <v>103900</v>
      </c>
      <c r="F720" t="n">
        <v>73900</v>
      </c>
      <c r="G720" t="n">
        <v>103900</v>
      </c>
      <c r="H720" t="n">
        <v>73900</v>
      </c>
      <c r="I720" t="n">
        <v>103900</v>
      </c>
      <c r="J720" t="b">
        <v>0</v>
      </c>
      <c r="K720" t="inlineStr">
        <is>
          <t>Unilever Indonesia Official Shop</t>
        </is>
      </c>
      <c r="L720" t="inlineStr">
        <is>
          <t>KOTA BEKASI</t>
        </is>
      </c>
      <c r="M720" t="n">
        <v>2919935230</v>
      </c>
      <c r="N720" t="n">
        <v>14318452</v>
      </c>
      <c r="O720">
        <f>HYPERLINK("https://shopee.co.id/api/v4/item/get?itemid=2919935230&amp;shopid=14318452", "Pepsodent Sensitive Mineral Expert Pasta Gigi Original Pasta Gigi Sensitive 100G Multipack")</f>
        <v/>
      </c>
      <c r="P720" t="n">
        <v>546</v>
      </c>
      <c r="Q720" t="n">
        <v>116</v>
      </c>
      <c r="R720" t="n">
        <v>4.935071323167732</v>
      </c>
      <c r="S720" t="n">
        <v>7</v>
      </c>
      <c r="T720" t="n">
        <v>4</v>
      </c>
      <c r="U720" t="n">
        <v>17</v>
      </c>
      <c r="V720" t="n">
        <v>58</v>
      </c>
      <c r="W720" t="n">
        <v>1947</v>
      </c>
    </row>
    <row r="721">
      <c r="A721" t="inlineStr">
        <is>
          <t>Pond's Juice Collection Sheet Mask / Masker Wajah Orange Nectar + Hyaluronic Acid 20 gr</t>
        </is>
      </c>
      <c r="B721" t="inlineStr">
        <is>
          <t>None</t>
        </is>
      </c>
      <c r="C721" t="inlineStr">
        <is>
          <t>12%</t>
        </is>
      </c>
      <c r="D721" t="n">
        <v>16000</v>
      </c>
      <c r="E721" t="n">
        <v>18200</v>
      </c>
      <c r="F721" t="n">
        <v>16000</v>
      </c>
      <c r="G721" t="n">
        <v>18200</v>
      </c>
      <c r="H721" t="n">
        <v>16000</v>
      </c>
      <c r="I721" t="n">
        <v>18200</v>
      </c>
      <c r="J721" t="b">
        <v>1</v>
      </c>
      <c r="K721" t="inlineStr">
        <is>
          <t>Unilever Indonesia Official Shop</t>
        </is>
      </c>
      <c r="L721" t="inlineStr">
        <is>
          <t>KOTA SEMARANG</t>
        </is>
      </c>
      <c r="M721" t="n">
        <v>6617483642</v>
      </c>
      <c r="N721" t="n">
        <v>14318452</v>
      </c>
      <c r="O721">
        <f>HYPERLINK("https://shopee.co.id/api/v4/item/get?itemid=6617483642&amp;shopid=14318452", "Pond's Juice Collection Sheet Mask / Masker Wajah Orange Nectar + Hyaluronic Acid 20 gr")</f>
        <v/>
      </c>
      <c r="P721" t="n">
        <v>40</v>
      </c>
      <c r="Q721" t="n">
        <v>442</v>
      </c>
      <c r="R721" t="n">
        <v>4.929176289453426</v>
      </c>
      <c r="S721" t="n">
        <v>8</v>
      </c>
      <c r="T721" t="n">
        <v>7</v>
      </c>
      <c r="U721" t="n">
        <v>52</v>
      </c>
      <c r="V721" t="n">
        <v>399</v>
      </c>
      <c r="W721" t="n">
        <v>7329</v>
      </c>
    </row>
    <row r="722">
      <c r="A722" t="inlineStr">
        <is>
          <t>Rinso Molto Deterjen Cair Perfume Essence 750 ml Multi Pack</t>
        </is>
      </c>
      <c r="B722" t="inlineStr">
        <is>
          <t>Rinso</t>
        </is>
      </c>
      <c r="C722" t="inlineStr">
        <is>
          <t>32%</t>
        </is>
      </c>
      <c r="D722" t="n">
        <v>63000</v>
      </c>
      <c r="E722" t="n">
        <v>92100</v>
      </c>
      <c r="F722" t="n">
        <v>63000</v>
      </c>
      <c r="G722" t="n">
        <v>92100</v>
      </c>
      <c r="H722" t="n">
        <v>63000</v>
      </c>
      <c r="I722" t="n">
        <v>92100</v>
      </c>
      <c r="J722" t="b">
        <v>1</v>
      </c>
      <c r="K722" t="inlineStr">
        <is>
          <t>Unilever Indonesia Official Shop</t>
        </is>
      </c>
      <c r="L722" t="inlineStr">
        <is>
          <t>KOTA BEKASI</t>
        </is>
      </c>
      <c r="M722" t="n">
        <v>4931738176</v>
      </c>
      <c r="N722" t="n">
        <v>14318452</v>
      </c>
      <c r="O722">
        <f>HYPERLINK("https://shopee.co.id/api/v4/item/get?itemid=4931738176&amp;shopid=14318452", "Rinso Molto Deterjen Cair Perfume Essence 750 ml Multi Pack")</f>
        <v/>
      </c>
      <c r="P722" t="n">
        <v>130</v>
      </c>
      <c r="Q722" t="n">
        <v>254</v>
      </c>
      <c r="R722" t="n">
        <v>4.939157566302652</v>
      </c>
      <c r="S722" t="n">
        <v>4</v>
      </c>
      <c r="T722" t="n">
        <v>5</v>
      </c>
      <c r="U722" t="n">
        <v>18</v>
      </c>
      <c r="V722" t="n">
        <v>136</v>
      </c>
      <c r="W722" t="n">
        <v>3044</v>
      </c>
    </row>
    <row r="723">
      <c r="A723" t="inlineStr">
        <is>
          <t>St Ives Glowing Apricot Face Cleanser 200 ml</t>
        </is>
      </c>
      <c r="B723" t="inlineStr"/>
      <c r="C723" t="inlineStr">
        <is>
          <t>1%</t>
        </is>
      </c>
      <c r="D723" t="n">
        <v>101000</v>
      </c>
      <c r="E723" t="n">
        <v>102000</v>
      </c>
      <c r="F723" t="n">
        <v>101000</v>
      </c>
      <c r="G723" t="n">
        <v>102000</v>
      </c>
      <c r="H723" t="n">
        <v>101000</v>
      </c>
      <c r="I723" t="n">
        <v>102000</v>
      </c>
      <c r="J723" t="b">
        <v>1</v>
      </c>
      <c r="K723" t="inlineStr">
        <is>
          <t>Unilever Indonesia Official Shop</t>
        </is>
      </c>
      <c r="L723" t="inlineStr">
        <is>
          <t>KOTA BEKASI</t>
        </is>
      </c>
      <c r="M723" t="n">
        <v>6150167209</v>
      </c>
      <c r="N723" t="n">
        <v>14318452</v>
      </c>
      <c r="O723">
        <f>HYPERLINK("https://shopee.co.id/api/v4/item/get?itemid=6150167209&amp;shopid=14318452", "St Ives Glowing Apricot Face Cleanser 200 ml")</f>
        <v/>
      </c>
      <c r="P723" t="n">
        <v>60</v>
      </c>
      <c r="Q723" t="n">
        <v>111</v>
      </c>
      <c r="R723" t="n">
        <v>4.918065153010859</v>
      </c>
      <c r="S723" t="n">
        <v>5</v>
      </c>
      <c r="T723" t="n">
        <v>6</v>
      </c>
      <c r="U723" t="n">
        <v>21</v>
      </c>
      <c r="V723" t="n">
        <v>172</v>
      </c>
      <c r="W723" t="n">
        <v>2836</v>
      </c>
    </row>
    <row r="724">
      <c r="A724" t="inlineStr">
        <is>
          <t>Rinso Matic Deterjen Bubuk Mesin Cuci Bukaan Depan 1.8 Kg</t>
        </is>
      </c>
      <c r="B724" t="inlineStr">
        <is>
          <t>None</t>
        </is>
      </c>
      <c r="C724" t="inlineStr">
        <is>
          <t>20%</t>
        </is>
      </c>
      <c r="D724" t="n">
        <v>76700</v>
      </c>
      <c r="E724" t="n">
        <v>96200</v>
      </c>
      <c r="F724" t="n">
        <v>76700</v>
      </c>
      <c r="G724" t="n">
        <v>96200</v>
      </c>
      <c r="H724" t="n">
        <v>76700</v>
      </c>
      <c r="I724" t="n">
        <v>96200</v>
      </c>
      <c r="J724" t="b">
        <v>1</v>
      </c>
      <c r="K724" t="inlineStr">
        <is>
          <t>Unilever Indonesia Official Shop</t>
        </is>
      </c>
      <c r="L724" t="inlineStr">
        <is>
          <t>KOTA BEKASI</t>
        </is>
      </c>
      <c r="M724" t="n">
        <v>4611031573</v>
      </c>
      <c r="N724" t="n">
        <v>14318452</v>
      </c>
      <c r="O724">
        <f>HYPERLINK("https://shopee.co.id/api/v4/item/get?itemid=4611031573&amp;shopid=14318452", "Rinso Matic Deterjen Bubuk Mesin Cuci Bukaan Depan 1.8 Kg")</f>
        <v/>
      </c>
      <c r="P724" t="n">
        <v>689</v>
      </c>
      <c r="Q724" t="n">
        <v>1318</v>
      </c>
      <c r="R724" t="n">
        <v>4.944647696476965</v>
      </c>
      <c r="S724" t="n">
        <v>30</v>
      </c>
      <c r="T724" t="n">
        <v>22</v>
      </c>
      <c r="U724" t="n">
        <v>89</v>
      </c>
      <c r="V724" t="n">
        <v>459</v>
      </c>
      <c r="W724" t="n">
        <v>14201</v>
      </c>
    </row>
    <row r="725">
      <c r="A725" t="inlineStr">
        <is>
          <t>Rinso Molto Detergent Deterjen Cair Rose Fresh 1.5 L Twinpack</t>
        </is>
      </c>
      <c r="B725" t="inlineStr">
        <is>
          <t>Rinso</t>
        </is>
      </c>
      <c r="C725" t="inlineStr">
        <is>
          <t>21%</t>
        </is>
      </c>
      <c r="D725" t="n">
        <v>83800</v>
      </c>
      <c r="E725" t="n">
        <v>106300</v>
      </c>
      <c r="F725" t="n">
        <v>83800</v>
      </c>
      <c r="G725" t="n">
        <v>106300</v>
      </c>
      <c r="H725" t="n">
        <v>83800</v>
      </c>
      <c r="I725" t="n">
        <v>106300</v>
      </c>
      <c r="J725" t="b">
        <v>1</v>
      </c>
      <c r="K725" t="inlineStr">
        <is>
          <t>Unilever Indonesia Official Shop</t>
        </is>
      </c>
      <c r="L725" t="inlineStr">
        <is>
          <t>KOTA BEKASI</t>
        </is>
      </c>
      <c r="M725" t="n">
        <v>4743554932</v>
      </c>
      <c r="N725" t="n">
        <v>14318452</v>
      </c>
      <c r="O725">
        <f>HYPERLINK("https://shopee.co.id/api/v4/item/get?itemid=4743554932&amp;shopid=14318452", "Rinso Molto Detergent Deterjen Cair Rose Fresh 1.5 L Twinpack")</f>
        <v/>
      </c>
      <c r="P725" t="n">
        <v>192</v>
      </c>
      <c r="Q725" t="n">
        <v>313</v>
      </c>
      <c r="R725" t="n">
        <v>4.933384185100432</v>
      </c>
      <c r="S725" t="n">
        <v>11</v>
      </c>
      <c r="T725" t="n">
        <v>16</v>
      </c>
      <c r="U725" t="n">
        <v>26</v>
      </c>
      <c r="V725" t="n">
        <v>134</v>
      </c>
      <c r="W725" t="n">
        <v>3751</v>
      </c>
    </row>
    <row r="726">
      <c r="A726" t="inlineStr">
        <is>
          <t>Wipol Pembersih Lantai Karbol Cemara 750Ml -Pel Antiseptik, Karbol Antikuman, Karbol Disinfektan</t>
        </is>
      </c>
      <c r="B726" t="inlineStr">
        <is>
          <t>Wipol</t>
        </is>
      </c>
      <c r="C726" t="inlineStr">
        <is>
          <t>17%</t>
        </is>
      </c>
      <c r="D726" t="n">
        <v>28200</v>
      </c>
      <c r="E726" t="n">
        <v>33800</v>
      </c>
      <c r="F726" t="n">
        <v>28200</v>
      </c>
      <c r="G726" t="n">
        <v>33800</v>
      </c>
      <c r="H726" t="n">
        <v>28200</v>
      </c>
      <c r="I726" t="n">
        <v>33800</v>
      </c>
      <c r="J726" t="b">
        <v>1</v>
      </c>
      <c r="K726" t="inlineStr">
        <is>
          <t>Unilever Indonesia Official Shop</t>
        </is>
      </c>
      <c r="L726" t="inlineStr">
        <is>
          <t>KOTA BEKASI</t>
        </is>
      </c>
      <c r="M726" t="n">
        <v>1040498712</v>
      </c>
      <c r="N726" t="n">
        <v>14318452</v>
      </c>
      <c r="O726">
        <f>HYPERLINK("https://shopee.co.id/api/v4/item/get?itemid=1040498712&amp;shopid=14318452", "Wipol Pembersih Lantai Karbol Cemara 750Ml -Pel Antiseptik, Karbol Antikuman, Karbol Disinfektan")</f>
        <v/>
      </c>
      <c r="P726" t="n">
        <v>317</v>
      </c>
      <c r="Q726" t="n">
        <v>457</v>
      </c>
      <c r="R726" t="n">
        <v>4.933878235355758</v>
      </c>
      <c r="S726" t="n">
        <v>27</v>
      </c>
      <c r="T726" t="n">
        <v>18</v>
      </c>
      <c r="U726" t="n">
        <v>57</v>
      </c>
      <c r="V726" t="n">
        <v>367</v>
      </c>
      <c r="W726" t="n">
        <v>9078</v>
      </c>
    </row>
    <row r="727">
      <c r="A727" t="inlineStr">
        <is>
          <t>Lifebuoy Sabun Cuci Tangan Mild Care 180 Ml -Sabun Cuci Tangan Antibakteri, Hand Wash Refil</t>
        </is>
      </c>
      <c r="B727" t="inlineStr">
        <is>
          <t>Lifebuoy</t>
        </is>
      </c>
      <c r="C727" t="inlineStr">
        <is>
          <t>14%</t>
        </is>
      </c>
      <c r="D727" t="n">
        <v>12400</v>
      </c>
      <c r="E727" t="n">
        <v>14400</v>
      </c>
      <c r="F727" t="n">
        <v>12400</v>
      </c>
      <c r="G727" t="n">
        <v>14400</v>
      </c>
      <c r="H727" t="n">
        <v>12400</v>
      </c>
      <c r="I727" t="n">
        <v>14400</v>
      </c>
      <c r="J727" t="b">
        <v>1</v>
      </c>
      <c r="K727" t="inlineStr">
        <is>
          <t>Unilever Indonesia Official Shop</t>
        </is>
      </c>
      <c r="L727" t="inlineStr">
        <is>
          <t>KOTA BEKASI</t>
        </is>
      </c>
      <c r="M727" t="n">
        <v>3138117730</v>
      </c>
      <c r="N727" t="n">
        <v>14318452</v>
      </c>
      <c r="O727">
        <f>HYPERLINK("https://shopee.co.id/api/v4/item/get?itemid=3138117730&amp;shopid=14318452", "Lifebuoy Sabun Cuci Tangan Mild Care 180 Ml -Sabun Cuci Tangan Antibakteri, Hand Wash Refil")</f>
        <v/>
      </c>
      <c r="P727" t="n">
        <v>354</v>
      </c>
      <c r="Q727" t="n">
        <v>1251</v>
      </c>
      <c r="R727" t="n">
        <v>4.943193374981839</v>
      </c>
      <c r="S727" t="n">
        <v>10</v>
      </c>
      <c r="T727" t="n">
        <v>6</v>
      </c>
      <c r="U727" t="n">
        <v>46</v>
      </c>
      <c r="V727" t="n">
        <v>252</v>
      </c>
      <c r="W727" t="n">
        <v>6572</v>
      </c>
    </row>
    <row r="728">
      <c r="A728" t="inlineStr">
        <is>
          <t>Jawara Cabai Tabur Jambal 30 gr Twinpack</t>
        </is>
      </c>
      <c r="B728" t="inlineStr">
        <is>
          <t>Jawara</t>
        </is>
      </c>
      <c r="C728" t="inlineStr">
        <is>
          <t>9%</t>
        </is>
      </c>
      <c r="D728" t="n">
        <v>14400</v>
      </c>
      <c r="E728" t="n">
        <v>15900</v>
      </c>
      <c r="F728" t="n">
        <v>14400</v>
      </c>
      <c r="G728" t="n">
        <v>15900</v>
      </c>
      <c r="H728" t="n">
        <v>14400</v>
      </c>
      <c r="I728" t="n">
        <v>15900</v>
      </c>
      <c r="J728" t="b">
        <v>1</v>
      </c>
      <c r="K728" t="inlineStr">
        <is>
          <t>Unilever Indonesia Official Shop</t>
        </is>
      </c>
      <c r="L728" t="inlineStr">
        <is>
          <t>KOTA BEKASI</t>
        </is>
      </c>
      <c r="M728" t="n">
        <v>4852498976</v>
      </c>
      <c r="N728" t="n">
        <v>14318452</v>
      </c>
      <c r="O728">
        <f>HYPERLINK("https://shopee.co.id/api/v4/item/get?itemid=4852498976&amp;shopid=14318452", "Jawara Cabai Tabur Jambal 30 gr Twinpack")</f>
        <v/>
      </c>
      <c r="P728" t="n">
        <v>50</v>
      </c>
      <c r="Q728" t="n">
        <v>172</v>
      </c>
      <c r="R728" t="n">
        <v>4.91994750656168</v>
      </c>
      <c r="S728" t="n">
        <v>2</v>
      </c>
      <c r="T728" t="n">
        <v>0</v>
      </c>
      <c r="U728" t="n">
        <v>4</v>
      </c>
      <c r="V728" t="n">
        <v>45</v>
      </c>
      <c r="W728" t="n">
        <v>711</v>
      </c>
    </row>
    <row r="729">
      <c r="A729" t="inlineStr">
        <is>
          <t>Buavita Apple 250ml Multi Pack</t>
        </is>
      </c>
      <c r="B729" t="inlineStr">
        <is>
          <t>0</t>
        </is>
      </c>
      <c r="C729" t="inlineStr">
        <is>
          <t>25%</t>
        </is>
      </c>
      <c r="D729" t="n">
        <v>16800</v>
      </c>
      <c r="E729" t="n">
        <v>22500</v>
      </c>
      <c r="F729" t="n">
        <v>16800</v>
      </c>
      <c r="G729" t="n">
        <v>22500</v>
      </c>
      <c r="H729" t="n">
        <v>16800</v>
      </c>
      <c r="I729" t="n">
        <v>22500</v>
      </c>
      <c r="J729" t="b">
        <v>1</v>
      </c>
      <c r="K729" t="inlineStr">
        <is>
          <t>Unilever Indonesia Official Shop</t>
        </is>
      </c>
      <c r="L729" t="inlineStr">
        <is>
          <t>KOTA BEKASI</t>
        </is>
      </c>
      <c r="M729" t="n">
        <v>7231692573</v>
      </c>
      <c r="N729" t="n">
        <v>14318452</v>
      </c>
      <c r="O729">
        <f>HYPERLINK("https://shopee.co.id/api/v4/item/get?itemid=7231692573&amp;shopid=14318452", "Buavita Apple 250ml Multi Pack")</f>
        <v/>
      </c>
      <c r="P729" t="n">
        <v>69</v>
      </c>
      <c r="Q729" t="n">
        <v>95</v>
      </c>
      <c r="R729" t="n">
        <v>4.892319277108434</v>
      </c>
      <c r="S729" t="n">
        <v>6</v>
      </c>
      <c r="T729" t="n">
        <v>1</v>
      </c>
      <c r="U729" t="n">
        <v>17</v>
      </c>
      <c r="V729" t="n">
        <v>82</v>
      </c>
      <c r="W729" t="n">
        <v>1222</v>
      </c>
    </row>
    <row r="730">
      <c r="A730" t="inlineStr">
        <is>
          <t>LUX Botanicals Antibacterial Hand Wash Gardenia &amp; Honey 400 ml</t>
        </is>
      </c>
      <c r="B730" t="inlineStr"/>
      <c r="C730" t="inlineStr">
        <is>
          <t>2%</t>
        </is>
      </c>
      <c r="D730" t="n">
        <v>39600</v>
      </c>
      <c r="E730" t="n">
        <v>40500</v>
      </c>
      <c r="F730" t="n">
        <v>39600</v>
      </c>
      <c r="G730" t="n">
        <v>40500</v>
      </c>
      <c r="H730" t="n">
        <v>39600</v>
      </c>
      <c r="I730" t="n">
        <v>40500</v>
      </c>
      <c r="J730" t="b">
        <v>0</v>
      </c>
      <c r="K730" t="inlineStr">
        <is>
          <t>Unilever Indonesia Official Shop</t>
        </is>
      </c>
      <c r="L730" t="inlineStr">
        <is>
          <t>KOTA BEKASI</t>
        </is>
      </c>
      <c r="M730" t="n">
        <v>3479291886</v>
      </c>
      <c r="N730" t="n">
        <v>14318452</v>
      </c>
      <c r="O730">
        <f>HYPERLINK("https://shopee.co.id/api/v4/item/get?itemid=3479291886&amp;shopid=14318452", "LUX Botanicals Antibacterial Hand Wash Gardenia &amp; Honey 400 ml")</f>
        <v/>
      </c>
      <c r="P730" t="n">
        <v>24</v>
      </c>
      <c r="Q730" t="n">
        <v>94</v>
      </c>
      <c r="R730" t="n">
        <v>4.904132231404959</v>
      </c>
      <c r="S730" t="n">
        <v>2</v>
      </c>
      <c r="T730" t="n">
        <v>0</v>
      </c>
      <c r="U730" t="n">
        <v>6</v>
      </c>
      <c r="V730" t="n">
        <v>38</v>
      </c>
      <c r="W730" t="n">
        <v>559</v>
      </c>
    </row>
    <row r="731">
      <c r="A731" t="inlineStr">
        <is>
          <t>Citra Glow Recipe Juicy Sheet Mask / Masker Wajah Activated Charcoal + Pomegranate 25 gr</t>
        </is>
      </c>
      <c r="B731" t="inlineStr">
        <is>
          <t>0</t>
        </is>
      </c>
      <c r="C731" t="inlineStr">
        <is>
          <t>1%</t>
        </is>
      </c>
      <c r="D731" t="n">
        <v>18600</v>
      </c>
      <c r="E731" t="n">
        <v>18700</v>
      </c>
      <c r="F731" t="n">
        <v>18600</v>
      </c>
      <c r="G731" t="n">
        <v>18700</v>
      </c>
      <c r="H731" t="n">
        <v>18600</v>
      </c>
      <c r="I731" t="n">
        <v>18700</v>
      </c>
      <c r="J731" t="b">
        <v>1</v>
      </c>
      <c r="K731" t="inlineStr">
        <is>
          <t>Unilever Indonesia Official Shop</t>
        </is>
      </c>
      <c r="L731" t="inlineStr">
        <is>
          <t>KOTA BEKASI</t>
        </is>
      </c>
      <c r="M731" t="n">
        <v>2497133952</v>
      </c>
      <c r="N731" t="n">
        <v>14318452</v>
      </c>
      <c r="O731">
        <f>HYPERLINK("https://shopee.co.id/api/v4/item/get?itemid=2497133952&amp;shopid=14318452", "Citra Glow Recipe Juicy Sheet Mask / Masker Wajah Activated Charcoal + Pomegranate 25 gr")</f>
        <v/>
      </c>
      <c r="P731" t="n">
        <v>30</v>
      </c>
      <c r="Q731" t="n">
        <v>224</v>
      </c>
      <c r="R731" t="n">
        <v>4.926599749058971</v>
      </c>
      <c r="S731" t="n">
        <v>1</v>
      </c>
      <c r="T731" t="n">
        <v>3</v>
      </c>
      <c r="U731" t="n">
        <v>7</v>
      </c>
      <c r="V731" t="n">
        <v>90</v>
      </c>
      <c r="W731" t="n">
        <v>1493</v>
      </c>
    </row>
    <row r="732">
      <c r="A732" t="inlineStr">
        <is>
          <t>Ponds Age Miracle Anti Aging+Glowing Moisturizer Day &amp; Night Cream 50gx2 with Retinol</t>
        </is>
      </c>
      <c r="B732" t="inlineStr">
        <is>
          <t>Pond's</t>
        </is>
      </c>
      <c r="C732" t="inlineStr">
        <is>
          <t>22%</t>
        </is>
      </c>
      <c r="D732" t="n">
        <v>278100</v>
      </c>
      <c r="E732" t="n">
        <v>355400</v>
      </c>
      <c r="F732" t="n">
        <v>278100</v>
      </c>
      <c r="G732" t="n">
        <v>355400</v>
      </c>
      <c r="H732" t="n">
        <v>278100</v>
      </c>
      <c r="I732" t="n">
        <v>355400</v>
      </c>
      <c r="J732" t="b">
        <v>1</v>
      </c>
      <c r="K732" t="inlineStr">
        <is>
          <t>Unilever Indonesia Official Shop</t>
        </is>
      </c>
      <c r="L732" t="inlineStr">
        <is>
          <t>KOTA BEKASI</t>
        </is>
      </c>
      <c r="M732" t="n">
        <v>6856937237</v>
      </c>
      <c r="N732" t="n">
        <v>14318452</v>
      </c>
      <c r="O732">
        <f>HYPERLINK("https://shopee.co.id/api/v4/item/get?itemid=6856937237&amp;shopid=14318452", "Ponds Age Miracle Anti Aging+Glowing Moisturizer Day &amp; Night Cream 50gx2 with Retinol")</f>
        <v/>
      </c>
      <c r="P732" t="n">
        <v>134</v>
      </c>
      <c r="Q732" t="n">
        <v>1827</v>
      </c>
      <c r="R732" t="n">
        <v>4.936636151498833</v>
      </c>
      <c r="S732" t="n">
        <v>5</v>
      </c>
      <c r="T732" t="n">
        <v>5</v>
      </c>
      <c r="U732" t="n">
        <v>25</v>
      </c>
      <c r="V732" t="n">
        <v>274</v>
      </c>
      <c r="W732" t="n">
        <v>5269</v>
      </c>
    </row>
    <row r="733">
      <c r="A733" t="inlineStr">
        <is>
          <t>Sunsilk Shampoo Black Shine 160ml Twin Pack</t>
        </is>
      </c>
      <c r="B733" t="inlineStr">
        <is>
          <t>Sunsilk</t>
        </is>
      </c>
      <c r="C733" t="inlineStr">
        <is>
          <t>9%</t>
        </is>
      </c>
      <c r="D733" t="n">
        <v>48700</v>
      </c>
      <c r="E733" t="n">
        <v>53800</v>
      </c>
      <c r="F733" t="n">
        <v>48700</v>
      </c>
      <c r="G733" t="n">
        <v>53800</v>
      </c>
      <c r="H733" t="n">
        <v>48700</v>
      </c>
      <c r="I733" t="n">
        <v>53800</v>
      </c>
      <c r="J733" t="b">
        <v>1</v>
      </c>
      <c r="K733" t="inlineStr">
        <is>
          <t>Unilever Indonesia Official Shop</t>
        </is>
      </c>
      <c r="L733" t="inlineStr">
        <is>
          <t>KOTA BEKASI</t>
        </is>
      </c>
      <c r="M733" t="n">
        <v>4631728049</v>
      </c>
      <c r="N733" t="n">
        <v>14318452</v>
      </c>
      <c r="O733">
        <f>HYPERLINK("https://shopee.co.id/api/v4/item/get?itemid=4631728049&amp;shopid=14318452", "Sunsilk Shampoo Black Shine 160ml Twin Pack")</f>
        <v/>
      </c>
      <c r="P733" t="n">
        <v>125</v>
      </c>
      <c r="Q733" t="n">
        <v>431</v>
      </c>
      <c r="R733" t="n">
        <v>4.913054695562436</v>
      </c>
      <c r="S733" t="n">
        <v>13</v>
      </c>
      <c r="T733" t="n">
        <v>8</v>
      </c>
      <c r="U733" t="n">
        <v>25</v>
      </c>
      <c r="V733" t="n">
        <v>214</v>
      </c>
      <c r="W733" t="n">
        <v>3617</v>
      </c>
    </row>
    <row r="734">
      <c r="A734" t="inlineStr">
        <is>
          <t>Citra Hand and Body Lotion Sakura Glow UV 230ml Twin Pack</t>
        </is>
      </c>
      <c r="B734" t="inlineStr"/>
      <c r="C734" t="inlineStr">
        <is>
          <t>1%</t>
        </is>
      </c>
      <c r="D734" t="n">
        <v>53600</v>
      </c>
      <c r="E734" t="n">
        <v>54100</v>
      </c>
      <c r="F734" t="n">
        <v>53600</v>
      </c>
      <c r="G734" t="n">
        <v>54100</v>
      </c>
      <c r="H734" t="n">
        <v>53600</v>
      </c>
      <c r="I734" t="n">
        <v>54100</v>
      </c>
      <c r="J734" t="b">
        <v>1</v>
      </c>
      <c r="K734" t="inlineStr">
        <is>
          <t>Unilever Indonesia Official Shop</t>
        </is>
      </c>
      <c r="L734" t="inlineStr">
        <is>
          <t>KOTA BEKASI</t>
        </is>
      </c>
      <c r="M734" t="n">
        <v>3832243048</v>
      </c>
      <c r="N734" t="n">
        <v>14318452</v>
      </c>
      <c r="O734">
        <f>HYPERLINK("https://shopee.co.id/api/v4/item/get?itemid=3832243048&amp;shopid=14318452", "Citra Hand and Body Lotion Sakura Glow UV 230ml Twin Pack")</f>
        <v/>
      </c>
      <c r="P734" t="n">
        <v>24</v>
      </c>
      <c r="Q734" t="n">
        <v>230</v>
      </c>
      <c r="R734" t="n">
        <v>4.926253687315635</v>
      </c>
      <c r="S734" t="n">
        <v>2</v>
      </c>
      <c r="T734" t="n">
        <v>2</v>
      </c>
      <c r="U734" t="n">
        <v>7</v>
      </c>
      <c r="V734" t="n">
        <v>47</v>
      </c>
      <c r="W734" t="n">
        <v>959</v>
      </c>
    </row>
    <row r="735">
      <c r="A735" t="inlineStr">
        <is>
          <t>Bango Bumbu Soto Betawi Khas Jakarta 45 gr</t>
        </is>
      </c>
      <c r="B735" t="inlineStr">
        <is>
          <t>Bango</t>
        </is>
      </c>
      <c r="C735" t="inlineStr">
        <is>
          <t>17%</t>
        </is>
      </c>
      <c r="D735" t="n">
        <v>5400</v>
      </c>
      <c r="E735" t="n">
        <v>6500</v>
      </c>
      <c r="F735" t="n">
        <v>5400</v>
      </c>
      <c r="G735" t="n">
        <v>6500</v>
      </c>
      <c r="H735" t="n">
        <v>5400</v>
      </c>
      <c r="I735" t="n">
        <v>6500</v>
      </c>
      <c r="J735" t="b">
        <v>1</v>
      </c>
      <c r="K735" t="inlineStr">
        <is>
          <t>Unilever Indonesia Official Shop</t>
        </is>
      </c>
      <c r="L735" t="inlineStr">
        <is>
          <t>KOTA MAKASSAR</t>
        </is>
      </c>
      <c r="M735" t="n">
        <v>2198225238</v>
      </c>
      <c r="N735" t="n">
        <v>14318452</v>
      </c>
      <c r="O735">
        <f>HYPERLINK("https://shopee.co.id/api/v4/item/get?itemid=2198225238&amp;shopid=14318452", "Bango Bumbu Soto Betawi Khas Jakarta 45 gr")</f>
        <v/>
      </c>
      <c r="P735" t="n">
        <v>221</v>
      </c>
      <c r="Q735" t="n">
        <v>2</v>
      </c>
      <c r="R735" t="n">
        <v>4.924851190476191</v>
      </c>
      <c r="S735" t="n">
        <v>15</v>
      </c>
      <c r="T735" t="n">
        <v>8</v>
      </c>
      <c r="U735" t="n">
        <v>53</v>
      </c>
      <c r="V735" t="n">
        <v>315</v>
      </c>
      <c r="W735" t="n">
        <v>6329</v>
      </c>
    </row>
    <row r="736">
      <c r="A736" t="inlineStr">
        <is>
          <t>Sunlight Sabun Cuci Piring Jeruk Nipis Refill 400 ml Twinpack</t>
        </is>
      </c>
      <c r="B736" t="inlineStr">
        <is>
          <t>Sunlight</t>
        </is>
      </c>
      <c r="C736" t="inlineStr">
        <is>
          <t>10%</t>
        </is>
      </c>
      <c r="D736" t="n">
        <v>29200</v>
      </c>
      <c r="E736" t="n">
        <v>32600</v>
      </c>
      <c r="F736" t="n">
        <v>29200</v>
      </c>
      <c r="G736" t="n">
        <v>32600</v>
      </c>
      <c r="H736" t="n">
        <v>29200</v>
      </c>
      <c r="I736" t="n">
        <v>32600</v>
      </c>
      <c r="J736" t="b">
        <v>1</v>
      </c>
      <c r="K736" t="inlineStr">
        <is>
          <t>Unilever Indonesia Official Shop</t>
        </is>
      </c>
      <c r="L736" t="inlineStr">
        <is>
          <t>KOTA MAKASSAR</t>
        </is>
      </c>
      <c r="M736" t="n">
        <v>7143558224</v>
      </c>
      <c r="N736" t="n">
        <v>14318452</v>
      </c>
      <c r="O736">
        <f>HYPERLINK("https://shopee.co.id/api/v4/item/get?itemid=7143558224&amp;shopid=14318452", "Sunlight Sabun Cuci Piring Jeruk Nipis Refill 400 ml Twinpack")</f>
        <v/>
      </c>
      <c r="P736" t="n">
        <v>7</v>
      </c>
      <c r="Q736" t="n">
        <v>2</v>
      </c>
      <c r="R736" t="n">
        <v>4.94006309148265</v>
      </c>
      <c r="S736" t="n">
        <v>6</v>
      </c>
      <c r="T736" t="n">
        <v>5</v>
      </c>
      <c r="U736" t="n">
        <v>8</v>
      </c>
      <c r="V736" t="n">
        <v>82</v>
      </c>
      <c r="W736" t="n">
        <v>2119</v>
      </c>
    </row>
    <row r="737">
      <c r="A737" t="inlineStr">
        <is>
          <t>POND'S VITAMIN DUO SHEET MASK / MASKER WAJAH TOMAT + VIT B6 20G</t>
        </is>
      </c>
      <c r="B737" t="inlineStr">
        <is>
          <t>Pond's</t>
        </is>
      </c>
      <c r="C737" t="inlineStr">
        <is>
          <t>35%</t>
        </is>
      </c>
      <c r="D737" t="n">
        <v>14619</v>
      </c>
      <c r="E737" t="n">
        <v>22400</v>
      </c>
      <c r="F737" t="n">
        <v>14619</v>
      </c>
      <c r="G737" t="n">
        <v>22400</v>
      </c>
      <c r="H737" t="n">
        <v>14619</v>
      </c>
      <c r="I737" t="n">
        <v>22400</v>
      </c>
      <c r="J737" t="b">
        <v>1</v>
      </c>
      <c r="K737" t="inlineStr">
        <is>
          <t>Unilever Indonesia Official Shop</t>
        </is>
      </c>
      <c r="L737" t="inlineStr">
        <is>
          <t>KOTA BEKASI</t>
        </is>
      </c>
      <c r="M737" t="n">
        <v>4552479819</v>
      </c>
      <c r="N737" t="n">
        <v>14318452</v>
      </c>
      <c r="O737">
        <f>HYPERLINK("https://shopee.co.id/api/v4/item/get?itemid=4552479819&amp;shopid=14318452", "POND'S VITAMIN DUO SHEET MASK / MASKER WAJAH TOMAT + VIT B6 20G")</f>
        <v/>
      </c>
      <c r="P737" t="n">
        <v>39</v>
      </c>
      <c r="Q737" t="n">
        <v>47</v>
      </c>
      <c r="R737" t="n">
        <v>4.930783242258652</v>
      </c>
      <c r="S737" t="n">
        <v>3</v>
      </c>
      <c r="T737" t="n">
        <v>2</v>
      </c>
      <c r="U737" t="n">
        <v>14</v>
      </c>
      <c r="V737" t="n">
        <v>182</v>
      </c>
      <c r="W737" t="n">
        <v>3093</v>
      </c>
    </row>
    <row r="738">
      <c r="A738" t="inlineStr">
        <is>
          <t>Lifebuoy Antibacterial Body Wash Matcha Green Tea 300 ml</t>
        </is>
      </c>
      <c r="B738" t="inlineStr">
        <is>
          <t>Lifebuoy</t>
        </is>
      </c>
      <c r="C738" t="inlineStr">
        <is>
          <t>33%</t>
        </is>
      </c>
      <c r="D738" t="n">
        <v>35100</v>
      </c>
      <c r="E738" t="n">
        <v>52100</v>
      </c>
      <c r="F738" t="n">
        <v>35100</v>
      </c>
      <c r="G738" t="n">
        <v>52100</v>
      </c>
      <c r="H738" t="n">
        <v>35100</v>
      </c>
      <c r="I738" t="n">
        <v>52100</v>
      </c>
      <c r="J738" t="b">
        <v>1</v>
      </c>
      <c r="K738" t="inlineStr">
        <is>
          <t>Unilever Indonesia Official Shop</t>
        </is>
      </c>
      <c r="L738" t="inlineStr">
        <is>
          <t>KOTA BEKASI</t>
        </is>
      </c>
      <c r="M738" t="n">
        <v>1008956403</v>
      </c>
      <c r="N738" t="n">
        <v>14318452</v>
      </c>
      <c r="O738">
        <f>HYPERLINK("https://shopee.co.id/api/v4/item/get?itemid=1008956403&amp;shopid=14318452", "Lifebuoy Antibacterial Body Wash Matcha Green Tea 300 ml")</f>
        <v/>
      </c>
      <c r="P738" t="n">
        <v>14</v>
      </c>
      <c r="Q738" t="n">
        <v>49</v>
      </c>
      <c r="R738" t="n">
        <v>4.912824207492795</v>
      </c>
      <c r="S738" t="n">
        <v>4</v>
      </c>
      <c r="T738" t="n">
        <v>3</v>
      </c>
      <c r="U738" t="n">
        <v>9</v>
      </c>
      <c r="V738" t="n">
        <v>78</v>
      </c>
      <c r="W738" t="n">
        <v>1294</v>
      </c>
    </row>
    <row r="739">
      <c r="A739" t="inlineStr">
        <is>
          <t>Bango Bumbu Mie Aceh 25 gr Twinpack</t>
        </is>
      </c>
      <c r="B739" t="inlineStr">
        <is>
          <t>Bango</t>
        </is>
      </c>
      <c r="C739" t="inlineStr">
        <is>
          <t>18%</t>
        </is>
      </c>
      <c r="D739" t="n">
        <v>10700</v>
      </c>
      <c r="E739" t="n">
        <v>13000</v>
      </c>
      <c r="F739" t="n">
        <v>10700</v>
      </c>
      <c r="G739" t="n">
        <v>13000</v>
      </c>
      <c r="H739" t="n">
        <v>10700</v>
      </c>
      <c r="I739" t="n">
        <v>13000</v>
      </c>
      <c r="J739" t="b">
        <v>1</v>
      </c>
      <c r="K739" t="inlineStr">
        <is>
          <t>Unilever Indonesia Official Shop</t>
        </is>
      </c>
      <c r="L739" t="inlineStr">
        <is>
          <t>KAB. BANYUASIN</t>
        </is>
      </c>
      <c r="M739" t="n">
        <v>3543643938</v>
      </c>
      <c r="N739" t="n">
        <v>14318452</v>
      </c>
      <c r="O739">
        <f>HYPERLINK("https://shopee.co.id/api/v4/item/get?itemid=3543643938&amp;shopid=14318452", "Bango Bumbu Mie Aceh 25 gr Twinpack")</f>
        <v/>
      </c>
      <c r="P739" t="n">
        <v>32</v>
      </c>
      <c r="Q739" t="n">
        <v>124</v>
      </c>
      <c r="R739" t="n">
        <v>4.924956369982548</v>
      </c>
      <c r="S739" t="n">
        <v>2</v>
      </c>
      <c r="T739" t="n">
        <v>1</v>
      </c>
      <c r="U739" t="n">
        <v>8</v>
      </c>
      <c r="V739" t="n">
        <v>59</v>
      </c>
      <c r="W739" t="n">
        <v>1076</v>
      </c>
    </row>
    <row r="740">
      <c r="A740" t="inlineStr">
        <is>
          <t>Jawara Saus Sambal Bawang Goreng Extra Hot Pouch 250ml Twinpack</t>
        </is>
      </c>
      <c r="B740" t="inlineStr">
        <is>
          <t>Jawara</t>
        </is>
      </c>
      <c r="C740" t="inlineStr">
        <is>
          <t>13%</t>
        </is>
      </c>
      <c r="D740" t="n">
        <v>26200</v>
      </c>
      <c r="E740" t="n">
        <v>30000</v>
      </c>
      <c r="F740" t="n">
        <v>26200</v>
      </c>
      <c r="G740" t="n">
        <v>30000</v>
      </c>
      <c r="H740" t="n">
        <v>26200</v>
      </c>
      <c r="I740" t="n">
        <v>30000</v>
      </c>
      <c r="J740" t="b">
        <v>1</v>
      </c>
      <c r="K740" t="inlineStr">
        <is>
          <t>Unilever Indonesia Official Shop</t>
        </is>
      </c>
      <c r="L740" t="inlineStr">
        <is>
          <t>KOTA BEKASI</t>
        </is>
      </c>
      <c r="M740" t="n">
        <v>5131082113</v>
      </c>
      <c r="N740" t="n">
        <v>14318452</v>
      </c>
      <c r="O740">
        <f>HYPERLINK("https://shopee.co.id/api/v4/item/get?itemid=5131082113&amp;shopid=14318452", "Jawara Saus Sambal Bawang Goreng Extra Hot Pouch 250ml Twinpack")</f>
        <v/>
      </c>
      <c r="P740" t="n">
        <v>98</v>
      </c>
      <c r="Q740" t="n">
        <v>229</v>
      </c>
      <c r="R740" t="n">
        <v>4.944740668928745</v>
      </c>
      <c r="S740" t="n">
        <v>3</v>
      </c>
      <c r="T740" t="n">
        <v>4</v>
      </c>
      <c r="U740" t="n">
        <v>6</v>
      </c>
      <c r="V740" t="n">
        <v>78</v>
      </c>
      <c r="W740" t="n">
        <v>1973</v>
      </c>
    </row>
    <row r="741">
      <c r="A741" t="inlineStr">
        <is>
          <t>Vaseline Multi Purpose Repairing Jelly Aloe 50 Ml - Twin Pack</t>
        </is>
      </c>
      <c r="B741" t="inlineStr">
        <is>
          <t>Vaseline</t>
        </is>
      </c>
      <c r="C741" t="inlineStr">
        <is>
          <t>11%</t>
        </is>
      </c>
      <c r="D741" t="n">
        <v>53400</v>
      </c>
      <c r="E741" t="n">
        <v>60300</v>
      </c>
      <c r="F741" t="n">
        <v>53400</v>
      </c>
      <c r="G741" t="n">
        <v>60300</v>
      </c>
      <c r="H741" t="n">
        <v>53400</v>
      </c>
      <c r="I741" t="n">
        <v>60300</v>
      </c>
      <c r="J741" t="b">
        <v>0</v>
      </c>
      <c r="K741" t="inlineStr">
        <is>
          <t>Unilever Indonesia Official Shop</t>
        </is>
      </c>
      <c r="L741" t="inlineStr">
        <is>
          <t>KOTA BEKASI</t>
        </is>
      </c>
      <c r="M741" t="n">
        <v>6179773897</v>
      </c>
      <c r="N741" t="n">
        <v>14318452</v>
      </c>
      <c r="O741">
        <f>HYPERLINK("https://shopee.co.id/api/v4/item/get?itemid=6179773897&amp;shopid=14318452", "Vaseline Multi Purpose Repairing Jelly Aloe 50 Ml - Twin Pack")</f>
        <v/>
      </c>
      <c r="P741" t="n">
        <v>91</v>
      </c>
      <c r="Q741" t="n">
        <v>334</v>
      </c>
      <c r="R741" t="n">
        <v>4.950684931506849</v>
      </c>
      <c r="S741" t="n">
        <v>1</v>
      </c>
      <c r="T741" t="n">
        <v>1</v>
      </c>
      <c r="U741" t="n">
        <v>2</v>
      </c>
      <c r="V741" t="n">
        <v>43</v>
      </c>
      <c r="W741" t="n">
        <v>1048</v>
      </c>
    </row>
    <row r="742">
      <c r="A742" t="inlineStr">
        <is>
          <t>St Ives Soothing Chamomile Facial Cleanser 200 ml</t>
        </is>
      </c>
      <c r="B742" t="inlineStr"/>
      <c r="C742" t="inlineStr">
        <is>
          <t>34%</t>
        </is>
      </c>
      <c r="D742" t="n">
        <v>67600</v>
      </c>
      <c r="E742" t="n">
        <v>102000</v>
      </c>
      <c r="F742" t="n">
        <v>67600</v>
      </c>
      <c r="G742" t="n">
        <v>102000</v>
      </c>
      <c r="H742" t="n">
        <v>67600</v>
      </c>
      <c r="I742" t="n">
        <v>102000</v>
      </c>
      <c r="J742" t="b">
        <v>1</v>
      </c>
      <c r="K742" t="inlineStr">
        <is>
          <t>Unilever Indonesia Official Shop</t>
        </is>
      </c>
      <c r="L742" t="inlineStr">
        <is>
          <t>KOTA BEKASI</t>
        </is>
      </c>
      <c r="M742" t="n">
        <v>6050167257</v>
      </c>
      <c r="N742" t="n">
        <v>14318452</v>
      </c>
      <c r="O742">
        <f>HYPERLINK("https://shopee.co.id/api/v4/item/get?itemid=6050167257&amp;shopid=14318452", "St Ives Soothing Chamomile Facial Cleanser 200 ml")</f>
        <v/>
      </c>
      <c r="P742" t="n">
        <v>26</v>
      </c>
      <c r="Q742" t="n">
        <v>41</v>
      </c>
      <c r="R742" t="n">
        <v>4.893572621035059</v>
      </c>
      <c r="S742" t="n">
        <v>10</v>
      </c>
      <c r="T742" t="n">
        <v>11</v>
      </c>
      <c r="U742" t="n">
        <v>28</v>
      </c>
      <c r="V742" t="n">
        <v>140</v>
      </c>
      <c r="W742" t="n">
        <v>2211</v>
      </c>
    </row>
    <row r="743">
      <c r="A743" t="inlineStr">
        <is>
          <t>Rinso Molto Deterjen Bubuk Rose Fresh 1.8 Kg Multi Pack</t>
        </is>
      </c>
      <c r="B743" t="inlineStr">
        <is>
          <t>Rinso</t>
        </is>
      </c>
      <c r="C743" t="inlineStr">
        <is>
          <t>23%</t>
        </is>
      </c>
      <c r="D743" t="n">
        <v>156800</v>
      </c>
      <c r="E743" t="n">
        <v>203900</v>
      </c>
      <c r="F743" t="n">
        <v>156800</v>
      </c>
      <c r="G743" t="n">
        <v>203900</v>
      </c>
      <c r="H743" t="n">
        <v>156800</v>
      </c>
      <c r="I743" t="n">
        <v>203900</v>
      </c>
      <c r="J743" t="b">
        <v>1</v>
      </c>
      <c r="K743" t="inlineStr">
        <is>
          <t>Unilever Indonesia Official Shop</t>
        </is>
      </c>
      <c r="L743" t="inlineStr">
        <is>
          <t>KOTA BEKASI</t>
        </is>
      </c>
      <c r="M743" t="n">
        <v>4731664904</v>
      </c>
      <c r="N743" t="n">
        <v>14318452</v>
      </c>
      <c r="O743">
        <f>HYPERLINK("https://shopee.co.id/api/v4/item/get?itemid=4731664904&amp;shopid=14318452", "Rinso Molto Deterjen Bubuk Rose Fresh 1.8 Kg Multi Pack")</f>
        <v/>
      </c>
      <c r="P743" t="n">
        <v>215</v>
      </c>
      <c r="Q743" t="n">
        <v>523</v>
      </c>
      <c r="R743" t="n">
        <v>4.943234120895981</v>
      </c>
      <c r="S743" t="n">
        <v>11</v>
      </c>
      <c r="T743" t="n">
        <v>4</v>
      </c>
      <c r="U743" t="n">
        <v>15</v>
      </c>
      <c r="V743" t="n">
        <v>103</v>
      </c>
      <c r="W743" t="n">
        <v>3127</v>
      </c>
    </row>
    <row r="744">
      <c r="A744" t="inlineStr">
        <is>
          <t>Lifebuoy Shampo Anti Ketombe Anti Dandruff dengan Milknutristrong &amp; Active Zinc Pump 680ML</t>
        </is>
      </c>
      <c r="B744" t="inlineStr">
        <is>
          <t>Lifebuoy</t>
        </is>
      </c>
      <c r="C744" t="inlineStr">
        <is>
          <t>1%</t>
        </is>
      </c>
      <c r="D744" t="n">
        <v>122400</v>
      </c>
      <c r="E744" t="n">
        <v>123600</v>
      </c>
      <c r="F744" t="n">
        <v>122400</v>
      </c>
      <c r="G744" t="n">
        <v>123600</v>
      </c>
      <c r="H744" t="n">
        <v>122400</v>
      </c>
      <c r="I744" t="n">
        <v>123600</v>
      </c>
      <c r="J744" t="b">
        <v>1</v>
      </c>
      <c r="K744" t="inlineStr">
        <is>
          <t>Unilever Indonesia Official Shop</t>
        </is>
      </c>
      <c r="L744" t="inlineStr">
        <is>
          <t>KOTA BEKASI</t>
        </is>
      </c>
      <c r="M744" t="n">
        <v>7931357523</v>
      </c>
      <c r="N744" t="n">
        <v>14318452</v>
      </c>
      <c r="O744">
        <f>HYPERLINK("https://shopee.co.id/api/v4/item/get?itemid=7931357523&amp;shopid=14318452", "Lifebuoy Shampo Anti Ketombe Anti Dandruff dengan Milknutristrong &amp; Active Zinc Pump 680ML")</f>
        <v/>
      </c>
      <c r="P744" t="n">
        <v>141</v>
      </c>
      <c r="Q744" t="n">
        <v>1119</v>
      </c>
      <c r="R744" t="n">
        <v>4.938399539435808</v>
      </c>
      <c r="S744" t="n">
        <v>12</v>
      </c>
      <c r="T744" t="n">
        <v>6</v>
      </c>
      <c r="U744" t="n">
        <v>34</v>
      </c>
      <c r="V744" t="n">
        <v>194</v>
      </c>
      <c r="W744" t="n">
        <v>4967</v>
      </c>
    </row>
    <row r="745">
      <c r="A745" t="inlineStr">
        <is>
          <t>Wipol Sabun Karbol Pembersih Lantai Lemon Tangguh Bunuh Kuman 780 ml Twin Pack</t>
        </is>
      </c>
      <c r="B745" t="inlineStr">
        <is>
          <t>0</t>
        </is>
      </c>
      <c r="C745" t="inlineStr">
        <is>
          <t>49%</t>
        </is>
      </c>
      <c r="D745" t="n">
        <v>33400</v>
      </c>
      <c r="E745" t="n">
        <v>66000</v>
      </c>
      <c r="F745" t="n">
        <v>33400</v>
      </c>
      <c r="G745" t="n">
        <v>66000</v>
      </c>
      <c r="H745" t="n">
        <v>33400</v>
      </c>
      <c r="I745" t="n">
        <v>66000</v>
      </c>
      <c r="J745" t="b">
        <v>1</v>
      </c>
      <c r="K745" t="inlineStr">
        <is>
          <t>Unilever Indonesia Official Shop</t>
        </is>
      </c>
      <c r="L745" t="inlineStr">
        <is>
          <t>KOTA BEKASI</t>
        </is>
      </c>
      <c r="M745" t="n">
        <v>5237718467</v>
      </c>
      <c r="N745" t="n">
        <v>14318452</v>
      </c>
      <c r="O745">
        <f>HYPERLINK("https://shopee.co.id/api/v4/item/get?itemid=5237718467&amp;shopid=14318452", "Wipol Sabun Karbol Pembersih Lantai Lemon Tangguh Bunuh Kuman 780 ml Twin Pack")</f>
        <v/>
      </c>
      <c r="P745" t="n">
        <v>62</v>
      </c>
      <c r="Q745" t="n">
        <v>1268</v>
      </c>
      <c r="R745" t="n">
        <v>4.951807228915663</v>
      </c>
      <c r="S745" t="n">
        <v>0</v>
      </c>
      <c r="T745" t="n">
        <v>0</v>
      </c>
      <c r="U745" t="n">
        <v>4</v>
      </c>
      <c r="V745" t="n">
        <v>24</v>
      </c>
      <c r="W745" t="n">
        <v>636</v>
      </c>
    </row>
    <row r="746">
      <c r="A746" t="inlineStr">
        <is>
          <t>Lifebuoy Sabun Cuci Tangan Anti Bakteri Mild Care 180ml x2</t>
        </is>
      </c>
      <c r="B746" t="inlineStr">
        <is>
          <t>Lifebuoy</t>
        </is>
      </c>
      <c r="C746" t="inlineStr">
        <is>
          <t>15%</t>
        </is>
      </c>
      <c r="D746" t="n">
        <v>24100</v>
      </c>
      <c r="E746" t="n">
        <v>28200</v>
      </c>
      <c r="F746" t="n">
        <v>24100</v>
      </c>
      <c r="G746" t="n">
        <v>28200</v>
      </c>
      <c r="H746" t="n">
        <v>24100</v>
      </c>
      <c r="I746" t="n">
        <v>28200</v>
      </c>
      <c r="J746" t="b">
        <v>1</v>
      </c>
      <c r="K746" t="inlineStr">
        <is>
          <t>Unilever Indonesia Official Shop</t>
        </is>
      </c>
      <c r="L746" t="inlineStr">
        <is>
          <t>KOTA BEKASI</t>
        </is>
      </c>
      <c r="M746" t="n">
        <v>7741243821</v>
      </c>
      <c r="N746" t="n">
        <v>14318452</v>
      </c>
      <c r="O746">
        <f>HYPERLINK("https://shopee.co.id/api/v4/item/get?itemid=7741243821&amp;shopid=14318452", "Lifebuoy Sabun Cuci Tangan Anti Bakteri Mild Care 180ml x2")</f>
        <v/>
      </c>
      <c r="P746" t="n">
        <v>38</v>
      </c>
      <c r="Q746" t="n">
        <v>624</v>
      </c>
      <c r="R746" t="n">
        <v>4.947261663286004</v>
      </c>
      <c r="S746" t="n">
        <v>4</v>
      </c>
      <c r="T746" t="n">
        <v>2</v>
      </c>
      <c r="U746" t="n">
        <v>12</v>
      </c>
      <c r="V746" t="n">
        <v>84</v>
      </c>
      <c r="W746" t="n">
        <v>2363</v>
      </c>
    </row>
    <row r="747">
      <c r="A747" t="inlineStr">
        <is>
          <t>Zwitsal Baby Bath Classic Refill Pouch 450 ml Twin Pack</t>
        </is>
      </c>
      <c r="B747" t="inlineStr">
        <is>
          <t>Zwitsal</t>
        </is>
      </c>
      <c r="C747" t="inlineStr">
        <is>
          <t>22%</t>
        </is>
      </c>
      <c r="D747" t="n">
        <v>62600</v>
      </c>
      <c r="E747" t="n">
        <v>80000</v>
      </c>
      <c r="F747" t="n">
        <v>62600</v>
      </c>
      <c r="G747" t="n">
        <v>80000</v>
      </c>
      <c r="H747" t="n">
        <v>62600</v>
      </c>
      <c r="I747" t="n">
        <v>80000</v>
      </c>
      <c r="J747" t="b">
        <v>1</v>
      </c>
      <c r="K747" t="inlineStr">
        <is>
          <t>Unilever Indonesia Official Shop</t>
        </is>
      </c>
      <c r="L747" t="inlineStr">
        <is>
          <t>KOTA BEKASI</t>
        </is>
      </c>
      <c r="M747" t="n">
        <v>4231200358</v>
      </c>
      <c r="N747" t="n">
        <v>14318452</v>
      </c>
      <c r="O747">
        <f>HYPERLINK("https://shopee.co.id/api/v4/item/get?itemid=4231200358&amp;shopid=14318452", "Zwitsal Baby Bath Classic Refill Pouch 450 ml Twin Pack")</f>
        <v/>
      </c>
      <c r="P747" t="n">
        <v>81</v>
      </c>
      <c r="Q747" t="n">
        <v>286</v>
      </c>
      <c r="R747" t="n">
        <v>4.95284469502819</v>
      </c>
      <c r="S747" t="n">
        <v>3</v>
      </c>
      <c r="T747" t="n">
        <v>3</v>
      </c>
      <c r="U747" t="n">
        <v>6</v>
      </c>
      <c r="V747" t="n">
        <v>62</v>
      </c>
      <c r="W747" t="n">
        <v>1878</v>
      </c>
    </row>
    <row r="748">
      <c r="A748" t="inlineStr">
        <is>
          <t>Rinso Molto Deterjen Bubuk Pink 770 gr - Twin Pack</t>
        </is>
      </c>
      <c r="B748" t="inlineStr">
        <is>
          <t>0</t>
        </is>
      </c>
      <c r="C748" t="inlineStr">
        <is>
          <t>25%</t>
        </is>
      </c>
      <c r="D748" t="n">
        <v>52400</v>
      </c>
      <c r="E748" t="n">
        <v>70200</v>
      </c>
      <c r="F748" t="n">
        <v>52400</v>
      </c>
      <c r="G748" t="n">
        <v>70200</v>
      </c>
      <c r="H748" t="n">
        <v>52400</v>
      </c>
      <c r="I748" t="n">
        <v>70200</v>
      </c>
      <c r="J748" t="b">
        <v>1</v>
      </c>
      <c r="K748" t="inlineStr">
        <is>
          <t>Unilever Indonesia Official Shop</t>
        </is>
      </c>
      <c r="L748" t="inlineStr">
        <is>
          <t>KOTA BEKASI</t>
        </is>
      </c>
      <c r="M748" t="n">
        <v>4131740162</v>
      </c>
      <c r="N748" t="n">
        <v>14318452</v>
      </c>
      <c r="O748">
        <f>HYPERLINK("https://shopee.co.id/api/v4/item/get?itemid=4131740162&amp;shopid=14318452", "Rinso Molto Deterjen Bubuk Pink 770 gr - Twin Pack")</f>
        <v/>
      </c>
      <c r="P748" t="n">
        <v>121</v>
      </c>
      <c r="Q748" t="n">
        <v>352</v>
      </c>
      <c r="R748" t="n">
        <v>4.945626477541371</v>
      </c>
      <c r="S748" t="n">
        <v>1</v>
      </c>
      <c r="T748" t="n">
        <v>3</v>
      </c>
      <c r="U748" t="n">
        <v>8</v>
      </c>
      <c r="V748" t="n">
        <v>63</v>
      </c>
      <c r="W748" t="n">
        <v>1617</v>
      </c>
    </row>
    <row r="749">
      <c r="A749" t="inlineStr">
        <is>
          <t>Lifebuoy Antibacterial Body Wash Mild Care 300 ml</t>
        </is>
      </c>
      <c r="B749" t="inlineStr">
        <is>
          <t>0</t>
        </is>
      </c>
      <c r="C749" t="inlineStr">
        <is>
          <t>19%</t>
        </is>
      </c>
      <c r="D749" t="n">
        <v>39600</v>
      </c>
      <c r="E749" t="n">
        <v>48600</v>
      </c>
      <c r="F749" t="n">
        <v>39600</v>
      </c>
      <c r="G749" t="n">
        <v>48600</v>
      </c>
      <c r="H749" t="n">
        <v>39600</v>
      </c>
      <c r="I749" t="n">
        <v>48600</v>
      </c>
      <c r="J749" t="b">
        <v>1</v>
      </c>
      <c r="K749" t="inlineStr">
        <is>
          <t>Unilever Indonesia Official Shop</t>
        </is>
      </c>
      <c r="L749" t="inlineStr">
        <is>
          <t>KOTA BEKASI</t>
        </is>
      </c>
      <c r="M749" t="n">
        <v>224777224</v>
      </c>
      <c r="N749" t="n">
        <v>14318452</v>
      </c>
      <c r="O749">
        <f>HYPERLINK("https://shopee.co.id/api/v4/item/get?itemid=224777224&amp;shopid=14318452", "Lifebuoy Antibacterial Body Wash Mild Care 300 ml")</f>
        <v/>
      </c>
      <c r="P749" t="n">
        <v>16</v>
      </c>
      <c r="Q749" t="n">
        <v>240</v>
      </c>
      <c r="R749" t="n">
        <v>4.910738255033557</v>
      </c>
      <c r="S749" t="n">
        <v>7</v>
      </c>
      <c r="T749" t="n">
        <v>3</v>
      </c>
      <c r="U749" t="n">
        <v>14</v>
      </c>
      <c r="V749" t="n">
        <v>68</v>
      </c>
      <c r="W749" t="n">
        <v>1398</v>
      </c>
    </row>
    <row r="750">
      <c r="A750" t="inlineStr">
        <is>
          <t>Rinso Molto Detergen Bubuk Japanese Peach 770 gr Twinpack</t>
        </is>
      </c>
      <c r="B750" t="inlineStr">
        <is>
          <t>Molto</t>
        </is>
      </c>
      <c r="C750" t="inlineStr">
        <is>
          <t>26%</t>
        </is>
      </c>
      <c r="D750" t="n">
        <v>51000</v>
      </c>
      <c r="E750" t="n">
        <v>68600</v>
      </c>
      <c r="F750" t="n">
        <v>51000</v>
      </c>
      <c r="G750" t="n">
        <v>68600</v>
      </c>
      <c r="H750" t="n">
        <v>51000</v>
      </c>
      <c r="I750" t="n">
        <v>68600</v>
      </c>
      <c r="J750" t="b">
        <v>1</v>
      </c>
      <c r="K750" t="inlineStr">
        <is>
          <t>Unilever Indonesia Official Shop</t>
        </is>
      </c>
      <c r="L750" t="inlineStr">
        <is>
          <t>KOTA BEKASI</t>
        </is>
      </c>
      <c r="M750" t="n">
        <v>5531085013</v>
      </c>
      <c r="N750" t="n">
        <v>14318452</v>
      </c>
      <c r="O750">
        <f>HYPERLINK("https://shopee.co.id/api/v4/item/get?itemid=5531085013&amp;shopid=14318452", "Rinso Molto Detergen Bubuk Japanese Peach 770 gr Twinpack")</f>
        <v/>
      </c>
      <c r="P750" t="n">
        <v>54</v>
      </c>
      <c r="Q750" t="n">
        <v>139</v>
      </c>
      <c r="R750" t="n">
        <v>4.951851851851852</v>
      </c>
      <c r="S750" t="n">
        <v>1</v>
      </c>
      <c r="T750" t="n">
        <v>3</v>
      </c>
      <c r="U750" t="n">
        <v>7</v>
      </c>
      <c r="V750" t="n">
        <v>41</v>
      </c>
      <c r="W750" t="n">
        <v>1299</v>
      </c>
    </row>
    <row r="751">
      <c r="A751" t="inlineStr">
        <is>
          <t>Jawara Saus Sambal Extra Hot 340 ml - Twin Pack</t>
        </is>
      </c>
      <c r="B751" t="inlineStr">
        <is>
          <t>0</t>
        </is>
      </c>
      <c r="C751" t="inlineStr">
        <is>
          <t>18%</t>
        </is>
      </c>
      <c r="D751" t="n">
        <v>35900</v>
      </c>
      <c r="E751" t="n">
        <v>43800</v>
      </c>
      <c r="F751" t="n">
        <v>35900</v>
      </c>
      <c r="G751" t="n">
        <v>43800</v>
      </c>
      <c r="H751" t="n">
        <v>35900</v>
      </c>
      <c r="I751" t="n">
        <v>43800</v>
      </c>
      <c r="J751" t="b">
        <v>1</v>
      </c>
      <c r="K751" t="inlineStr">
        <is>
          <t>Unilever Indonesia Official Shop</t>
        </is>
      </c>
      <c r="L751" t="inlineStr">
        <is>
          <t>KOTA BEKASI</t>
        </is>
      </c>
      <c r="M751" t="n">
        <v>6731394446</v>
      </c>
      <c r="N751" t="n">
        <v>14318452</v>
      </c>
      <c r="O751">
        <f>HYPERLINK("https://shopee.co.id/api/v4/item/get?itemid=6731394446&amp;shopid=14318452", "Jawara Saus Sambal Extra Hot 340 ml - Twin Pack")</f>
        <v/>
      </c>
      <c r="P751" t="n">
        <v>58</v>
      </c>
      <c r="Q751" t="n">
        <v>64</v>
      </c>
      <c r="R751" t="n">
        <v>4.920344456404736</v>
      </c>
      <c r="S751" t="n">
        <v>5</v>
      </c>
      <c r="T751" t="n">
        <v>3</v>
      </c>
      <c r="U751" t="n">
        <v>8</v>
      </c>
      <c r="V751" t="n">
        <v>32</v>
      </c>
      <c r="W751" t="n">
        <v>882</v>
      </c>
    </row>
    <row r="752">
      <c r="A752" t="inlineStr">
        <is>
          <t>Pepsodent Sensitive Mineral Expert Pasta Gigi Original Pasta Gigi Sensitive 100G Twin Pack</t>
        </is>
      </c>
      <c r="B752" t="inlineStr">
        <is>
          <t>Pepsodent</t>
        </is>
      </c>
      <c r="C752" t="inlineStr">
        <is>
          <t>28%</t>
        </is>
      </c>
      <c r="D752" t="n">
        <v>50000</v>
      </c>
      <c r="E752" t="n">
        <v>69300</v>
      </c>
      <c r="F752" t="n">
        <v>50000</v>
      </c>
      <c r="G752" t="n">
        <v>69300</v>
      </c>
      <c r="H752" t="n">
        <v>50000</v>
      </c>
      <c r="I752" t="n">
        <v>69300</v>
      </c>
      <c r="J752" t="b">
        <v>1</v>
      </c>
      <c r="K752" t="inlineStr">
        <is>
          <t>Unilever Indonesia Official Shop</t>
        </is>
      </c>
      <c r="L752" t="inlineStr">
        <is>
          <t>KOTA BEKASI</t>
        </is>
      </c>
      <c r="M752" t="n">
        <v>7631350960</v>
      </c>
      <c r="N752" t="n">
        <v>14318452</v>
      </c>
      <c r="O752">
        <f>HYPERLINK("https://shopee.co.id/api/v4/item/get?itemid=7631350960&amp;shopid=14318452", "Pepsodent Sensitive Mineral Expert Pasta Gigi Original Pasta Gigi Sensitive 100G Twin Pack")</f>
        <v/>
      </c>
      <c r="P752" t="n">
        <v>360</v>
      </c>
      <c r="Q752" t="n">
        <v>176</v>
      </c>
      <c r="R752" t="n">
        <v>4.924309392265194</v>
      </c>
      <c r="S752" t="n">
        <v>9</v>
      </c>
      <c r="T752" t="n">
        <v>7</v>
      </c>
      <c r="U752" t="n">
        <v>24</v>
      </c>
      <c r="V752" t="n">
        <v>169</v>
      </c>
      <c r="W752" t="n">
        <v>3411</v>
      </c>
    </row>
    <row r="753">
      <c r="A753" t="inlineStr">
        <is>
          <t>Rinso Matic Deterjen Cair Bukaan Atas 1.45 L Multi Pack</t>
        </is>
      </c>
      <c r="B753" t="inlineStr">
        <is>
          <t>Rinso</t>
        </is>
      </c>
      <c r="C753" t="inlineStr">
        <is>
          <t>22%</t>
        </is>
      </c>
      <c r="D753" t="n">
        <v>180300</v>
      </c>
      <c r="E753" t="n">
        <v>229700</v>
      </c>
      <c r="F753" t="n">
        <v>180300</v>
      </c>
      <c r="G753" t="n">
        <v>229700</v>
      </c>
      <c r="H753" t="n">
        <v>180300</v>
      </c>
      <c r="I753" t="n">
        <v>229700</v>
      </c>
      <c r="J753" t="b">
        <v>1</v>
      </c>
      <c r="K753" t="inlineStr">
        <is>
          <t>Unilever Indonesia Official Shop</t>
        </is>
      </c>
      <c r="L753" t="inlineStr">
        <is>
          <t>KOTA BEKASI</t>
        </is>
      </c>
      <c r="M753" t="n">
        <v>6532170348</v>
      </c>
      <c r="N753" t="n">
        <v>14318452</v>
      </c>
      <c r="O753">
        <f>HYPERLINK("https://shopee.co.id/api/v4/item/get?itemid=6532170348&amp;shopid=14318452", "Rinso Matic Deterjen Cair Bukaan Atas 1.45 L Multi Pack")</f>
        <v/>
      </c>
      <c r="P753" t="n">
        <v>176</v>
      </c>
      <c r="Q753" t="n">
        <v>476</v>
      </c>
      <c r="R753" t="n">
        <v>4.915392124959324</v>
      </c>
      <c r="S753" t="n">
        <v>22</v>
      </c>
      <c r="T753" t="n">
        <v>13</v>
      </c>
      <c r="U753" t="n">
        <v>29</v>
      </c>
      <c r="V753" t="n">
        <v>89</v>
      </c>
      <c r="W753" t="n">
        <v>2924</v>
      </c>
    </row>
    <row r="754">
      <c r="A754" t="inlineStr">
        <is>
          <t>Clear Men Shampo Cool Sport Menthol 160ML - TwinPack</t>
        </is>
      </c>
      <c r="B754" t="inlineStr">
        <is>
          <t>0</t>
        </is>
      </c>
      <c r="C754" t="inlineStr">
        <is>
          <t>15%</t>
        </is>
      </c>
      <c r="D754" t="n">
        <v>59000</v>
      </c>
      <c r="E754" t="n">
        <v>69200</v>
      </c>
      <c r="F754" t="n">
        <v>59000</v>
      </c>
      <c r="G754" t="n">
        <v>69200</v>
      </c>
      <c r="H754" t="n">
        <v>59000</v>
      </c>
      <c r="I754" t="n">
        <v>69200</v>
      </c>
      <c r="J754" t="b">
        <v>1</v>
      </c>
      <c r="K754" t="inlineStr">
        <is>
          <t>Unilever Indonesia Official Shop</t>
        </is>
      </c>
      <c r="L754" t="inlineStr">
        <is>
          <t>KOTA BEKASI</t>
        </is>
      </c>
      <c r="M754" t="n">
        <v>6330970391</v>
      </c>
      <c r="N754" t="n">
        <v>14318452</v>
      </c>
      <c r="O754">
        <f>HYPERLINK("https://shopee.co.id/api/v4/item/get?itemid=6330970391&amp;shopid=14318452", "Clear Men Shampo Cool Sport Menthol 160ML - TwinPack")</f>
        <v/>
      </c>
      <c r="P754" t="n">
        <v>49</v>
      </c>
      <c r="Q754" t="n">
        <v>272</v>
      </c>
      <c r="R754" t="n">
        <v>4.933758978451716</v>
      </c>
      <c r="S754" t="n">
        <v>1</v>
      </c>
      <c r="T754" t="n">
        <v>4</v>
      </c>
      <c r="U754" t="n">
        <v>5</v>
      </c>
      <c r="V754" t="n">
        <v>57</v>
      </c>
      <c r="W754" t="n">
        <v>1186</v>
      </c>
    </row>
    <row r="755">
      <c r="A755" t="inlineStr">
        <is>
          <t>Pond'S Tone Up Milk Mask / Masker Wajah Vitamin C 25G</t>
        </is>
      </c>
      <c r="B755" t="inlineStr">
        <is>
          <t>0</t>
        </is>
      </c>
      <c r="C755" t="inlineStr">
        <is>
          <t>11%</t>
        </is>
      </c>
      <c r="D755" t="n">
        <v>21300</v>
      </c>
      <c r="E755" t="n">
        <v>23800</v>
      </c>
      <c r="F755" t="n">
        <v>21300</v>
      </c>
      <c r="G755" t="n">
        <v>23800</v>
      </c>
      <c r="H755" t="n">
        <v>21300</v>
      </c>
      <c r="I755" t="n">
        <v>23800</v>
      </c>
      <c r="J755" t="b">
        <v>1</v>
      </c>
      <c r="K755" t="inlineStr">
        <is>
          <t>Unilever Indonesia Official Shop</t>
        </is>
      </c>
      <c r="L755" t="inlineStr">
        <is>
          <t>KOTA BEKASI</t>
        </is>
      </c>
      <c r="M755" t="n">
        <v>1637854995</v>
      </c>
      <c r="N755" t="n">
        <v>14318452</v>
      </c>
      <c r="O755">
        <f>HYPERLINK("https://shopee.co.id/api/v4/item/get?itemid=1637854995&amp;shopid=14318452", "Pond'S Tone Up Milk Mask / Masker Wajah Vitamin C 25G")</f>
        <v/>
      </c>
      <c r="P755" t="n">
        <v>80</v>
      </c>
      <c r="Q755" t="n">
        <v>515</v>
      </c>
      <c r="R755" t="n">
        <v>4.908417604329868</v>
      </c>
      <c r="S755" t="n">
        <v>23</v>
      </c>
      <c r="T755" t="n">
        <v>8</v>
      </c>
      <c r="U755" t="n">
        <v>70</v>
      </c>
      <c r="V755" t="n">
        <v>390</v>
      </c>
      <c r="W755" t="n">
        <v>6531</v>
      </c>
    </row>
    <row r="756">
      <c r="A756" t="inlineStr">
        <is>
          <t>Tresemme Shampoo Keratin Smooth 170ml Twin Pack</t>
        </is>
      </c>
      <c r="B756" t="inlineStr">
        <is>
          <t>0</t>
        </is>
      </c>
      <c r="C756" t="inlineStr">
        <is>
          <t>13%</t>
        </is>
      </c>
      <c r="D756" t="n">
        <v>65900</v>
      </c>
      <c r="E756" t="n">
        <v>75600</v>
      </c>
      <c r="F756" t="n">
        <v>65900</v>
      </c>
      <c r="G756" t="n">
        <v>75600</v>
      </c>
      <c r="H756" t="n">
        <v>65900</v>
      </c>
      <c r="I756" t="n">
        <v>75600</v>
      </c>
      <c r="J756" t="b">
        <v>1</v>
      </c>
      <c r="K756" t="inlineStr">
        <is>
          <t>Unilever Indonesia Official Shop</t>
        </is>
      </c>
      <c r="L756" t="inlineStr">
        <is>
          <t>KOTA BEKASI</t>
        </is>
      </c>
      <c r="M756" t="n">
        <v>5631733003</v>
      </c>
      <c r="N756" t="n">
        <v>14318452</v>
      </c>
      <c r="O756">
        <f>HYPERLINK("https://shopee.co.id/api/v4/item/get?itemid=5631733003&amp;shopid=14318452", "Tresemme Shampoo Keratin Smooth 170ml Twin Pack")</f>
        <v/>
      </c>
      <c r="P756" t="n">
        <v>53</v>
      </c>
      <c r="Q756" t="n">
        <v>981</v>
      </c>
      <c r="R756" t="n">
        <v>4.906273062730627</v>
      </c>
      <c r="S756" t="n">
        <v>6</v>
      </c>
      <c r="T756" t="n">
        <v>2</v>
      </c>
      <c r="U756" t="n">
        <v>10</v>
      </c>
      <c r="V756" t="n">
        <v>77</v>
      </c>
      <c r="W756" t="n">
        <v>1260</v>
      </c>
    </row>
    <row r="757">
      <c r="A757" t="inlineStr">
        <is>
          <t>Clear Hijab Pure Shampo Anti Ketombe Anti Lepek 160ml Membunuh Bakteri</t>
        </is>
      </c>
      <c r="B757" t="inlineStr">
        <is>
          <t>0</t>
        </is>
      </c>
      <c r="C757" t="inlineStr">
        <is>
          <t>16%</t>
        </is>
      </c>
      <c r="D757" t="n">
        <v>34300</v>
      </c>
      <c r="E757" t="n">
        <v>40700</v>
      </c>
      <c r="F757" t="n">
        <v>34300</v>
      </c>
      <c r="G757" t="n">
        <v>40700</v>
      </c>
      <c r="H757" t="n">
        <v>34300</v>
      </c>
      <c r="I757" t="n">
        <v>40700</v>
      </c>
      <c r="J757" t="b">
        <v>1</v>
      </c>
      <c r="K757" t="inlineStr">
        <is>
          <t>Unilever Indonesia Official Shop</t>
        </is>
      </c>
      <c r="L757" t="inlineStr">
        <is>
          <t>KOTA BEKASI</t>
        </is>
      </c>
      <c r="M757" t="n">
        <v>2684680626</v>
      </c>
      <c r="N757" t="n">
        <v>14318452</v>
      </c>
      <c r="O757">
        <f>HYPERLINK("https://shopee.co.id/api/v4/item/get?itemid=2684680626&amp;shopid=14318452", "Clear Hijab Pure Shampo Anti Ketombe Anti Lepek 160ml Membunuh Bakteri")</f>
        <v/>
      </c>
      <c r="P757" t="n">
        <v>51</v>
      </c>
      <c r="Q757" t="n">
        <v>128</v>
      </c>
      <c r="R757" t="n">
        <v>4.918158567774936</v>
      </c>
      <c r="S757" t="n">
        <v>2</v>
      </c>
      <c r="T757" t="n">
        <v>2</v>
      </c>
      <c r="U757" t="n">
        <v>7</v>
      </c>
      <c r="V757" t="n">
        <v>68</v>
      </c>
      <c r="W757" t="n">
        <v>1094</v>
      </c>
    </row>
    <row r="758">
      <c r="A758" t="inlineStr">
        <is>
          <t>Rinso Molto Royal Gold Powder 770 g - Perlindungan Dari Bakteri</t>
        </is>
      </c>
      <c r="B758" t="inlineStr">
        <is>
          <t>0</t>
        </is>
      </c>
      <c r="C758" t="inlineStr">
        <is>
          <t>13%</t>
        </is>
      </c>
      <c r="D758" t="n">
        <v>24100</v>
      </c>
      <c r="E758" t="n">
        <v>27700</v>
      </c>
      <c r="F758" t="n">
        <v>24100</v>
      </c>
      <c r="G758" t="n">
        <v>27700</v>
      </c>
      <c r="H758" t="n">
        <v>24100</v>
      </c>
      <c r="I758" t="n">
        <v>27700</v>
      </c>
      <c r="J758" t="b">
        <v>1</v>
      </c>
      <c r="K758" t="inlineStr">
        <is>
          <t>Unilever Indonesia Official Shop</t>
        </is>
      </c>
      <c r="L758" t="inlineStr">
        <is>
          <t>KOTA BEKASI</t>
        </is>
      </c>
      <c r="M758" t="n">
        <v>1921369060</v>
      </c>
      <c r="N758" t="n">
        <v>14318452</v>
      </c>
      <c r="O758">
        <f>HYPERLINK("https://shopee.co.id/api/v4/item/get?itemid=1921369060&amp;shopid=14318452", "Rinso Molto Royal Gold Powder 770 g - Perlindungan Dari Bakteri")</f>
        <v/>
      </c>
      <c r="P758" t="n">
        <v>65</v>
      </c>
      <c r="Q758" t="n">
        <v>316</v>
      </c>
      <c r="R758" t="n">
        <v>4.923237054384596</v>
      </c>
      <c r="S758" t="n">
        <v>7</v>
      </c>
      <c r="T758" t="n">
        <v>10</v>
      </c>
      <c r="U758" t="n">
        <v>22</v>
      </c>
      <c r="V758" t="n">
        <v>199</v>
      </c>
      <c r="W758" t="n">
        <v>3607</v>
      </c>
    </row>
    <row r="759">
      <c r="A759" t="inlineStr">
        <is>
          <t>LUX Botanicals Antibacterial Hand Wash Freesia &amp; Tea 220 ml</t>
        </is>
      </c>
      <c r="B759" t="inlineStr"/>
      <c r="C759" t="inlineStr">
        <is>
          <t>1%</t>
        </is>
      </c>
      <c r="D759" t="n">
        <v>15900</v>
      </c>
      <c r="E759" t="n">
        <v>16000</v>
      </c>
      <c r="F759" t="n">
        <v>15900</v>
      </c>
      <c r="G759" t="n">
        <v>16000</v>
      </c>
      <c r="H759" t="n">
        <v>15900</v>
      </c>
      <c r="I759" t="n">
        <v>16000</v>
      </c>
      <c r="J759" t="b">
        <v>1</v>
      </c>
      <c r="K759" t="inlineStr">
        <is>
          <t>Unilever Indonesia Official Shop</t>
        </is>
      </c>
      <c r="L759" t="inlineStr">
        <is>
          <t>KOTA SURABAYA</t>
        </is>
      </c>
      <c r="M759" t="n">
        <v>9814557131</v>
      </c>
      <c r="N759" t="n">
        <v>14318452</v>
      </c>
      <c r="O759">
        <f>HYPERLINK("https://shopee.co.id/api/v4/item/get?itemid=9814557131&amp;shopid=14318452", "LUX Botanicals Antibacterial Hand Wash Freesia &amp; Tea 220 ml")</f>
        <v/>
      </c>
      <c r="P759" t="n">
        <v>94</v>
      </c>
      <c r="Q759" t="n">
        <v>52</v>
      </c>
      <c r="R759" t="n">
        <v>4.922276197085357</v>
      </c>
      <c r="S759" t="n">
        <v>4</v>
      </c>
      <c r="T759" t="n">
        <v>3</v>
      </c>
      <c r="U759" t="n">
        <v>15</v>
      </c>
      <c r="V759" t="n">
        <v>57</v>
      </c>
      <c r="W759" t="n">
        <v>1362</v>
      </c>
    </row>
    <row r="760">
      <c r="A760" t="inlineStr">
        <is>
          <t>Pepsodent Nanosoft Sikat Gigi Charcoal isi 1 x2</t>
        </is>
      </c>
      <c r="B760" t="inlineStr">
        <is>
          <t>None</t>
        </is>
      </c>
      <c r="C760" t="inlineStr">
        <is>
          <t>19%</t>
        </is>
      </c>
      <c r="D760" t="n">
        <v>28000</v>
      </c>
      <c r="E760" t="n">
        <v>34700</v>
      </c>
      <c r="F760" t="n">
        <v>28000</v>
      </c>
      <c r="G760" t="n">
        <v>34700</v>
      </c>
      <c r="H760" t="n">
        <v>28000</v>
      </c>
      <c r="I760" t="n">
        <v>34700</v>
      </c>
      <c r="J760" t="b">
        <v>1</v>
      </c>
      <c r="K760" t="inlineStr">
        <is>
          <t>Unilever Indonesia Official Shop</t>
        </is>
      </c>
      <c r="L760" t="inlineStr">
        <is>
          <t>KOTA BEKASI</t>
        </is>
      </c>
      <c r="M760" t="n">
        <v>5932142656</v>
      </c>
      <c r="N760" t="n">
        <v>14318452</v>
      </c>
      <c r="O760">
        <f>HYPERLINK("https://shopee.co.id/api/v4/item/get?itemid=5932142656&amp;shopid=14318452", "Pepsodent Nanosoft Sikat Gigi Charcoal isi 1 x2")</f>
        <v/>
      </c>
      <c r="P760" t="n">
        <v>96</v>
      </c>
      <c r="Q760" t="n">
        <v>151</v>
      </c>
      <c r="R760" t="n">
        <v>4.914412872304005</v>
      </c>
      <c r="S760" t="n">
        <v>11</v>
      </c>
      <c r="T760" t="n">
        <v>9</v>
      </c>
      <c r="U760" t="n">
        <v>26</v>
      </c>
      <c r="V760" t="n">
        <v>133</v>
      </c>
      <c r="W760" t="n">
        <v>2744</v>
      </c>
    </row>
    <row r="761">
      <c r="A761" t="inlineStr">
        <is>
          <t>Lifebuoy Hand Sanitizer Spray Tangan Serbaguna 100Ml - Antiseptic Hand Sanitizer</t>
        </is>
      </c>
      <c r="B761" t="inlineStr">
        <is>
          <t>Lifebuoy</t>
        </is>
      </c>
      <c r="C761" t="inlineStr">
        <is>
          <t>17%</t>
        </is>
      </c>
      <c r="D761" t="n">
        <v>22800</v>
      </c>
      <c r="E761" t="n">
        <v>27500</v>
      </c>
      <c r="F761" t="n">
        <v>22800</v>
      </c>
      <c r="G761" t="n">
        <v>27500</v>
      </c>
      <c r="H761" t="n">
        <v>22800</v>
      </c>
      <c r="I761" t="n">
        <v>27500</v>
      </c>
      <c r="J761" t="b">
        <v>1</v>
      </c>
      <c r="K761" t="inlineStr">
        <is>
          <t>Unilever Indonesia Official Shop</t>
        </is>
      </c>
      <c r="L761" t="inlineStr">
        <is>
          <t>KOTA SEMARANG</t>
        </is>
      </c>
      <c r="M761" t="n">
        <v>7057024176</v>
      </c>
      <c r="N761" t="n">
        <v>14318452</v>
      </c>
      <c r="O761">
        <f>HYPERLINK("https://shopee.co.id/api/v4/item/get?itemid=7057024176&amp;shopid=14318452", "Lifebuoy Hand Sanitizer Spray Tangan Serbaguna 100Ml - Antiseptic Hand Sanitizer")</f>
        <v/>
      </c>
      <c r="P761" t="n">
        <v>29</v>
      </c>
      <c r="Q761" t="n">
        <v>280</v>
      </c>
      <c r="R761" t="n">
        <v>4.938561438561439</v>
      </c>
      <c r="S761" t="n">
        <v>3</v>
      </c>
      <c r="T761" t="n">
        <v>3</v>
      </c>
      <c r="U761" t="n">
        <v>12</v>
      </c>
      <c r="V761" t="n">
        <v>78</v>
      </c>
      <c r="W761" t="n">
        <v>1906</v>
      </c>
    </row>
    <row r="762">
      <c r="A762" t="inlineStr">
        <is>
          <t>Rinso Deterjen Bubuk Anti Noda 1.8 Kg Multi Pack</t>
        </is>
      </c>
      <c r="B762" t="inlineStr">
        <is>
          <t>Rinso</t>
        </is>
      </c>
      <c r="C762" t="inlineStr">
        <is>
          <t>26%</t>
        </is>
      </c>
      <c r="D762" t="n">
        <v>157500</v>
      </c>
      <c r="E762" t="n">
        <v>213700</v>
      </c>
      <c r="F762" t="n">
        <v>157500</v>
      </c>
      <c r="G762" t="n">
        <v>213700</v>
      </c>
      <c r="H762" t="n">
        <v>157500</v>
      </c>
      <c r="I762" t="n">
        <v>213700</v>
      </c>
      <c r="J762" t="b">
        <v>1</v>
      </c>
      <c r="K762" t="inlineStr">
        <is>
          <t>Unilever Indonesia Official Shop</t>
        </is>
      </c>
      <c r="L762" t="inlineStr">
        <is>
          <t>KOTA BEKASI</t>
        </is>
      </c>
      <c r="M762" t="n">
        <v>6031667053</v>
      </c>
      <c r="N762" t="n">
        <v>14318452</v>
      </c>
      <c r="O762">
        <f>HYPERLINK("https://shopee.co.id/api/v4/item/get?itemid=6031667053&amp;shopid=14318452", "Rinso Deterjen Bubuk Anti Noda 1.8 Kg Multi Pack")</f>
        <v/>
      </c>
      <c r="P762" t="n">
        <v>184</v>
      </c>
      <c r="Q762" t="n">
        <v>397</v>
      </c>
      <c r="R762" t="n">
        <v>4.94484412470024</v>
      </c>
      <c r="S762" t="n">
        <v>5</v>
      </c>
      <c r="T762" t="n">
        <v>2</v>
      </c>
      <c r="U762" t="n">
        <v>12</v>
      </c>
      <c r="V762" t="n">
        <v>88</v>
      </c>
      <c r="W762" t="n">
        <v>2395</v>
      </c>
    </row>
    <row r="763">
      <c r="A763" t="inlineStr">
        <is>
          <t>Dove Advanced Care Ultimate Repair Deodorant 40 ml - Multi Pack</t>
        </is>
      </c>
      <c r="B763" t="inlineStr">
        <is>
          <t>Dove</t>
        </is>
      </c>
      <c r="C763" t="inlineStr">
        <is>
          <t>23%</t>
        </is>
      </c>
      <c r="D763" t="n">
        <v>54700</v>
      </c>
      <c r="E763" t="n">
        <v>71000</v>
      </c>
      <c r="F763" t="n">
        <v>54700</v>
      </c>
      <c r="G763" t="n">
        <v>71000</v>
      </c>
      <c r="H763" t="n">
        <v>54700</v>
      </c>
      <c r="I763" t="n">
        <v>71000</v>
      </c>
      <c r="J763" t="b">
        <v>1</v>
      </c>
      <c r="K763" t="inlineStr">
        <is>
          <t>Unilever Indonesia Official Shop</t>
        </is>
      </c>
      <c r="L763" t="inlineStr">
        <is>
          <t>KOTA BEKASI</t>
        </is>
      </c>
      <c r="M763" t="n">
        <v>7931061708</v>
      </c>
      <c r="N763" t="n">
        <v>14318452</v>
      </c>
      <c r="O763">
        <f>HYPERLINK("https://shopee.co.id/api/v4/item/get?itemid=7931061708&amp;shopid=14318452", "Dove Advanced Care Ultimate Repair Deodorant 40 ml - Multi Pack")</f>
        <v/>
      </c>
      <c r="P763" t="n">
        <v>25</v>
      </c>
      <c r="Q763" t="n">
        <v>256</v>
      </c>
      <c r="R763" t="n">
        <v>4.919893190921228</v>
      </c>
      <c r="S763" t="n">
        <v>1</v>
      </c>
      <c r="T763" t="n">
        <v>2</v>
      </c>
      <c r="U763" t="n">
        <v>10</v>
      </c>
      <c r="V763" t="n">
        <v>33</v>
      </c>
      <c r="W763" t="n">
        <v>704</v>
      </c>
    </row>
    <row r="764">
      <c r="A764" t="inlineStr">
        <is>
          <t>Dove Shampo Perawatan Rambut Berkilau 135 Ml</t>
        </is>
      </c>
      <c r="B764" t="inlineStr">
        <is>
          <t>0</t>
        </is>
      </c>
      <c r="C764" t="inlineStr">
        <is>
          <t>1%</t>
        </is>
      </c>
      <c r="D764" t="n">
        <v>25300</v>
      </c>
      <c r="E764" t="n">
        <v>25500</v>
      </c>
      <c r="F764" t="n">
        <v>25300</v>
      </c>
      <c r="G764" t="n">
        <v>25500</v>
      </c>
      <c r="H764" t="n">
        <v>25300</v>
      </c>
      <c r="I764" t="n">
        <v>25500</v>
      </c>
      <c r="J764" t="b">
        <v>1</v>
      </c>
      <c r="K764" t="inlineStr">
        <is>
          <t>Unilever Indonesia Official Shop</t>
        </is>
      </c>
      <c r="L764" t="inlineStr">
        <is>
          <t>KOTA BEKASI</t>
        </is>
      </c>
      <c r="M764" t="n">
        <v>126977986</v>
      </c>
      <c r="N764" t="n">
        <v>14318452</v>
      </c>
      <c r="O764">
        <f>HYPERLINK("https://shopee.co.id/api/v4/item/get?itemid=126977986&amp;shopid=14318452", "Dove Shampo Perawatan Rambut Berkilau 135 Ml")</f>
        <v/>
      </c>
      <c r="P764" t="n">
        <v>84</v>
      </c>
      <c r="Q764" t="n">
        <v>228</v>
      </c>
      <c r="R764" t="n">
        <v>4.922248243559719</v>
      </c>
      <c r="S764" t="n">
        <v>6</v>
      </c>
      <c r="T764" t="n">
        <v>3</v>
      </c>
      <c r="U764" t="n">
        <v>17</v>
      </c>
      <c r="V764" t="n">
        <v>103</v>
      </c>
      <c r="W764" t="n">
        <v>2007</v>
      </c>
    </row>
    <row r="765">
      <c r="A765" t="inlineStr">
        <is>
          <t>Rinso Matic Deterjen Cair Bukaan Depan 1.45 Liter Multi Pack - Perlindungan Dari Bakteri</t>
        </is>
      </c>
      <c r="B765" t="inlineStr">
        <is>
          <t>Rinso</t>
        </is>
      </c>
      <c r="C765" t="inlineStr">
        <is>
          <t>21%</t>
        </is>
      </c>
      <c r="D765" t="n">
        <v>216400</v>
      </c>
      <c r="E765" t="n">
        <v>272500</v>
      </c>
      <c r="F765" t="n">
        <v>216400</v>
      </c>
      <c r="G765" t="n">
        <v>272500</v>
      </c>
      <c r="H765" t="n">
        <v>216400</v>
      </c>
      <c r="I765" t="n">
        <v>272500</v>
      </c>
      <c r="J765" t="b">
        <v>1</v>
      </c>
      <c r="K765" t="inlineStr">
        <is>
          <t>Unilever Indonesia Official Shop</t>
        </is>
      </c>
      <c r="L765" t="inlineStr">
        <is>
          <t>KOTA BEKASI</t>
        </is>
      </c>
      <c r="M765" t="n">
        <v>4637717525</v>
      </c>
      <c r="N765" t="n">
        <v>14318452</v>
      </c>
      <c r="O765">
        <f>HYPERLINK("https://shopee.co.id/api/v4/item/get?itemid=4637717525&amp;shopid=14318452", "Rinso Matic Deterjen Cair Bukaan Depan 1.45 Liter Multi Pack - Perlindungan Dari Bakteri")</f>
        <v/>
      </c>
      <c r="P765" t="n">
        <v>307</v>
      </c>
      <c r="Q765" t="n">
        <v>761</v>
      </c>
      <c r="R765" t="n">
        <v>4.924017003188098</v>
      </c>
      <c r="S765" t="n">
        <v>19</v>
      </c>
      <c r="T765" t="n">
        <v>11</v>
      </c>
      <c r="U765" t="n">
        <v>24</v>
      </c>
      <c r="V765" t="n">
        <v>139</v>
      </c>
      <c r="W765" t="n">
        <v>3574</v>
      </c>
    </row>
    <row r="766">
      <c r="A766" t="inlineStr">
        <is>
          <t>Royco Sup Krim Jagung 50 gr</t>
        </is>
      </c>
      <c r="B766" t="inlineStr">
        <is>
          <t>Royco</t>
        </is>
      </c>
      <c r="C766" t="inlineStr">
        <is>
          <t>9%</t>
        </is>
      </c>
      <c r="D766" t="n">
        <v>8600</v>
      </c>
      <c r="E766" t="n">
        <v>9400</v>
      </c>
      <c r="F766" t="n">
        <v>8600</v>
      </c>
      <c r="G766" t="n">
        <v>9400</v>
      </c>
      <c r="H766" t="n">
        <v>8600</v>
      </c>
      <c r="I766" t="n">
        <v>9400</v>
      </c>
      <c r="J766" t="b">
        <v>1</v>
      </c>
      <c r="K766" t="inlineStr">
        <is>
          <t>Unilever Indonesia Official Shop</t>
        </is>
      </c>
      <c r="L766" t="inlineStr">
        <is>
          <t>KOTA BEKASI</t>
        </is>
      </c>
      <c r="M766" t="n">
        <v>1480864130</v>
      </c>
      <c r="N766" t="n">
        <v>14318452</v>
      </c>
      <c r="O766">
        <f>HYPERLINK("https://shopee.co.id/api/v4/item/get?itemid=1480864130&amp;shopid=14318452", "Royco Sup Krim Jagung 50 gr")</f>
        <v/>
      </c>
      <c r="P766" t="n">
        <v>311</v>
      </c>
      <c r="Q766" t="n">
        <v>812</v>
      </c>
      <c r="R766" t="n">
        <v>4.931213351375733</v>
      </c>
      <c r="S766" t="n">
        <v>7</v>
      </c>
      <c r="T766" t="n">
        <v>8</v>
      </c>
      <c r="U766" t="n">
        <v>25</v>
      </c>
      <c r="V766" t="n">
        <v>203</v>
      </c>
      <c r="W766" t="n">
        <v>4191</v>
      </c>
    </row>
    <row r="767">
      <c r="A767" t="inlineStr">
        <is>
          <t>St. Ives Energizing Coconut &amp; Coffee Scrub 170 gr</t>
        </is>
      </c>
      <c r="B767" t="inlineStr">
        <is>
          <t>0</t>
        </is>
      </c>
      <c r="C767" t="inlineStr">
        <is>
          <t>4%</t>
        </is>
      </c>
      <c r="D767" t="n">
        <v>69700</v>
      </c>
      <c r="E767" t="n">
        <v>72500</v>
      </c>
      <c r="F767" t="n">
        <v>69700</v>
      </c>
      <c r="G767" t="n">
        <v>72500</v>
      </c>
      <c r="H767" t="n">
        <v>69700</v>
      </c>
      <c r="I767" t="n">
        <v>72500</v>
      </c>
      <c r="J767" t="b">
        <v>1</v>
      </c>
      <c r="K767" t="inlineStr">
        <is>
          <t>Unilever Indonesia Official Shop</t>
        </is>
      </c>
      <c r="L767" t="inlineStr">
        <is>
          <t>KOTA BEKASI</t>
        </is>
      </c>
      <c r="M767" t="n">
        <v>1340005043</v>
      </c>
      <c r="N767" t="n">
        <v>14318452</v>
      </c>
      <c r="O767">
        <f>HYPERLINK("https://shopee.co.id/api/v4/item/get?itemid=1340005043&amp;shopid=14318452", "St. Ives Energizing Coconut &amp; Coffee Scrub 170 gr")</f>
        <v/>
      </c>
      <c r="P767" t="n">
        <v>28</v>
      </c>
      <c r="Q767" t="n">
        <v>158</v>
      </c>
      <c r="R767" t="n">
        <v>4.906946189877756</v>
      </c>
      <c r="S767" t="n">
        <v>71</v>
      </c>
      <c r="T767" t="n">
        <v>28</v>
      </c>
      <c r="U767" t="n">
        <v>141</v>
      </c>
      <c r="V767" t="n">
        <v>979</v>
      </c>
      <c r="W767" t="n">
        <v>16287</v>
      </c>
    </row>
    <row r="768">
      <c r="A768" t="inlineStr">
        <is>
          <t>Sunlight Sabun Cuci Piring Jeruk Nipis Refill 400 ml</t>
        </is>
      </c>
      <c r="B768" t="inlineStr">
        <is>
          <t>Sunlight</t>
        </is>
      </c>
      <c r="C768" t="inlineStr">
        <is>
          <t>10%</t>
        </is>
      </c>
      <c r="D768" t="n">
        <v>14600</v>
      </c>
      <c r="E768" t="n">
        <v>16300</v>
      </c>
      <c r="F768" t="n">
        <v>14600</v>
      </c>
      <c r="G768" t="n">
        <v>16300</v>
      </c>
      <c r="H768" t="n">
        <v>14600</v>
      </c>
      <c r="I768" t="n">
        <v>16300</v>
      </c>
      <c r="J768" t="b">
        <v>1</v>
      </c>
      <c r="K768" t="inlineStr">
        <is>
          <t>Unilever Indonesia Official Shop</t>
        </is>
      </c>
      <c r="L768" t="inlineStr">
        <is>
          <t>KOTA MAKASSAR</t>
        </is>
      </c>
      <c r="M768" t="n">
        <v>5743287569</v>
      </c>
      <c r="N768" t="n">
        <v>14318452</v>
      </c>
      <c r="O768">
        <f>HYPERLINK("https://shopee.co.id/api/v4/item/get?itemid=5743287569&amp;shopid=14318452", "Sunlight Sabun Cuci Piring Jeruk Nipis Refill 400 ml")</f>
        <v/>
      </c>
      <c r="P768" t="n">
        <v>3</v>
      </c>
      <c r="Q768" t="n">
        <v>4</v>
      </c>
      <c r="R768" t="n">
        <v>4.930080876597965</v>
      </c>
      <c r="S768" t="n">
        <v>11</v>
      </c>
      <c r="T768" t="n">
        <v>2</v>
      </c>
      <c r="U768" t="n">
        <v>22</v>
      </c>
      <c r="V768" t="n">
        <v>174</v>
      </c>
      <c r="W768" t="n">
        <v>3624</v>
      </c>
    </row>
    <row r="769">
      <c r="A769" t="inlineStr">
        <is>
          <t>Clear Shampo Ice Cool Menthol 160ML - TwinPack</t>
        </is>
      </c>
      <c r="B769" t="inlineStr">
        <is>
          <t>0</t>
        </is>
      </c>
      <c r="C769" t="inlineStr">
        <is>
          <t>15%</t>
        </is>
      </c>
      <c r="D769" t="n">
        <v>58900</v>
      </c>
      <c r="E769" t="n">
        <v>69200</v>
      </c>
      <c r="F769" t="n">
        <v>58900</v>
      </c>
      <c r="G769" t="n">
        <v>69200</v>
      </c>
      <c r="H769" t="n">
        <v>58900</v>
      </c>
      <c r="I769" t="n">
        <v>69200</v>
      </c>
      <c r="J769" t="b">
        <v>1</v>
      </c>
      <c r="K769" t="inlineStr">
        <is>
          <t>Unilever Indonesia Official Shop</t>
        </is>
      </c>
      <c r="L769" t="inlineStr">
        <is>
          <t>KOTA BEKASI</t>
        </is>
      </c>
      <c r="M769" t="n">
        <v>5030975330</v>
      </c>
      <c r="N769" t="n">
        <v>14318452</v>
      </c>
      <c r="O769">
        <f>HYPERLINK("https://shopee.co.id/api/v4/item/get?itemid=5030975330&amp;shopid=14318452", "Clear Shampo Ice Cool Menthol 160ML - TwinPack")</f>
        <v/>
      </c>
      <c r="P769" t="n">
        <v>36</v>
      </c>
      <c r="Q769" t="n">
        <v>386</v>
      </c>
      <c r="R769" t="n">
        <v>4.92436974789916</v>
      </c>
      <c r="S769" t="n">
        <v>3</v>
      </c>
      <c r="T769" t="n">
        <v>1</v>
      </c>
      <c r="U769" t="n">
        <v>9</v>
      </c>
      <c r="V769" t="n">
        <v>48</v>
      </c>
      <c r="W769" t="n">
        <v>1010</v>
      </c>
    </row>
    <row r="770">
      <c r="A770" t="inlineStr">
        <is>
          <t>Jawara Saus Sambal Hot 130 ml - Twin Pack</t>
        </is>
      </c>
      <c r="B770" t="inlineStr">
        <is>
          <t>Jawara</t>
        </is>
      </c>
      <c r="C770" t="inlineStr">
        <is>
          <t>10%</t>
        </is>
      </c>
      <c r="D770" t="n">
        <v>14000</v>
      </c>
      <c r="E770" t="n">
        <v>15600</v>
      </c>
      <c r="F770" t="n">
        <v>14000</v>
      </c>
      <c r="G770" t="n">
        <v>15600</v>
      </c>
      <c r="H770" t="n">
        <v>14000</v>
      </c>
      <c r="I770" t="n">
        <v>15600</v>
      </c>
      <c r="J770" t="b">
        <v>1</v>
      </c>
      <c r="K770" t="inlineStr">
        <is>
          <t>Unilever Indonesia Official Shop</t>
        </is>
      </c>
      <c r="L770" t="inlineStr">
        <is>
          <t>KOTA BEKASI</t>
        </is>
      </c>
      <c r="M770" t="n">
        <v>7231395375</v>
      </c>
      <c r="N770" t="n">
        <v>14318452</v>
      </c>
      <c r="O770">
        <f>HYPERLINK("https://shopee.co.id/api/v4/item/get?itemid=7231395375&amp;shopid=14318452", "Jawara Saus Sambal Hot 130 ml - Twin Pack")</f>
        <v/>
      </c>
      <c r="P770" t="n">
        <v>27</v>
      </c>
      <c r="Q770" t="n">
        <v>99</v>
      </c>
      <c r="R770" t="n">
        <v>4.930451127819549</v>
      </c>
      <c r="S770" t="n">
        <v>3</v>
      </c>
      <c r="T770" t="n">
        <v>0</v>
      </c>
      <c r="U770" t="n">
        <v>6</v>
      </c>
      <c r="V770" t="n">
        <v>50</v>
      </c>
      <c r="W770" t="n">
        <v>1005</v>
      </c>
    </row>
    <row r="771">
      <c r="A771" t="inlineStr">
        <is>
          <t>Rinso Detergen Cair Anti Noda Active Fresh Yuzu &amp; Mint 700 ml - Perlindungan Dari Bakteri</t>
        </is>
      </c>
      <c r="B771" t="inlineStr">
        <is>
          <t>None</t>
        </is>
      </c>
      <c r="C771" t="inlineStr">
        <is>
          <t>15%</t>
        </is>
      </c>
      <c r="D771" t="n">
        <v>24600</v>
      </c>
      <c r="E771" t="n">
        <v>29100</v>
      </c>
      <c r="F771" t="n">
        <v>24600</v>
      </c>
      <c r="G771" t="n">
        <v>29100</v>
      </c>
      <c r="H771" t="n">
        <v>24600</v>
      </c>
      <c r="I771" t="n">
        <v>29100</v>
      </c>
      <c r="J771" t="b">
        <v>1</v>
      </c>
      <c r="K771" t="inlineStr">
        <is>
          <t>Unilever Indonesia Official Shop</t>
        </is>
      </c>
      <c r="L771" t="inlineStr">
        <is>
          <t>KOTA BEKASI</t>
        </is>
      </c>
      <c r="M771" t="n">
        <v>7218078098</v>
      </c>
      <c r="N771" t="n">
        <v>14318452</v>
      </c>
      <c r="O771">
        <f>HYPERLINK("https://shopee.co.id/api/v4/item/get?itemid=7218078098&amp;shopid=14318452", "Rinso Detergen Cair Anti Noda Active Fresh Yuzu &amp; Mint 700 ml - Perlindungan Dari Bakteri")</f>
        <v/>
      </c>
      <c r="P771" t="n">
        <v>63</v>
      </c>
      <c r="Q771" t="n">
        <v>141</v>
      </c>
      <c r="R771" t="n">
        <v>4.935779816513762</v>
      </c>
      <c r="S771" t="n">
        <v>17</v>
      </c>
      <c r="T771" t="n">
        <v>12</v>
      </c>
      <c r="U771" t="n">
        <v>33</v>
      </c>
      <c r="V771" t="n">
        <v>387</v>
      </c>
      <c r="W771" t="n">
        <v>8163</v>
      </c>
    </row>
    <row r="772">
      <c r="A772" t="inlineStr">
        <is>
          <t>Zwitsal Baby Bath Classic Refill Pouch 450ml Triple Pack</t>
        </is>
      </c>
      <c r="B772" t="inlineStr">
        <is>
          <t>Zwitsal</t>
        </is>
      </c>
      <c r="C772" t="inlineStr">
        <is>
          <t>22%</t>
        </is>
      </c>
      <c r="D772" t="n">
        <v>93900</v>
      </c>
      <c r="E772" t="n">
        <v>119900</v>
      </c>
      <c r="F772" t="n">
        <v>93900</v>
      </c>
      <c r="G772" t="n">
        <v>119900</v>
      </c>
      <c r="H772" t="n">
        <v>93900</v>
      </c>
      <c r="I772" t="n">
        <v>119900</v>
      </c>
      <c r="J772" t="b">
        <v>1</v>
      </c>
      <c r="K772" t="inlineStr">
        <is>
          <t>Unilever Indonesia Official Shop</t>
        </is>
      </c>
      <c r="L772" t="inlineStr">
        <is>
          <t>KOTA BEKASI</t>
        </is>
      </c>
      <c r="M772" t="n">
        <v>7631328410</v>
      </c>
      <c r="N772" t="n">
        <v>14318452</v>
      </c>
      <c r="O772">
        <f>HYPERLINK("https://shopee.co.id/api/v4/item/get?itemid=7631328410&amp;shopid=14318452", "Zwitsal Baby Bath Classic Refill Pouch 450ml Triple Pack")</f>
        <v/>
      </c>
      <c r="P772" t="n">
        <v>89</v>
      </c>
      <c r="Q772" t="n">
        <v>187</v>
      </c>
      <c r="R772" t="n">
        <v>4.964525407478428</v>
      </c>
      <c r="S772" t="n">
        <v>2</v>
      </c>
      <c r="T772" t="n">
        <v>2</v>
      </c>
      <c r="U772" t="n">
        <v>4</v>
      </c>
      <c r="V772" t="n">
        <v>19</v>
      </c>
      <c r="W772" t="n">
        <v>1017</v>
      </c>
    </row>
    <row r="773">
      <c r="A773" t="inlineStr">
        <is>
          <t>Lifebuoy SHAMPO Perawatan Rambut Kuat Berkilau dengan MilkNutriStrong &amp; Habbatussauda Pump 680ML</t>
        </is>
      </c>
      <c r="B773" t="inlineStr">
        <is>
          <t>Lifebuoy</t>
        </is>
      </c>
      <c r="C773" t="inlineStr">
        <is>
          <t>2%</t>
        </is>
      </c>
      <c r="D773" t="n">
        <v>180800</v>
      </c>
      <c r="E773" t="n">
        <v>185300</v>
      </c>
      <c r="F773" t="n">
        <v>180800</v>
      </c>
      <c r="G773" t="n">
        <v>185300</v>
      </c>
      <c r="H773" t="n">
        <v>180800</v>
      </c>
      <c r="I773" t="n">
        <v>185300</v>
      </c>
      <c r="J773" t="b">
        <v>1</v>
      </c>
      <c r="K773" t="inlineStr">
        <is>
          <t>Unilever Indonesia Official Shop</t>
        </is>
      </c>
      <c r="L773" t="inlineStr">
        <is>
          <t>KOTA BEKASI</t>
        </is>
      </c>
      <c r="M773" t="n">
        <v>5031359883</v>
      </c>
      <c r="N773" t="n">
        <v>14318452</v>
      </c>
      <c r="O773">
        <f>HYPERLINK("https://shopee.co.id/api/v4/item/get?itemid=5031359883&amp;shopid=14318452", "Lifebuoy SHAMPO Perawatan Rambut Kuat Berkilau dengan MilkNutriStrong &amp; Habbatussauda Pump 680ML")</f>
        <v/>
      </c>
      <c r="P773" t="n">
        <v>81</v>
      </c>
      <c r="Q773" t="n">
        <v>745</v>
      </c>
      <c r="R773" t="n">
        <v>4.934079105073911</v>
      </c>
      <c r="S773" t="n">
        <v>13</v>
      </c>
      <c r="T773" t="n">
        <v>7</v>
      </c>
      <c r="U773" t="n">
        <v>20</v>
      </c>
      <c r="V773" t="n">
        <v>66</v>
      </c>
      <c r="W773" t="n">
        <v>2401</v>
      </c>
    </row>
    <row r="774">
      <c r="A774" t="inlineStr">
        <is>
          <t>Lifebuoy Shampo Anti Ketombe Anti Dandruff Dgn Milknutristrong&amp;Active Zinc 680Mlx2</t>
        </is>
      </c>
      <c r="B774" t="inlineStr">
        <is>
          <t>Lifebuoy</t>
        </is>
      </c>
      <c r="C774" t="inlineStr">
        <is>
          <t>1%</t>
        </is>
      </c>
      <c r="D774" t="n">
        <v>122400</v>
      </c>
      <c r="E774" t="n">
        <v>123600</v>
      </c>
      <c r="F774" t="n">
        <v>122400</v>
      </c>
      <c r="G774" t="n">
        <v>123600</v>
      </c>
      <c r="H774" t="n">
        <v>122400</v>
      </c>
      <c r="I774" t="n">
        <v>123600</v>
      </c>
      <c r="J774" t="b">
        <v>1</v>
      </c>
      <c r="K774" t="inlineStr">
        <is>
          <t>Unilever Indonesia Official Shop</t>
        </is>
      </c>
      <c r="L774" t="inlineStr">
        <is>
          <t>KOTA BEKASI</t>
        </is>
      </c>
      <c r="M774" t="n">
        <v>5031360274</v>
      </c>
      <c r="N774" t="n">
        <v>14318452</v>
      </c>
      <c r="O774">
        <f>HYPERLINK("https://shopee.co.id/api/v4/item/get?itemid=5031360274&amp;shopid=14318452", "Lifebuoy Shampo Anti Ketombe Anti Dandruff Dgn Milknutristrong&amp;Active Zinc 680Mlx2")</f>
        <v/>
      </c>
      <c r="P774" t="n">
        <v>57</v>
      </c>
      <c r="Q774" t="n">
        <v>477</v>
      </c>
      <c r="R774" t="n">
        <v>4.929537366548042</v>
      </c>
      <c r="S774" t="n">
        <v>4</v>
      </c>
      <c r="T774" t="n">
        <v>7</v>
      </c>
      <c r="U774" t="n">
        <v>11</v>
      </c>
      <c r="V774" t="n">
        <v>46</v>
      </c>
      <c r="W774" t="n">
        <v>1339</v>
      </c>
    </row>
    <row r="775">
      <c r="A775" t="inlineStr">
        <is>
          <t>POND'S VITAMIN DUO SHEET MASK / MASKER WAJAH PINEAPPLE ENZYME + VITAMIN C 20G</t>
        </is>
      </c>
      <c r="B775" t="inlineStr">
        <is>
          <t>Pond's</t>
        </is>
      </c>
      <c r="C775" t="inlineStr">
        <is>
          <t>10%</t>
        </is>
      </c>
      <c r="D775" t="n">
        <v>20100</v>
      </c>
      <c r="E775" t="n">
        <v>22400</v>
      </c>
      <c r="F775" t="n">
        <v>20100</v>
      </c>
      <c r="G775" t="n">
        <v>22400</v>
      </c>
      <c r="H775" t="n">
        <v>20100</v>
      </c>
      <c r="I775" t="n">
        <v>22400</v>
      </c>
      <c r="J775" t="b">
        <v>1</v>
      </c>
      <c r="K775" t="inlineStr">
        <is>
          <t>Unilever Indonesia Official Shop</t>
        </is>
      </c>
      <c r="L775" t="inlineStr">
        <is>
          <t>KOTA BEKASI</t>
        </is>
      </c>
      <c r="M775" t="n">
        <v>4352484732</v>
      </c>
      <c r="N775" t="n">
        <v>14318452</v>
      </c>
      <c r="O775">
        <f>HYPERLINK("https://shopee.co.id/api/v4/item/get?itemid=4352484732&amp;shopid=14318452", "POND'S VITAMIN DUO SHEET MASK / MASKER WAJAH PINEAPPLE ENZYME + VITAMIN C 20G")</f>
        <v/>
      </c>
      <c r="P775" t="n">
        <v>25</v>
      </c>
      <c r="Q775" t="n">
        <v>472</v>
      </c>
      <c r="R775" t="n">
        <v>4.927184466019417</v>
      </c>
      <c r="S775" t="n">
        <v>6</v>
      </c>
      <c r="T775" t="n">
        <v>2</v>
      </c>
      <c r="U775" t="n">
        <v>12</v>
      </c>
      <c r="V775" t="n">
        <v>159</v>
      </c>
      <c r="W775" t="n">
        <v>2706</v>
      </c>
    </row>
    <row r="776">
      <c r="A776" t="inlineStr">
        <is>
          <t>Molto Pelembut Dan Pewangi Pakaian Eau De Parfum Enchanting Gold 720 ml</t>
        </is>
      </c>
      <c r="B776" t="inlineStr">
        <is>
          <t>Molto</t>
        </is>
      </c>
      <c r="C776" t="inlineStr">
        <is>
          <t>15%</t>
        </is>
      </c>
      <c r="D776" t="n">
        <v>24100</v>
      </c>
      <c r="E776" t="n">
        <v>28400</v>
      </c>
      <c r="F776" t="n">
        <v>24100</v>
      </c>
      <c r="G776" t="n">
        <v>28400</v>
      </c>
      <c r="H776" t="n">
        <v>24100</v>
      </c>
      <c r="I776" t="n">
        <v>28400</v>
      </c>
      <c r="J776" t="b">
        <v>1</v>
      </c>
      <c r="K776" t="inlineStr">
        <is>
          <t>Unilever Indonesia Official Shop</t>
        </is>
      </c>
      <c r="L776" t="inlineStr">
        <is>
          <t>KAB. BANYUASIN</t>
        </is>
      </c>
      <c r="M776" t="n">
        <v>7850854722</v>
      </c>
      <c r="N776" t="n">
        <v>14318452</v>
      </c>
      <c r="O776">
        <f>HYPERLINK("https://shopee.co.id/api/v4/item/get?itemid=7850854722&amp;shopid=14318452", "Molto Pelembut Dan Pewangi Pakaian Eau De Parfum Enchanting Gold 720 ml")</f>
        <v/>
      </c>
      <c r="P776" t="n">
        <v>247</v>
      </c>
      <c r="Q776" t="n">
        <v>76</v>
      </c>
      <c r="R776" t="n">
        <v>4.938959503399349</v>
      </c>
      <c r="S776" t="n">
        <v>22</v>
      </c>
      <c r="T776" t="n">
        <v>4</v>
      </c>
      <c r="U776" t="n">
        <v>32</v>
      </c>
      <c r="V776" t="n">
        <v>257</v>
      </c>
      <c r="W776" t="n">
        <v>6459</v>
      </c>
    </row>
    <row r="777">
      <c r="A777" t="inlineStr">
        <is>
          <t>Pepsodent Nanosoft Sikat Gigi Sensitive Multipack Isi 3 x3</t>
        </is>
      </c>
      <c r="B777" t="inlineStr">
        <is>
          <t>Pepsodent</t>
        </is>
      </c>
      <c r="C777" t="inlineStr">
        <is>
          <t>21%</t>
        </is>
      </c>
      <c r="D777" t="n">
        <v>70400</v>
      </c>
      <c r="E777" t="n">
        <v>89300</v>
      </c>
      <c r="F777" t="n">
        <v>70400</v>
      </c>
      <c r="G777" t="n">
        <v>89300</v>
      </c>
      <c r="H777" t="n">
        <v>70400</v>
      </c>
      <c r="I777" t="n">
        <v>89300</v>
      </c>
      <c r="J777" t="b">
        <v>1</v>
      </c>
      <c r="K777" t="inlineStr">
        <is>
          <t>Unilever Indonesia Official Shop</t>
        </is>
      </c>
      <c r="L777" t="inlineStr">
        <is>
          <t>KOTA BEKASI</t>
        </is>
      </c>
      <c r="M777" t="n">
        <v>4631368659</v>
      </c>
      <c r="N777" t="n">
        <v>14318452</v>
      </c>
      <c r="O777">
        <f>HYPERLINK("https://shopee.co.id/api/v4/item/get?itemid=4631368659&amp;shopid=14318452", "Pepsodent Nanosoft Sikat Gigi Sensitive Multipack Isi 3 x3")</f>
        <v/>
      </c>
      <c r="P777" t="n">
        <v>88</v>
      </c>
      <c r="Q777" t="n">
        <v>155</v>
      </c>
      <c r="R777" t="n">
        <v>4.942078364565588</v>
      </c>
      <c r="S777" t="n">
        <v>5</v>
      </c>
      <c r="T777" t="n">
        <v>0</v>
      </c>
      <c r="U777" t="n">
        <v>3</v>
      </c>
      <c r="V777" t="n">
        <v>42</v>
      </c>
      <c r="W777" t="n">
        <v>1124</v>
      </c>
    </row>
    <row r="778">
      <c r="A778" t="inlineStr">
        <is>
          <t>Royco Cream of Chicken 58 gr x 2 pcs</t>
        </is>
      </c>
      <c r="B778" t="inlineStr"/>
      <c r="C778" t="inlineStr">
        <is>
          <t>11%</t>
        </is>
      </c>
      <c r="D778" t="n">
        <v>16200</v>
      </c>
      <c r="E778" t="n">
        <v>18300</v>
      </c>
      <c r="F778" t="n">
        <v>16200</v>
      </c>
      <c r="G778" t="n">
        <v>18300</v>
      </c>
      <c r="H778" t="n">
        <v>16200</v>
      </c>
      <c r="I778" t="n">
        <v>18300</v>
      </c>
      <c r="J778" t="b">
        <v>1</v>
      </c>
      <c r="K778" t="inlineStr">
        <is>
          <t>Unilever Indonesia Official Shop</t>
        </is>
      </c>
      <c r="L778" t="inlineStr">
        <is>
          <t>KOTA BEKASI</t>
        </is>
      </c>
      <c r="M778" t="n">
        <v>7242334275</v>
      </c>
      <c r="N778" t="n">
        <v>14318452</v>
      </c>
      <c r="O778">
        <f>HYPERLINK("https://shopee.co.id/api/v4/item/get?itemid=7242334275&amp;shopid=14318452", "Royco Cream of Chicken 58 gr x 2 pcs")</f>
        <v/>
      </c>
      <c r="P778" t="n">
        <v>152</v>
      </c>
      <c r="Q778" t="n">
        <v>287</v>
      </c>
      <c r="R778" t="n">
        <v>4.944078947368421</v>
      </c>
      <c r="S778" t="n">
        <v>2</v>
      </c>
      <c r="T778" t="n">
        <v>4</v>
      </c>
      <c r="U778" t="n">
        <v>2</v>
      </c>
      <c r="V778" t="n">
        <v>64</v>
      </c>
      <c r="W778" t="n">
        <v>1449</v>
      </c>
    </row>
    <row r="779">
      <c r="A779" t="inlineStr">
        <is>
          <t>Sunlight Sabun Cuci Piring Dishwash Jeruk Nipis 10X Bersihkan Lemak Lebih Cepat 1100Mlx2</t>
        </is>
      </c>
      <c r="B779" t="inlineStr">
        <is>
          <t>0</t>
        </is>
      </c>
      <c r="C779" t="inlineStr">
        <is>
          <t>22%</t>
        </is>
      </c>
      <c r="D779" t="n">
        <v>61100</v>
      </c>
      <c r="E779" t="n">
        <v>78300</v>
      </c>
      <c r="F779" t="n">
        <v>61100</v>
      </c>
      <c r="G779" t="n">
        <v>78300</v>
      </c>
      <c r="H779" t="n">
        <v>61100</v>
      </c>
      <c r="I779" t="n">
        <v>78300</v>
      </c>
      <c r="J779" t="b">
        <v>1</v>
      </c>
      <c r="K779" t="inlineStr">
        <is>
          <t>Unilever Indonesia Official Shop</t>
        </is>
      </c>
      <c r="L779" t="inlineStr">
        <is>
          <t>KOTA BEKASI</t>
        </is>
      </c>
      <c r="M779" t="n">
        <v>5958365083</v>
      </c>
      <c r="N779" t="n">
        <v>14318452</v>
      </c>
      <c r="O779">
        <f>HYPERLINK("https://shopee.co.id/api/v4/item/get?itemid=5958365083&amp;shopid=14318452", "Sunlight Sabun Cuci Piring Dishwash Jeruk Nipis 10X Bersihkan Lemak Lebih Cepat 1100Mlx2")</f>
        <v/>
      </c>
      <c r="P779" t="n">
        <v>55</v>
      </c>
      <c r="Q779" t="n">
        <v>1080</v>
      </c>
      <c r="R779" t="n">
        <v>4.946058091286307</v>
      </c>
      <c r="S779" t="n">
        <v>4</v>
      </c>
      <c r="T779" t="n">
        <v>4</v>
      </c>
      <c r="U779" t="n">
        <v>14</v>
      </c>
      <c r="V779" t="n">
        <v>77</v>
      </c>
      <c r="W779" t="n">
        <v>2312</v>
      </c>
    </row>
    <row r="780">
      <c r="A780" t="inlineStr">
        <is>
          <t>Wipol Pembersih Lantai Anti Serangga Sereh &amp; Jeruk 750 ml x 2 Pcs</t>
        </is>
      </c>
      <c r="B780" t="inlineStr">
        <is>
          <t>Wipol</t>
        </is>
      </c>
      <c r="C780" t="inlineStr">
        <is>
          <t>27%</t>
        </is>
      </c>
      <c r="D780" t="n">
        <v>33400</v>
      </c>
      <c r="E780" t="n">
        <v>45900</v>
      </c>
      <c r="F780" t="n">
        <v>33400</v>
      </c>
      <c r="G780" t="n">
        <v>45900</v>
      </c>
      <c r="H780" t="n">
        <v>33400</v>
      </c>
      <c r="I780" t="n">
        <v>45900</v>
      </c>
      <c r="J780" t="b">
        <v>1</v>
      </c>
      <c r="K780" t="inlineStr">
        <is>
          <t>Unilever Indonesia Official Shop</t>
        </is>
      </c>
      <c r="L780" t="inlineStr">
        <is>
          <t>KOTA BEKASI</t>
        </is>
      </c>
      <c r="M780" t="n">
        <v>4661475276</v>
      </c>
      <c r="N780" t="n">
        <v>14318452</v>
      </c>
      <c r="O780">
        <f>HYPERLINK("https://shopee.co.id/api/v4/item/get?itemid=4661475276&amp;shopid=14318452", "Wipol Pembersih Lantai Anti Serangga Sereh &amp; Jeruk 750 ml x 2 Pcs")</f>
        <v/>
      </c>
      <c r="P780" t="n">
        <v>427</v>
      </c>
      <c r="Q780" t="n">
        <v>803</v>
      </c>
      <c r="R780" t="n">
        <v>4.95229151014275</v>
      </c>
      <c r="S780" t="n">
        <v>6</v>
      </c>
      <c r="T780" t="n">
        <v>4</v>
      </c>
      <c r="U780" t="n">
        <v>14</v>
      </c>
      <c r="V780" t="n">
        <v>70</v>
      </c>
      <c r="W780" t="n">
        <v>2570</v>
      </c>
    </row>
    <row r="781">
      <c r="A781" t="inlineStr">
        <is>
          <t>Rexona Men Anti Perspirant Deodorant Roll On Adventure 45ml Twin Pack</t>
        </is>
      </c>
      <c r="B781" t="inlineStr">
        <is>
          <t>0</t>
        </is>
      </c>
      <c r="C781" t="inlineStr">
        <is>
          <t>1%</t>
        </is>
      </c>
      <c r="D781" t="n">
        <v>38800</v>
      </c>
      <c r="E781" t="n">
        <v>39100</v>
      </c>
      <c r="F781" t="n">
        <v>38800</v>
      </c>
      <c r="G781" t="n">
        <v>39100</v>
      </c>
      <c r="H781" t="n">
        <v>38800</v>
      </c>
      <c r="I781" t="n">
        <v>39100</v>
      </c>
      <c r="J781" t="b">
        <v>1</v>
      </c>
      <c r="K781" t="inlineStr">
        <is>
          <t>Unilever Indonesia Official Shop</t>
        </is>
      </c>
      <c r="L781" t="inlineStr">
        <is>
          <t>KOTA BEKASI</t>
        </is>
      </c>
      <c r="M781" t="n">
        <v>6232156162</v>
      </c>
      <c r="N781" t="n">
        <v>14318452</v>
      </c>
      <c r="O781">
        <f>HYPERLINK("https://shopee.co.id/api/v4/item/get?itemid=6232156162&amp;shopid=14318452", "Rexona Men Anti Perspirant Deodorant Roll On Adventure 45ml Twin Pack")</f>
        <v/>
      </c>
      <c r="P781" t="n">
        <v>419</v>
      </c>
      <c r="Q781" t="n">
        <v>899</v>
      </c>
      <c r="R781" t="n">
        <v>4.903726708074534</v>
      </c>
      <c r="S781" t="n">
        <v>16</v>
      </c>
      <c r="T781" t="n">
        <v>7</v>
      </c>
      <c r="U781" t="n">
        <v>28</v>
      </c>
      <c r="V781" t="n">
        <v>173</v>
      </c>
      <c r="W781" t="n">
        <v>2997</v>
      </c>
    </row>
    <row r="782">
      <c r="A782" t="inlineStr">
        <is>
          <t>POND'S VITAMIN DUO SHEET MASK / MASKER WAJAH AVOCADO + VIT E 20G</t>
        </is>
      </c>
      <c r="B782" t="inlineStr">
        <is>
          <t>Pond's</t>
        </is>
      </c>
      <c r="C782" t="inlineStr">
        <is>
          <t>31%</t>
        </is>
      </c>
      <c r="D782" t="n">
        <v>13900</v>
      </c>
      <c r="E782" t="n">
        <v>20000</v>
      </c>
      <c r="F782" t="n">
        <v>13900</v>
      </c>
      <c r="G782" t="n">
        <v>20000</v>
      </c>
      <c r="H782" t="n">
        <v>13900</v>
      </c>
      <c r="I782" t="n">
        <v>20000</v>
      </c>
      <c r="J782" t="b">
        <v>1</v>
      </c>
      <c r="K782" t="inlineStr">
        <is>
          <t>Unilever Indonesia Official Shop</t>
        </is>
      </c>
      <c r="L782" t="inlineStr">
        <is>
          <t>KOTA BEKASI</t>
        </is>
      </c>
      <c r="M782" t="n">
        <v>4552486297</v>
      </c>
      <c r="N782" t="n">
        <v>14318452</v>
      </c>
      <c r="O782">
        <f>HYPERLINK("https://shopee.co.id/api/v4/item/get?itemid=4552486297&amp;shopid=14318452", "POND'S VITAMIN DUO SHEET MASK / MASKER WAJAH AVOCADO + VIT E 20G")</f>
        <v/>
      </c>
      <c r="P782" t="n">
        <v>50</v>
      </c>
      <c r="Q782" t="n">
        <v>44</v>
      </c>
      <c r="R782" t="n">
        <v>4.917676910064843</v>
      </c>
      <c r="S782" t="n">
        <v>7</v>
      </c>
      <c r="T782" t="n">
        <v>3</v>
      </c>
      <c r="U782" t="n">
        <v>23</v>
      </c>
      <c r="V782" t="n">
        <v>212</v>
      </c>
      <c r="W782" t="n">
        <v>3303</v>
      </c>
    </row>
    <row r="783">
      <c r="A783" t="inlineStr">
        <is>
          <t>Tresemme Kondisioner Hair Fall Control Conditioner Rambut Rontok Berkurang Hingga 10X* with TRESplex Technology 340 ML</t>
        </is>
      </c>
      <c r="B783" t="inlineStr"/>
      <c r="C783" t="inlineStr">
        <is>
          <t>17%</t>
        </is>
      </c>
      <c r="D783" t="n">
        <v>64000</v>
      </c>
      <c r="E783" t="n">
        <v>77500</v>
      </c>
      <c r="F783" t="n">
        <v>64000</v>
      </c>
      <c r="G783" t="n">
        <v>77500</v>
      </c>
      <c r="H783" t="n">
        <v>64000</v>
      </c>
      <c r="I783" t="n">
        <v>77500</v>
      </c>
      <c r="J783" t="b">
        <v>1</v>
      </c>
      <c r="K783" t="inlineStr">
        <is>
          <t>Unilever Indonesia Official Shop</t>
        </is>
      </c>
      <c r="L783" t="inlineStr">
        <is>
          <t>KOTA BEKASI</t>
        </is>
      </c>
      <c r="M783" t="n">
        <v>4269373168</v>
      </c>
      <c r="N783" t="n">
        <v>14318452</v>
      </c>
      <c r="O783">
        <f>HYPERLINK("https://shopee.co.id/api/v4/item/get?itemid=4269373168&amp;shopid=14318452", "Tresemme Kondisioner Hair Fall Control Conditioner Rambut Rontok Berkurang Hingga 10X* with TRESplex Technology 340 ML")</f>
        <v/>
      </c>
      <c r="P783" t="n">
        <v>381</v>
      </c>
      <c r="Q783" t="n">
        <v>475</v>
      </c>
      <c r="R783" t="n">
        <v>4.90095788902946</v>
      </c>
      <c r="S783" t="n">
        <v>21</v>
      </c>
      <c r="T783" t="n">
        <v>13</v>
      </c>
      <c r="U783" t="n">
        <v>55</v>
      </c>
      <c r="V783" t="n">
        <v>325</v>
      </c>
      <c r="W783" t="n">
        <v>5122</v>
      </c>
    </row>
    <row r="784">
      <c r="A784" t="inlineStr">
        <is>
          <t>Wipol Pembersih Lantai Sereh&amp;Jeruk Disinfektan Karbol Sereh Pel Lantai Antikuman 750Ml</t>
        </is>
      </c>
      <c r="B784" t="inlineStr">
        <is>
          <t>Wipol</t>
        </is>
      </c>
      <c r="C784" t="inlineStr">
        <is>
          <t>17%</t>
        </is>
      </c>
      <c r="D784" t="n">
        <v>15800</v>
      </c>
      <c r="E784" t="n">
        <v>19000</v>
      </c>
      <c r="F784" t="n">
        <v>15800</v>
      </c>
      <c r="G784" t="n">
        <v>19000</v>
      </c>
      <c r="H784" t="n">
        <v>15800</v>
      </c>
      <c r="I784" t="n">
        <v>19000</v>
      </c>
      <c r="J784" t="b">
        <v>1</v>
      </c>
      <c r="K784" t="inlineStr">
        <is>
          <t>Unilever Indonesia Official Shop</t>
        </is>
      </c>
      <c r="L784" t="inlineStr">
        <is>
          <t>KOTA BEKASI</t>
        </is>
      </c>
      <c r="M784" t="n">
        <v>1040498713</v>
      </c>
      <c r="N784" t="n">
        <v>14318452</v>
      </c>
      <c r="O784">
        <f>HYPERLINK("https://shopee.co.id/api/v4/item/get?itemid=1040498713&amp;shopid=14318452", "Wipol Pembersih Lantai Sereh&amp;Jeruk Disinfektan Karbol Sereh Pel Lantai Antikuman 750Ml")</f>
        <v/>
      </c>
      <c r="P784" t="n">
        <v>1203</v>
      </c>
      <c r="Q784" t="n">
        <v>1609</v>
      </c>
      <c r="R784" t="n">
        <v>4.943324436367766</v>
      </c>
      <c r="S784" t="n">
        <v>34</v>
      </c>
      <c r="T784" t="n">
        <v>12</v>
      </c>
      <c r="U784" t="n">
        <v>72</v>
      </c>
      <c r="V784" t="n">
        <v>693</v>
      </c>
      <c r="W784" t="n">
        <v>16801</v>
      </c>
    </row>
    <row r="785">
      <c r="A785" t="inlineStr">
        <is>
          <t>Clear Men Shampo Cool Sport Menthol 300ML - TwinPack</t>
        </is>
      </c>
      <c r="B785" t="inlineStr">
        <is>
          <t>Clear</t>
        </is>
      </c>
      <c r="C785" t="inlineStr">
        <is>
          <t>15%</t>
        </is>
      </c>
      <c r="D785" t="n">
        <v>108300</v>
      </c>
      <c r="E785" t="n">
        <v>126900</v>
      </c>
      <c r="F785" t="n">
        <v>108300</v>
      </c>
      <c r="G785" t="n">
        <v>126900</v>
      </c>
      <c r="H785" t="n">
        <v>108300</v>
      </c>
      <c r="I785" t="n">
        <v>126900</v>
      </c>
      <c r="J785" t="b">
        <v>1</v>
      </c>
      <c r="K785" t="inlineStr">
        <is>
          <t>Unilever Indonesia Official Shop</t>
        </is>
      </c>
      <c r="L785" t="inlineStr">
        <is>
          <t>KOTA BEKASI</t>
        </is>
      </c>
      <c r="M785" t="n">
        <v>4330975157</v>
      </c>
      <c r="N785" t="n">
        <v>14318452</v>
      </c>
      <c r="O785">
        <f>HYPERLINK("https://shopee.co.id/api/v4/item/get?itemid=4330975157&amp;shopid=14318452", "Clear Men Shampo Cool Sport Menthol 300ML - TwinPack")</f>
        <v/>
      </c>
      <c r="P785" t="n">
        <v>137</v>
      </c>
      <c r="Q785" t="n">
        <v>503</v>
      </c>
      <c r="R785" t="n">
        <v>4.911149825783972</v>
      </c>
      <c r="S785" t="n">
        <v>15</v>
      </c>
      <c r="T785" t="n">
        <v>6</v>
      </c>
      <c r="U785" t="n">
        <v>33</v>
      </c>
      <c r="V785" t="n">
        <v>119</v>
      </c>
      <c r="W785" t="n">
        <v>2699</v>
      </c>
    </row>
    <row r="786">
      <c r="A786" t="inlineStr">
        <is>
          <t>Zwitsal Hand Sanitizer 50 ml x 3 pcs</t>
        </is>
      </c>
      <c r="B786" t="inlineStr"/>
      <c r="C786" t="inlineStr">
        <is>
          <t>47%</t>
        </is>
      </c>
      <c r="D786" t="n">
        <v>22900</v>
      </c>
      <c r="E786" t="n">
        <v>43500</v>
      </c>
      <c r="F786" t="n">
        <v>22900</v>
      </c>
      <c r="G786" t="n">
        <v>43500</v>
      </c>
      <c r="H786" t="n">
        <v>22900</v>
      </c>
      <c r="I786" t="n">
        <v>43500</v>
      </c>
      <c r="J786" t="b">
        <v>1</v>
      </c>
      <c r="K786" t="inlineStr">
        <is>
          <t>Unilever Indonesia Official Shop</t>
        </is>
      </c>
      <c r="L786" t="inlineStr">
        <is>
          <t>KOTA BEKASI</t>
        </is>
      </c>
      <c r="M786" t="n">
        <v>6260152235</v>
      </c>
      <c r="N786" t="n">
        <v>14318452</v>
      </c>
      <c r="O786">
        <f>HYPERLINK("https://shopee.co.id/api/v4/item/get?itemid=6260152235&amp;shopid=14318452", "Zwitsal Hand Sanitizer 50 ml x 3 pcs")</f>
        <v/>
      </c>
      <c r="P786" t="n">
        <v>27</v>
      </c>
      <c r="Q786" t="n">
        <v>48</v>
      </c>
      <c r="R786" t="n">
        <v>4.939769707705935</v>
      </c>
      <c r="S786" t="n">
        <v>0</v>
      </c>
      <c r="T786" t="n">
        <v>1</v>
      </c>
      <c r="U786" t="n">
        <v>9</v>
      </c>
      <c r="V786" t="n">
        <v>47</v>
      </c>
      <c r="W786" t="n">
        <v>1072</v>
      </c>
    </row>
    <row r="787">
      <c r="A787" t="inlineStr">
        <is>
          <t>Vixal Pembersih Porselen Kuat Harum 470 ml - Bersihkan Kerak Dan Bunuh Kuman</t>
        </is>
      </c>
      <c r="B787" t="inlineStr">
        <is>
          <t>0</t>
        </is>
      </c>
      <c r="C787" t="inlineStr">
        <is>
          <t>27%</t>
        </is>
      </c>
      <c r="D787" t="n">
        <v>13700</v>
      </c>
      <c r="E787" t="n">
        <v>18800</v>
      </c>
      <c r="F787" t="n">
        <v>13700</v>
      </c>
      <c r="G787" t="n">
        <v>18800</v>
      </c>
      <c r="H787" t="n">
        <v>13700</v>
      </c>
      <c r="I787" t="n">
        <v>18800</v>
      </c>
      <c r="J787" t="b">
        <v>1</v>
      </c>
      <c r="K787" t="inlineStr">
        <is>
          <t>Unilever Indonesia Official Shop</t>
        </is>
      </c>
      <c r="L787" t="inlineStr">
        <is>
          <t>KOTA SURABAYA</t>
        </is>
      </c>
      <c r="M787" t="n">
        <v>1862435270</v>
      </c>
      <c r="N787" t="n">
        <v>14318452</v>
      </c>
      <c r="O787">
        <f>HYPERLINK("https://shopee.co.id/api/v4/item/get?itemid=1862435270&amp;shopid=14318452", "Vixal Pembersih Porselen Kuat Harum 470 ml - Bersihkan Kerak Dan Bunuh Kuman")</f>
        <v/>
      </c>
      <c r="P787" t="n">
        <v>310</v>
      </c>
      <c r="Q787" t="n">
        <v>178</v>
      </c>
      <c r="R787" t="n">
        <v>4.902580755426423</v>
      </c>
      <c r="S787" t="n">
        <v>13</v>
      </c>
      <c r="T787" t="n">
        <v>15</v>
      </c>
      <c r="U787" t="n">
        <v>65</v>
      </c>
      <c r="V787" t="n">
        <v>352</v>
      </c>
      <c r="W787" t="n">
        <v>5409</v>
      </c>
    </row>
    <row r="788">
      <c r="A788" t="inlineStr">
        <is>
          <t>Molto Pelembut Dan Pewangi Hygiene 720 ml Twinpack</t>
        </is>
      </c>
      <c r="B788" t="inlineStr">
        <is>
          <t>0</t>
        </is>
      </c>
      <c r="C788" t="inlineStr">
        <is>
          <t>36%</t>
        </is>
      </c>
      <c r="D788" t="n">
        <v>51500</v>
      </c>
      <c r="E788" t="n">
        <v>80500</v>
      </c>
      <c r="F788" t="n">
        <v>51500</v>
      </c>
      <c r="G788" t="n">
        <v>80500</v>
      </c>
      <c r="H788" t="n">
        <v>51500</v>
      </c>
      <c r="I788" t="n">
        <v>80500</v>
      </c>
      <c r="J788" t="b">
        <v>1</v>
      </c>
      <c r="K788" t="inlineStr">
        <is>
          <t>Unilever Indonesia Official Shop</t>
        </is>
      </c>
      <c r="L788" t="inlineStr">
        <is>
          <t>KOTA BEKASI</t>
        </is>
      </c>
      <c r="M788" t="n">
        <v>5358371020</v>
      </c>
      <c r="N788" t="n">
        <v>14318452</v>
      </c>
      <c r="O788">
        <f>HYPERLINK("https://shopee.co.id/api/v4/item/get?itemid=5358371020&amp;shopid=14318452", "Molto Pelembut Dan Pewangi Hygiene 720 ml Twinpack")</f>
        <v/>
      </c>
      <c r="P788" t="n">
        <v>72</v>
      </c>
      <c r="Q788" t="n">
        <v>83</v>
      </c>
      <c r="R788" t="n">
        <v>4.914386584289497</v>
      </c>
      <c r="S788" t="n">
        <v>6</v>
      </c>
      <c r="T788" t="n">
        <v>2</v>
      </c>
      <c r="U788" t="n">
        <v>10</v>
      </c>
      <c r="V788" t="n">
        <v>51</v>
      </c>
      <c r="W788" t="n">
        <v>1065</v>
      </c>
    </row>
    <row r="789">
      <c r="A789" t="inlineStr">
        <is>
          <t>Vaseline Peach Body Yogurt With Prebiotics 200 ml Twin Pack</t>
        </is>
      </c>
      <c r="B789" t="inlineStr">
        <is>
          <t>Vaseline</t>
        </is>
      </c>
      <c r="C789" t="inlineStr">
        <is>
          <t>12%</t>
        </is>
      </c>
      <c r="D789" t="n">
        <v>56400</v>
      </c>
      <c r="E789" t="n">
        <v>64200</v>
      </c>
      <c r="F789" t="n">
        <v>56400</v>
      </c>
      <c r="G789" t="n">
        <v>64200</v>
      </c>
      <c r="H789" t="n">
        <v>56400</v>
      </c>
      <c r="I789" t="n">
        <v>64200</v>
      </c>
      <c r="J789" t="b">
        <v>1</v>
      </c>
      <c r="K789" t="inlineStr">
        <is>
          <t>Unilever Indonesia Official Shop</t>
        </is>
      </c>
      <c r="L789" t="inlineStr">
        <is>
          <t>KOTA BEKASI</t>
        </is>
      </c>
      <c r="M789" t="n">
        <v>5258149655</v>
      </c>
      <c r="N789" t="n">
        <v>14318452</v>
      </c>
      <c r="O789">
        <f>HYPERLINK("https://shopee.co.id/api/v4/item/get?itemid=5258149655&amp;shopid=14318452", "Vaseline Peach Body Yogurt With Prebiotics 200 ml Twin Pack")</f>
        <v/>
      </c>
      <c r="P789" t="n">
        <v>17</v>
      </c>
      <c r="Q789" t="n">
        <v>134</v>
      </c>
      <c r="R789" t="n">
        <v>4.943469785575049</v>
      </c>
      <c r="S789" t="n">
        <v>2</v>
      </c>
      <c r="T789" t="n">
        <v>1</v>
      </c>
      <c r="U789" t="n">
        <v>12</v>
      </c>
      <c r="V789" t="n">
        <v>81</v>
      </c>
      <c r="W789" t="n">
        <v>1956</v>
      </c>
    </row>
    <row r="790">
      <c r="A790" t="inlineStr">
        <is>
          <t>Sunsilk Hijab Recharge Refresh &amp; Hair Fall Solution Shampoo 320 ml</t>
        </is>
      </c>
      <c r="B790" t="inlineStr">
        <is>
          <t>Sunsilk</t>
        </is>
      </c>
      <c r="C790" t="inlineStr">
        <is>
          <t>11%</t>
        </is>
      </c>
      <c r="D790" t="n">
        <v>46100</v>
      </c>
      <c r="E790" t="n">
        <v>51900</v>
      </c>
      <c r="F790" t="n">
        <v>46100</v>
      </c>
      <c r="G790" t="n">
        <v>51900</v>
      </c>
      <c r="H790" t="n">
        <v>46100</v>
      </c>
      <c r="I790" t="n">
        <v>51900</v>
      </c>
      <c r="J790" t="b">
        <v>1</v>
      </c>
      <c r="K790" t="inlineStr">
        <is>
          <t>Unilever Indonesia Official Shop</t>
        </is>
      </c>
      <c r="L790" t="inlineStr">
        <is>
          <t>KOTA BEKASI</t>
        </is>
      </c>
      <c r="M790" t="n">
        <v>127000657</v>
      </c>
      <c r="N790" t="n">
        <v>14318452</v>
      </c>
      <c r="O790">
        <f>HYPERLINK("https://shopee.co.id/api/v4/item/get?itemid=127000657&amp;shopid=14318452", "Sunsilk Hijab Recharge Refresh &amp; Hair Fall Solution Shampoo 320 ml")</f>
        <v/>
      </c>
      <c r="P790" t="n">
        <v>114</v>
      </c>
      <c r="Q790" t="n">
        <v>374</v>
      </c>
      <c r="R790" t="n">
        <v>4.925271449861614</v>
      </c>
      <c r="S790" t="n">
        <v>13</v>
      </c>
      <c r="T790" t="n">
        <v>6</v>
      </c>
      <c r="U790" t="n">
        <v>27</v>
      </c>
      <c r="V790" t="n">
        <v>230</v>
      </c>
      <c r="W790" t="n">
        <v>4422</v>
      </c>
    </row>
    <row r="791">
      <c r="A791" t="inlineStr">
        <is>
          <t>Sunsilk Shampoo Hijab Refresh &amp; Volume 170mL Twin Pack</t>
        </is>
      </c>
      <c r="B791" t="inlineStr"/>
      <c r="C791" t="inlineStr">
        <is>
          <t>12%</t>
        </is>
      </c>
      <c r="D791" t="n">
        <v>47300</v>
      </c>
      <c r="E791" t="n">
        <v>53500</v>
      </c>
      <c r="F791" t="n">
        <v>47300</v>
      </c>
      <c r="G791" t="n">
        <v>53500</v>
      </c>
      <c r="H791" t="n">
        <v>47300</v>
      </c>
      <c r="I791" t="n">
        <v>53500</v>
      </c>
      <c r="J791" t="b">
        <v>1</v>
      </c>
      <c r="K791" t="inlineStr">
        <is>
          <t>Unilever Indonesia Official Shop</t>
        </is>
      </c>
      <c r="L791" t="inlineStr">
        <is>
          <t>KOTA BEKASI</t>
        </is>
      </c>
      <c r="M791" t="n">
        <v>4232142299</v>
      </c>
      <c r="N791" t="n">
        <v>14318452</v>
      </c>
      <c r="O791">
        <f>HYPERLINK("https://shopee.co.id/api/v4/item/get?itemid=4232142299&amp;shopid=14318452", "Sunsilk Shampoo Hijab Refresh &amp; Volume 170mL Twin Pack")</f>
        <v/>
      </c>
      <c r="P791" t="n">
        <v>35</v>
      </c>
      <c r="Q791" t="n">
        <v>187</v>
      </c>
      <c r="R791" t="n">
        <v>4.932539682539683</v>
      </c>
      <c r="S791" t="n">
        <v>1</v>
      </c>
      <c r="T791" t="n">
        <v>0</v>
      </c>
      <c r="U791" t="n">
        <v>10</v>
      </c>
      <c r="V791" t="n">
        <v>27</v>
      </c>
      <c r="W791" t="n">
        <v>718</v>
      </c>
    </row>
    <row r="792">
      <c r="A792" t="inlineStr">
        <is>
          <t>Molto Pelembut Dan Pewangi Pakaian Japanese Peach 720 mL Twinpack</t>
        </is>
      </c>
      <c r="B792" t="inlineStr">
        <is>
          <t>Molto</t>
        </is>
      </c>
      <c r="C792" t="inlineStr">
        <is>
          <t>15%</t>
        </is>
      </c>
      <c r="D792" t="n">
        <v>44200</v>
      </c>
      <c r="E792" t="n">
        <v>52200</v>
      </c>
      <c r="F792" t="n">
        <v>44200</v>
      </c>
      <c r="G792" t="n">
        <v>52200</v>
      </c>
      <c r="H792" t="n">
        <v>44200</v>
      </c>
      <c r="I792" t="n">
        <v>52200</v>
      </c>
      <c r="J792" t="b">
        <v>1</v>
      </c>
      <c r="K792" t="inlineStr">
        <is>
          <t>Unilever Indonesia Official Shop</t>
        </is>
      </c>
      <c r="L792" t="inlineStr">
        <is>
          <t>KAB. BANYUASIN</t>
        </is>
      </c>
      <c r="M792" t="n">
        <v>3631247441</v>
      </c>
      <c r="N792" t="n">
        <v>14318452</v>
      </c>
      <c r="O792">
        <f>HYPERLINK("https://shopee.co.id/api/v4/item/get?itemid=3631247441&amp;shopid=14318452", "Molto Pelembut Dan Pewangi Pakaian Japanese Peach 720 mL Twinpack")</f>
        <v/>
      </c>
      <c r="P792" t="n">
        <v>23</v>
      </c>
      <c r="Q792" t="n">
        <v>14</v>
      </c>
      <c r="R792" t="n">
        <v>4.957661723619171</v>
      </c>
      <c r="S792" t="n">
        <v>12</v>
      </c>
      <c r="T792" t="n">
        <v>4</v>
      </c>
      <c r="U792" t="n">
        <v>15</v>
      </c>
      <c r="V792" t="n">
        <v>125</v>
      </c>
      <c r="W792" t="n">
        <v>4502</v>
      </c>
    </row>
    <row r="793">
      <c r="A793" t="inlineStr">
        <is>
          <t>Wipol Spray Disinfektan Pembersih Serbaguna Power Clean 500 ml Twinpack</t>
        </is>
      </c>
      <c r="B793" t="inlineStr">
        <is>
          <t>None</t>
        </is>
      </c>
      <c r="C793" t="inlineStr">
        <is>
          <t>18%</t>
        </is>
      </c>
      <c r="D793" t="n">
        <v>32700</v>
      </c>
      <c r="E793" t="n">
        <v>40000</v>
      </c>
      <c r="F793" t="n">
        <v>32700</v>
      </c>
      <c r="G793" t="n">
        <v>40000</v>
      </c>
      <c r="H793" t="n">
        <v>32700</v>
      </c>
      <c r="I793" t="n">
        <v>40000</v>
      </c>
      <c r="J793" t="b">
        <v>1</v>
      </c>
      <c r="K793" t="inlineStr">
        <is>
          <t>Unilever Indonesia Official Shop</t>
        </is>
      </c>
      <c r="L793" t="inlineStr">
        <is>
          <t>KOTA BEKASI</t>
        </is>
      </c>
      <c r="M793" t="n">
        <v>6133609137</v>
      </c>
      <c r="N793" t="n">
        <v>14318452</v>
      </c>
      <c r="O793">
        <f>HYPERLINK("https://shopee.co.id/api/v4/item/get?itemid=6133609137&amp;shopid=14318452", "Wipol Spray Disinfektan Pembersih Serbaguna Power Clean 500 ml Twinpack")</f>
        <v/>
      </c>
      <c r="P793" t="n">
        <v>53</v>
      </c>
      <c r="Q793" t="n">
        <v>1184</v>
      </c>
      <c r="R793" t="n">
        <v>4.896994134897361</v>
      </c>
      <c r="S793" t="n">
        <v>18</v>
      </c>
      <c r="T793" t="n">
        <v>13</v>
      </c>
      <c r="U793" t="n">
        <v>31</v>
      </c>
      <c r="V793" t="n">
        <v>118</v>
      </c>
      <c r="W793" t="n">
        <v>2551</v>
      </c>
    </row>
    <row r="794">
      <c r="A794" t="inlineStr">
        <is>
          <t>Molto Pelembut Dan Pewangi All In 1 Pink 720 ml</t>
        </is>
      </c>
      <c r="B794" t="inlineStr">
        <is>
          <t>None</t>
        </is>
      </c>
      <c r="C794" t="inlineStr">
        <is>
          <t>17%</t>
        </is>
      </c>
      <c r="D794" t="n">
        <v>24200</v>
      </c>
      <c r="E794" t="n">
        <v>29000</v>
      </c>
      <c r="F794" t="n">
        <v>24200</v>
      </c>
      <c r="G794" t="n">
        <v>29000</v>
      </c>
      <c r="H794" t="n">
        <v>24200</v>
      </c>
      <c r="I794" t="n">
        <v>29000</v>
      </c>
      <c r="J794" t="b">
        <v>0</v>
      </c>
      <c r="K794" t="inlineStr">
        <is>
          <t>Unilever Indonesia Official Shop</t>
        </is>
      </c>
      <c r="L794" t="inlineStr">
        <is>
          <t>KOTA BEKASI</t>
        </is>
      </c>
      <c r="M794" t="n">
        <v>2918571419</v>
      </c>
      <c r="N794" t="n">
        <v>14318452</v>
      </c>
      <c r="O794">
        <f>HYPERLINK("https://shopee.co.id/api/v4/item/get?itemid=2918571419&amp;shopid=14318452", "Molto Pelembut Dan Pewangi All In 1 Pink 720 ml")</f>
        <v/>
      </c>
      <c r="P794" t="n">
        <v>58</v>
      </c>
      <c r="Q794" t="n">
        <v>438</v>
      </c>
      <c r="R794" t="n">
        <v>4.951048951048951</v>
      </c>
      <c r="S794" t="n">
        <v>2</v>
      </c>
      <c r="T794" t="n">
        <v>0</v>
      </c>
      <c r="U794" t="n">
        <v>2</v>
      </c>
      <c r="V794" t="n">
        <v>23</v>
      </c>
      <c r="W794" t="n">
        <v>688</v>
      </c>
    </row>
    <row r="795">
      <c r="A795" t="inlineStr">
        <is>
          <t>Rinso Molto Deterjen Bubuk Rose Fresh 1.8 Kg Twin Pack</t>
        </is>
      </c>
      <c r="B795" t="inlineStr">
        <is>
          <t>Rinso</t>
        </is>
      </c>
      <c r="C795" t="inlineStr">
        <is>
          <t>14%</t>
        </is>
      </c>
      <c r="D795" t="n">
        <v>116200</v>
      </c>
      <c r="E795" t="n">
        <v>135900</v>
      </c>
      <c r="F795" t="n">
        <v>116200</v>
      </c>
      <c r="G795" t="n">
        <v>135900</v>
      </c>
      <c r="H795" t="n">
        <v>116200</v>
      </c>
      <c r="I795" t="n">
        <v>135900</v>
      </c>
      <c r="J795" t="b">
        <v>1</v>
      </c>
      <c r="K795" t="inlineStr">
        <is>
          <t>Unilever Indonesia Official Shop</t>
        </is>
      </c>
      <c r="L795" t="inlineStr">
        <is>
          <t>KOTA BEKASI</t>
        </is>
      </c>
      <c r="M795" t="n">
        <v>7231661279</v>
      </c>
      <c r="N795" t="n">
        <v>14318452</v>
      </c>
      <c r="O795">
        <f>HYPERLINK("https://shopee.co.id/api/v4/item/get?itemid=7231661279&amp;shopid=14318452", "Rinso Molto Deterjen Bubuk Rose Fresh 1.8 Kg Twin Pack")</f>
        <v/>
      </c>
      <c r="P795" t="n">
        <v>83</v>
      </c>
      <c r="Q795" t="n">
        <v>788</v>
      </c>
      <c r="R795" t="n">
        <v>4.950139362031589</v>
      </c>
      <c r="S795" t="n">
        <v>2</v>
      </c>
      <c r="T795" t="n">
        <v>3</v>
      </c>
      <c r="U795" t="n">
        <v>16</v>
      </c>
      <c r="V795" t="n">
        <v>112</v>
      </c>
      <c r="W795" t="n">
        <v>3096</v>
      </c>
    </row>
    <row r="796">
      <c r="A796" t="inlineStr">
        <is>
          <t>Pond’s Antibacterial Face Wipes, Alcohol-Free, with Refreshing Aloe Vera</t>
        </is>
      </c>
      <c r="B796" t="inlineStr">
        <is>
          <t>Pond's</t>
        </is>
      </c>
      <c r="C796" t="inlineStr">
        <is>
          <t>14%</t>
        </is>
      </c>
      <c r="D796" t="n">
        <v>15100</v>
      </c>
      <c r="E796" t="n">
        <v>17500</v>
      </c>
      <c r="F796" t="n">
        <v>15100</v>
      </c>
      <c r="G796" t="n">
        <v>17500</v>
      </c>
      <c r="H796" t="n">
        <v>15100</v>
      </c>
      <c r="I796" t="n">
        <v>17500</v>
      </c>
      <c r="J796" t="b">
        <v>1</v>
      </c>
      <c r="K796" t="inlineStr">
        <is>
          <t>Unilever Indonesia Official Shop</t>
        </is>
      </c>
      <c r="L796" t="inlineStr">
        <is>
          <t>KOTA SURABAYA</t>
        </is>
      </c>
      <c r="M796" t="n">
        <v>7056064466</v>
      </c>
      <c r="N796" t="n">
        <v>14318452</v>
      </c>
      <c r="O796">
        <f>HYPERLINK("https://shopee.co.id/api/v4/item/get?itemid=7056064466&amp;shopid=14318452", "Pond’s Antibacterial Face Wipes, Alcohol-Free, with Refreshing Aloe Vera")</f>
        <v/>
      </c>
      <c r="P796" t="n">
        <v>74</v>
      </c>
      <c r="Q796" t="n">
        <v>88</v>
      </c>
      <c r="R796" t="n">
        <v>4.905357142857143</v>
      </c>
      <c r="S796" t="n">
        <v>3</v>
      </c>
      <c r="T796" t="n">
        <v>0</v>
      </c>
      <c r="U796" t="n">
        <v>12</v>
      </c>
      <c r="V796" t="n">
        <v>70</v>
      </c>
      <c r="W796" t="n">
        <v>1035</v>
      </c>
    </row>
    <row r="797">
      <c r="A797" t="inlineStr">
        <is>
          <t>Lifebuoy Shampoo Strong and Shiny 340ml - Perawatan Rambut Berkilau</t>
        </is>
      </c>
      <c r="B797" t="inlineStr">
        <is>
          <t>0</t>
        </is>
      </c>
      <c r="C797" t="inlineStr">
        <is>
          <t>3%</t>
        </is>
      </c>
      <c r="D797" t="n">
        <v>44600</v>
      </c>
      <c r="E797" t="n">
        <v>45800</v>
      </c>
      <c r="F797" t="n">
        <v>44600</v>
      </c>
      <c r="G797" t="n">
        <v>45800</v>
      </c>
      <c r="H797" t="n">
        <v>44600</v>
      </c>
      <c r="I797" t="n">
        <v>45800</v>
      </c>
      <c r="J797" t="b">
        <v>1</v>
      </c>
      <c r="K797" t="inlineStr">
        <is>
          <t>Unilever Indonesia Official Shop</t>
        </is>
      </c>
      <c r="L797" t="inlineStr">
        <is>
          <t>KOTA BEKASI</t>
        </is>
      </c>
      <c r="M797" t="n">
        <v>224777305</v>
      </c>
      <c r="N797" t="n">
        <v>14318452</v>
      </c>
      <c r="O797">
        <f>HYPERLINK("https://shopee.co.id/api/v4/item/get?itemid=224777305&amp;shopid=14318452", "Lifebuoy Shampoo Strong and Shiny 340ml - Perawatan Rambut Berkilau")</f>
        <v/>
      </c>
      <c r="P797" t="n">
        <v>49</v>
      </c>
      <c r="Q797" t="n">
        <v>676</v>
      </c>
      <c r="R797" t="n">
        <v>4.939814814814815</v>
      </c>
      <c r="S797" t="n">
        <v>13</v>
      </c>
      <c r="T797" t="n">
        <v>9</v>
      </c>
      <c r="U797" t="n">
        <v>35</v>
      </c>
      <c r="V797" t="n">
        <v>270</v>
      </c>
      <c r="W797" t="n">
        <v>6586</v>
      </c>
    </row>
    <row r="798">
      <c r="A798" t="inlineStr">
        <is>
          <t>Ponds Age Miracle Eye Serum Mask 4G</t>
        </is>
      </c>
      <c r="B798" t="inlineStr"/>
      <c r="C798" t="inlineStr">
        <is>
          <t>16%</t>
        </is>
      </c>
      <c r="D798" t="n">
        <v>22900</v>
      </c>
      <c r="E798" t="n">
        <v>27400</v>
      </c>
      <c r="F798" t="n">
        <v>22900</v>
      </c>
      <c r="G798" t="n">
        <v>27400</v>
      </c>
      <c r="H798" t="n">
        <v>22900</v>
      </c>
      <c r="I798" t="n">
        <v>27400</v>
      </c>
      <c r="J798" t="b">
        <v>1</v>
      </c>
      <c r="K798" t="inlineStr">
        <is>
          <t>Unilever Indonesia Official Shop</t>
        </is>
      </c>
      <c r="L798" t="inlineStr">
        <is>
          <t>KOTA BEKASI</t>
        </is>
      </c>
      <c r="M798" t="n">
        <v>8819049353</v>
      </c>
      <c r="N798" t="n">
        <v>14318452</v>
      </c>
      <c r="O798">
        <f>HYPERLINK("https://shopee.co.id/api/v4/item/get?itemid=8819049353&amp;shopid=14318452", "Ponds Age Miracle Eye Serum Mask 4G")</f>
        <v/>
      </c>
      <c r="P798" t="n">
        <v>83</v>
      </c>
      <c r="Q798" t="n">
        <v>739</v>
      </c>
      <c r="R798" t="n">
        <v>4.90280629705681</v>
      </c>
      <c r="S798" t="n">
        <v>5</v>
      </c>
      <c r="T798" t="n">
        <v>3</v>
      </c>
      <c r="U798" t="n">
        <v>9</v>
      </c>
      <c r="V798" t="n">
        <v>95</v>
      </c>
      <c r="W798" t="n">
        <v>1349</v>
      </c>
    </row>
    <row r="799">
      <c r="A799" t="inlineStr">
        <is>
          <t>Rinso Deterjen Bubuk Anti Noda 1.8 Kg Twin Pack</t>
        </is>
      </c>
      <c r="B799" t="inlineStr">
        <is>
          <t>Rinso</t>
        </is>
      </c>
      <c r="C799" t="inlineStr">
        <is>
          <t>24%</t>
        </is>
      </c>
      <c r="D799" t="n">
        <v>107600</v>
      </c>
      <c r="E799" t="n">
        <v>142500</v>
      </c>
      <c r="F799" t="n">
        <v>107600</v>
      </c>
      <c r="G799" t="n">
        <v>142500</v>
      </c>
      <c r="H799" t="n">
        <v>107600</v>
      </c>
      <c r="I799" t="n">
        <v>142500</v>
      </c>
      <c r="J799" t="b">
        <v>1</v>
      </c>
      <c r="K799" t="inlineStr">
        <is>
          <t>Unilever Indonesia Official Shop</t>
        </is>
      </c>
      <c r="L799" t="inlineStr">
        <is>
          <t>KOTA BEKASI</t>
        </is>
      </c>
      <c r="M799" t="n">
        <v>5231668457</v>
      </c>
      <c r="N799" t="n">
        <v>14318452</v>
      </c>
      <c r="O799">
        <f>HYPERLINK("https://shopee.co.id/api/v4/item/get?itemid=5231668457&amp;shopid=14318452", "Rinso Deterjen Bubuk Anti Noda 1.8 Kg Twin Pack")</f>
        <v/>
      </c>
      <c r="P799" t="n">
        <v>125</v>
      </c>
      <c r="Q799" t="n">
        <v>598</v>
      </c>
      <c r="R799" t="n">
        <v>4.942569567791593</v>
      </c>
      <c r="S799" t="n">
        <v>6</v>
      </c>
      <c r="T799" t="n">
        <v>6</v>
      </c>
      <c r="U799" t="n">
        <v>8</v>
      </c>
      <c r="V799" t="n">
        <v>46</v>
      </c>
      <c r="W799" t="n">
        <v>1625</v>
      </c>
    </row>
    <row r="800">
      <c r="A800" t="inlineStr">
        <is>
          <t>Dove Deeply Nourishing Body Wash Refill 400 ml (Paket Isi 4)</t>
        </is>
      </c>
      <c r="B800" t="inlineStr">
        <is>
          <t>Dove</t>
        </is>
      </c>
      <c r="C800" t="inlineStr">
        <is>
          <t>35%</t>
        </is>
      </c>
      <c r="D800" t="n">
        <v>120900</v>
      </c>
      <c r="E800" t="n">
        <v>185000</v>
      </c>
      <c r="F800" t="n">
        <v>120900</v>
      </c>
      <c r="G800" t="n">
        <v>185000</v>
      </c>
      <c r="H800" t="n">
        <v>120900</v>
      </c>
      <c r="I800" t="n">
        <v>185000</v>
      </c>
      <c r="J800" t="b">
        <v>1</v>
      </c>
      <c r="K800" t="inlineStr">
        <is>
          <t>Unilever Indonesia Official Shop</t>
        </is>
      </c>
      <c r="L800" t="inlineStr">
        <is>
          <t>KOTA BEKASI</t>
        </is>
      </c>
      <c r="M800" t="n">
        <v>4231140991</v>
      </c>
      <c r="N800" t="n">
        <v>14318452</v>
      </c>
      <c r="O800">
        <f>HYPERLINK("https://shopee.co.id/api/v4/item/get?itemid=4231140991&amp;shopid=14318452", "Dove Deeply Nourishing Body Wash Refill 400 ml (Paket Isi 4)")</f>
        <v/>
      </c>
      <c r="P800" t="n">
        <v>241</v>
      </c>
      <c r="Q800" t="n">
        <v>1127</v>
      </c>
      <c r="R800" t="n">
        <v>4.950192914766749</v>
      </c>
      <c r="S800" t="n">
        <v>9</v>
      </c>
      <c r="T800" t="n">
        <v>3</v>
      </c>
      <c r="U800" t="n">
        <v>28</v>
      </c>
      <c r="V800" t="n">
        <v>186</v>
      </c>
      <c r="W800" t="n">
        <v>5477</v>
      </c>
    </row>
    <row r="801">
      <c r="A801" t="inlineStr">
        <is>
          <t>Ponds Age Miracle AntiAging+Glowing Serum 30ml &amp; Facial Wash 100g dgn Retinol&amp;Niacinamide</t>
        </is>
      </c>
      <c r="B801" t="inlineStr">
        <is>
          <t>Pond's</t>
        </is>
      </c>
      <c r="C801" t="inlineStr">
        <is>
          <t>21%</t>
        </is>
      </c>
      <c r="D801" t="n">
        <v>241200</v>
      </c>
      <c r="E801" t="n">
        <v>306000</v>
      </c>
      <c r="F801" t="n">
        <v>241200</v>
      </c>
      <c r="G801" t="n">
        <v>306000</v>
      </c>
      <c r="H801" t="n">
        <v>241200</v>
      </c>
      <c r="I801" t="n">
        <v>306000</v>
      </c>
      <c r="J801" t="b">
        <v>1</v>
      </c>
      <c r="K801" t="inlineStr">
        <is>
          <t>Unilever Indonesia Official Shop</t>
        </is>
      </c>
      <c r="L801" t="inlineStr">
        <is>
          <t>KOTA BEKASI</t>
        </is>
      </c>
      <c r="M801" t="n">
        <v>7358132679</v>
      </c>
      <c r="N801" t="n">
        <v>14318452</v>
      </c>
      <c r="O801">
        <f>HYPERLINK("https://shopee.co.id/api/v4/item/get?itemid=7358132679&amp;shopid=14318452", "Ponds Age Miracle AntiAging+Glowing Serum 30ml &amp; Facial Wash 100g dgn Retinol&amp;Niacinamide")</f>
        <v/>
      </c>
      <c r="P801" t="n">
        <v>77</v>
      </c>
      <c r="Q801" t="n">
        <v>1149</v>
      </c>
      <c r="R801" t="n">
        <v>4.93370889558496</v>
      </c>
      <c r="S801" t="n">
        <v>15</v>
      </c>
      <c r="T801" t="n">
        <v>10</v>
      </c>
      <c r="U801" t="n">
        <v>46</v>
      </c>
      <c r="V801" t="n">
        <v>335</v>
      </c>
      <c r="W801" t="n">
        <v>7231</v>
      </c>
    </row>
    <row r="802">
      <c r="A802" t="inlineStr">
        <is>
          <t>Lux Botanicals Body Wash Refill Soft Rose Kulit Lembut 400ml (Paket Isi 4)</t>
        </is>
      </c>
      <c r="B802" t="inlineStr">
        <is>
          <t>LUX</t>
        </is>
      </c>
      <c r="C802" t="inlineStr">
        <is>
          <t>27%</t>
        </is>
      </c>
      <c r="D802" t="n">
        <v>89900</v>
      </c>
      <c r="E802" t="n">
        <v>123500</v>
      </c>
      <c r="F802" t="n">
        <v>89900</v>
      </c>
      <c r="G802" t="n">
        <v>123500</v>
      </c>
      <c r="H802" t="n">
        <v>89900</v>
      </c>
      <c r="I802" t="n">
        <v>123500</v>
      </c>
      <c r="J802" t="b">
        <v>1</v>
      </c>
      <c r="K802" t="inlineStr">
        <is>
          <t>Unilever Indonesia Official Shop</t>
        </is>
      </c>
      <c r="L802" t="inlineStr">
        <is>
          <t>KOTA BEKASI</t>
        </is>
      </c>
      <c r="M802" t="n">
        <v>3531443414</v>
      </c>
      <c r="N802" t="n">
        <v>14318452</v>
      </c>
      <c r="O802">
        <f>HYPERLINK("https://shopee.co.id/api/v4/item/get?itemid=3531443414&amp;shopid=14318452", "Lux Botanicals Body Wash Refill Soft Rose Kulit Lembut 400ml (Paket Isi 4)")</f>
        <v/>
      </c>
      <c r="P802" t="n">
        <v>96</v>
      </c>
      <c r="Q802" t="n">
        <v>8</v>
      </c>
      <c r="R802" t="n">
        <v>4.91383055756698</v>
      </c>
      <c r="S802" t="n">
        <v>10</v>
      </c>
      <c r="T802" t="n">
        <v>4</v>
      </c>
      <c r="U802" t="n">
        <v>6</v>
      </c>
      <c r="V802" t="n">
        <v>55</v>
      </c>
      <c r="W802" t="n">
        <v>1306</v>
      </c>
    </row>
    <row r="803">
      <c r="A803" t="inlineStr">
        <is>
          <t>Buavita Apple 250ml Twin Pack</t>
        </is>
      </c>
      <c r="B803" t="inlineStr">
        <is>
          <t>0</t>
        </is>
      </c>
      <c r="C803" t="inlineStr">
        <is>
          <t>24%</t>
        </is>
      </c>
      <c r="D803" t="n">
        <v>11400</v>
      </c>
      <c r="E803" t="n">
        <v>15000</v>
      </c>
      <c r="F803" t="n">
        <v>11400</v>
      </c>
      <c r="G803" t="n">
        <v>15000</v>
      </c>
      <c r="H803" t="n">
        <v>11400</v>
      </c>
      <c r="I803" t="n">
        <v>15000</v>
      </c>
      <c r="J803" t="b">
        <v>1</v>
      </c>
      <c r="K803" t="inlineStr">
        <is>
          <t>Unilever Indonesia Official Shop</t>
        </is>
      </c>
      <c r="L803" t="inlineStr">
        <is>
          <t>KOTA BEKASI</t>
        </is>
      </c>
      <c r="M803" t="n">
        <v>7931691643</v>
      </c>
      <c r="N803" t="n">
        <v>14318452</v>
      </c>
      <c r="O803">
        <f>HYPERLINK("https://shopee.co.id/api/v4/item/get?itemid=7931691643&amp;shopid=14318452", "Buavita Apple 250ml Twin Pack")</f>
        <v/>
      </c>
      <c r="P803" t="n">
        <v>22</v>
      </c>
      <c r="Q803" t="n">
        <v>142</v>
      </c>
      <c r="R803" t="n">
        <v>4.917479369842461</v>
      </c>
      <c r="S803" t="n">
        <v>3</v>
      </c>
      <c r="T803" t="n">
        <v>3</v>
      </c>
      <c r="U803" t="n">
        <v>14</v>
      </c>
      <c r="V803" t="n">
        <v>64</v>
      </c>
      <c r="W803" t="n">
        <v>1250</v>
      </c>
    </row>
    <row r="804">
      <c r="A804" t="inlineStr">
        <is>
          <t>Vaseline Blueberry Body Yogurt With Prebiotics 200 ml Twin Pack</t>
        </is>
      </c>
      <c r="B804" t="inlineStr">
        <is>
          <t>Vaseline</t>
        </is>
      </c>
      <c r="C804" t="inlineStr">
        <is>
          <t>11%</t>
        </is>
      </c>
      <c r="D804" t="n">
        <v>61100</v>
      </c>
      <c r="E804" t="n">
        <v>69000</v>
      </c>
      <c r="F804" t="n">
        <v>61100</v>
      </c>
      <c r="G804" t="n">
        <v>69000</v>
      </c>
      <c r="H804" t="n">
        <v>61100</v>
      </c>
      <c r="I804" t="n">
        <v>69000</v>
      </c>
      <c r="J804" t="b">
        <v>1</v>
      </c>
      <c r="K804" t="inlineStr">
        <is>
          <t>Unilever Indonesia Official Shop</t>
        </is>
      </c>
      <c r="L804" t="inlineStr">
        <is>
          <t>KOTA BEKASI</t>
        </is>
      </c>
      <c r="M804" t="n">
        <v>3758242190</v>
      </c>
      <c r="N804" t="n">
        <v>14318452</v>
      </c>
      <c r="O804">
        <f>HYPERLINK("https://shopee.co.id/api/v4/item/get?itemid=3758242190&amp;shopid=14318452", "Vaseline Blueberry Body Yogurt With Prebiotics 200 ml Twin Pack")</f>
        <v/>
      </c>
      <c r="P804" t="n">
        <v>34</v>
      </c>
      <c r="Q804" t="n">
        <v>232</v>
      </c>
      <c r="R804" t="n">
        <v>4.940889370932755</v>
      </c>
      <c r="S804" t="n">
        <v>3</v>
      </c>
      <c r="T804" t="n">
        <v>1</v>
      </c>
      <c r="U804" t="n">
        <v>4</v>
      </c>
      <c r="V804" t="n">
        <v>89</v>
      </c>
      <c r="W804" t="n">
        <v>1748</v>
      </c>
    </row>
    <row r="805">
      <c r="A805" t="inlineStr">
        <is>
          <t>Jawara Saus Sambal Bawang Goreng Hot Pouch 250ML Twin Pack</t>
        </is>
      </c>
      <c r="B805" t="inlineStr">
        <is>
          <t>Jawara</t>
        </is>
      </c>
      <c r="C805" t="inlineStr">
        <is>
          <t>14%</t>
        </is>
      </c>
      <c r="D805" t="n">
        <v>25900</v>
      </c>
      <c r="E805" t="n">
        <v>30000</v>
      </c>
      <c r="F805" t="n">
        <v>25900</v>
      </c>
      <c r="G805" t="n">
        <v>30000</v>
      </c>
      <c r="H805" t="n">
        <v>25900</v>
      </c>
      <c r="I805" t="n">
        <v>30000</v>
      </c>
      <c r="J805" t="b">
        <v>1</v>
      </c>
      <c r="K805" t="inlineStr">
        <is>
          <t>Unilever Indonesia Official Shop</t>
        </is>
      </c>
      <c r="L805" t="inlineStr">
        <is>
          <t>KOTA BEKASI</t>
        </is>
      </c>
      <c r="M805" t="n">
        <v>4231086860</v>
      </c>
      <c r="N805" t="n">
        <v>14318452</v>
      </c>
      <c r="O805">
        <f>HYPERLINK("https://shopee.co.id/api/v4/item/get?itemid=4231086860&amp;shopid=14318452", "Jawara Saus Sambal Bawang Goreng Hot Pouch 250ML Twin Pack")</f>
        <v/>
      </c>
      <c r="P805" t="n">
        <v>79</v>
      </c>
      <c r="Q805" t="n">
        <v>301</v>
      </c>
      <c r="R805" t="n">
        <v>4.941238195173137</v>
      </c>
      <c r="S805" t="n">
        <v>1</v>
      </c>
      <c r="T805" t="n">
        <v>0</v>
      </c>
      <c r="U805" t="n">
        <v>6</v>
      </c>
      <c r="V805" t="n">
        <v>40</v>
      </c>
      <c r="W805" t="n">
        <v>906</v>
      </c>
    </row>
    <row r="806">
      <c r="A806" t="inlineStr">
        <is>
          <t>Lifebuoy Shampoo Strong &amp; Shiny 170ml Twin Pack</t>
        </is>
      </c>
      <c r="B806" t="inlineStr">
        <is>
          <t>Lifebuoy</t>
        </is>
      </c>
      <c r="C806" t="inlineStr">
        <is>
          <t>1%</t>
        </is>
      </c>
      <c r="D806" t="n">
        <v>50900</v>
      </c>
      <c r="E806" t="n">
        <v>51400</v>
      </c>
      <c r="F806" t="n">
        <v>50900</v>
      </c>
      <c r="G806" t="n">
        <v>51400</v>
      </c>
      <c r="H806" t="n">
        <v>50900</v>
      </c>
      <c r="I806" t="n">
        <v>51400</v>
      </c>
      <c r="J806" t="b">
        <v>1</v>
      </c>
      <c r="K806" t="inlineStr">
        <is>
          <t>Unilever Indonesia Official Shop</t>
        </is>
      </c>
      <c r="L806" t="inlineStr">
        <is>
          <t>KOTA BEKASI</t>
        </is>
      </c>
      <c r="M806" t="n">
        <v>5731329360</v>
      </c>
      <c r="N806" t="n">
        <v>14318452</v>
      </c>
      <c r="O806">
        <f>HYPERLINK("https://shopee.co.id/api/v4/item/get?itemid=5731329360&amp;shopid=14318452", "Lifebuoy Shampoo Strong &amp; Shiny 170ml Twin Pack")</f>
        <v/>
      </c>
      <c r="P806" t="n">
        <v>68</v>
      </c>
      <c r="Q806" t="n">
        <v>317</v>
      </c>
      <c r="R806" t="n">
        <v>4.919085312225154</v>
      </c>
      <c r="S806" t="n">
        <v>2</v>
      </c>
      <c r="T806" t="n">
        <v>1</v>
      </c>
      <c r="U806" t="n">
        <v>14</v>
      </c>
      <c r="V806" t="n">
        <v>57</v>
      </c>
      <c r="W806" t="n">
        <v>1064</v>
      </c>
    </row>
    <row r="807">
      <c r="A807" t="inlineStr">
        <is>
          <t>Pond's Juice Collection Sheet Mask / Masker Wajah Aloe Vera Extract + Hyaluronic Acid 20 gr</t>
        </is>
      </c>
      <c r="B807" t="inlineStr">
        <is>
          <t>None</t>
        </is>
      </c>
      <c r="C807" t="inlineStr">
        <is>
          <t>31%</t>
        </is>
      </c>
      <c r="D807" t="n">
        <v>15000</v>
      </c>
      <c r="E807" t="n">
        <v>21600</v>
      </c>
      <c r="F807" t="n">
        <v>15000</v>
      </c>
      <c r="G807" t="n">
        <v>21600</v>
      </c>
      <c r="H807" t="n">
        <v>15000</v>
      </c>
      <c r="I807" t="n">
        <v>21600</v>
      </c>
      <c r="J807" t="b">
        <v>1</v>
      </c>
      <c r="K807" t="inlineStr">
        <is>
          <t>Unilever Indonesia Official Shop</t>
        </is>
      </c>
      <c r="L807" t="inlineStr">
        <is>
          <t>KOTA SURABAYA</t>
        </is>
      </c>
      <c r="M807" t="n">
        <v>6617483619</v>
      </c>
      <c r="N807" t="n">
        <v>14318452</v>
      </c>
      <c r="O807">
        <f>HYPERLINK("https://shopee.co.id/api/v4/item/get?itemid=6617483619&amp;shopid=14318452", "Pond's Juice Collection Sheet Mask / Masker Wajah Aloe Vera Extract + Hyaluronic Acid 20 gr")</f>
        <v/>
      </c>
      <c r="P807" t="n">
        <v>10</v>
      </c>
      <c r="Q807" t="n">
        <v>50</v>
      </c>
      <c r="R807" t="n">
        <v>4.93376264949402</v>
      </c>
      <c r="S807" t="n">
        <v>2</v>
      </c>
      <c r="T807" t="n">
        <v>1</v>
      </c>
      <c r="U807" t="n">
        <v>14</v>
      </c>
      <c r="V807" t="n">
        <v>105</v>
      </c>
      <c r="W807" t="n">
        <v>2052</v>
      </c>
    </row>
    <row r="808">
      <c r="A808" t="inlineStr">
        <is>
          <t>Lifebuoy Sabun Cuci Tangan Anti Bakteri Lemon Fresh 180ml x2</t>
        </is>
      </c>
      <c r="B808" t="inlineStr">
        <is>
          <t>Lifebuoy</t>
        </is>
      </c>
      <c r="C808" t="inlineStr">
        <is>
          <t>11%</t>
        </is>
      </c>
      <c r="D808" t="n">
        <v>25200</v>
      </c>
      <c r="E808" t="n">
        <v>28200</v>
      </c>
      <c r="F808" t="n">
        <v>25200</v>
      </c>
      <c r="G808" t="n">
        <v>28200</v>
      </c>
      <c r="H808" t="n">
        <v>25200</v>
      </c>
      <c r="I808" t="n">
        <v>28200</v>
      </c>
      <c r="J808" t="b">
        <v>1</v>
      </c>
      <c r="K808" t="inlineStr">
        <is>
          <t>Unilever Indonesia Official Shop</t>
        </is>
      </c>
      <c r="L808" t="inlineStr">
        <is>
          <t>KOTA BEKASI</t>
        </is>
      </c>
      <c r="M808" t="n">
        <v>7752330915</v>
      </c>
      <c r="N808" t="n">
        <v>14318452</v>
      </c>
      <c r="O808">
        <f>HYPERLINK("https://shopee.co.id/api/v4/item/get?itemid=7752330915&amp;shopid=14318452", "Lifebuoy Sabun Cuci Tangan Anti Bakteri Lemon Fresh 180ml x2")</f>
        <v/>
      </c>
      <c r="P808" t="n">
        <v>63</v>
      </c>
      <c r="Q808" t="n">
        <v>237</v>
      </c>
      <c r="R808" t="n">
        <v>4.94740952876855</v>
      </c>
      <c r="S808" t="n">
        <v>5</v>
      </c>
      <c r="T808" t="n">
        <v>4</v>
      </c>
      <c r="U808" t="n">
        <v>15</v>
      </c>
      <c r="V808" t="n">
        <v>144</v>
      </c>
      <c r="W808" t="n">
        <v>3674</v>
      </c>
    </row>
    <row r="809">
      <c r="A809" t="inlineStr">
        <is>
          <t>Royco Bumbu Ayam Saus Telur Asin 22 gr x 3 pcs</t>
        </is>
      </c>
      <c r="B809" t="inlineStr">
        <is>
          <t>0</t>
        </is>
      </c>
      <c r="C809" t="inlineStr">
        <is>
          <t>10%</t>
        </is>
      </c>
      <c r="D809" t="n">
        <v>17900</v>
      </c>
      <c r="E809" t="n">
        <v>19800</v>
      </c>
      <c r="F809" t="n">
        <v>17900</v>
      </c>
      <c r="G809" t="n">
        <v>19800</v>
      </c>
      <c r="H809" t="n">
        <v>17900</v>
      </c>
      <c r="I809" t="n">
        <v>19800</v>
      </c>
      <c r="J809" t="b">
        <v>1</v>
      </c>
      <c r="K809" t="inlineStr">
        <is>
          <t>Unilever Indonesia Official Shop</t>
        </is>
      </c>
      <c r="L809" t="inlineStr">
        <is>
          <t>KOTA BEKASI</t>
        </is>
      </c>
      <c r="M809" t="n">
        <v>3342372468</v>
      </c>
      <c r="N809" t="n">
        <v>14318452</v>
      </c>
      <c r="O809">
        <f>HYPERLINK("https://shopee.co.id/api/v4/item/get?itemid=3342372468&amp;shopid=14318452", "Royco Bumbu Ayam Saus Telur Asin 22 gr x 3 pcs")</f>
        <v/>
      </c>
      <c r="P809" t="n">
        <v>618</v>
      </c>
      <c r="Q809" t="n">
        <v>802</v>
      </c>
      <c r="R809" t="n">
        <v>4.937719915552428</v>
      </c>
      <c r="S809" t="n">
        <v>10</v>
      </c>
      <c r="T809" t="n">
        <v>7</v>
      </c>
      <c r="U809" t="n">
        <v>10</v>
      </c>
      <c r="V809" t="n">
        <v>96</v>
      </c>
      <c r="W809" t="n">
        <v>2731</v>
      </c>
    </row>
    <row r="810">
      <c r="A810" t="inlineStr">
        <is>
          <t>Ponds Age Miracle Anti Aging+Glowing Day Cream 50g &amp; Facial Foam 100g Retinol &amp; Niacimide</t>
        </is>
      </c>
      <c r="B810" t="inlineStr">
        <is>
          <t>Pond's</t>
        </is>
      </c>
      <c r="C810" t="inlineStr">
        <is>
          <t>22%</t>
        </is>
      </c>
      <c r="D810" t="n">
        <v>183800</v>
      </c>
      <c r="E810" t="n">
        <v>234400</v>
      </c>
      <c r="F810" t="n">
        <v>183800</v>
      </c>
      <c r="G810" t="n">
        <v>234400</v>
      </c>
      <c r="H810" t="n">
        <v>183800</v>
      </c>
      <c r="I810" t="n">
        <v>234400</v>
      </c>
      <c r="J810" t="b">
        <v>1</v>
      </c>
      <c r="K810" t="inlineStr">
        <is>
          <t>Unilever Indonesia Official Shop</t>
        </is>
      </c>
      <c r="L810" t="inlineStr">
        <is>
          <t>KOTA BEKASI</t>
        </is>
      </c>
      <c r="M810" t="n">
        <v>6658121372</v>
      </c>
      <c r="N810" t="n">
        <v>14318452</v>
      </c>
      <c r="O810">
        <f>HYPERLINK("https://shopee.co.id/api/v4/item/get?itemid=6658121372&amp;shopid=14318452", "Ponds Age Miracle Anti Aging+Glowing Day Cream 50g &amp; Facial Foam 100g Retinol &amp; Niacimide")</f>
        <v/>
      </c>
      <c r="P810" t="n">
        <v>78</v>
      </c>
      <c r="Q810" t="n">
        <v>3491</v>
      </c>
      <c r="R810" t="n">
        <v>4.942617666021921</v>
      </c>
      <c r="S810" t="n">
        <v>13</v>
      </c>
      <c r="T810" t="n">
        <v>1</v>
      </c>
      <c r="U810" t="n">
        <v>20</v>
      </c>
      <c r="V810" t="n">
        <v>192</v>
      </c>
      <c r="W810" t="n">
        <v>4446</v>
      </c>
    </row>
    <row r="811">
      <c r="A811" t="inlineStr">
        <is>
          <t>Royco Bumbu Ayam Saus Telur Asin 22 gr x2</t>
        </is>
      </c>
      <c r="B811" t="inlineStr">
        <is>
          <t>0</t>
        </is>
      </c>
      <c r="C811" t="inlineStr">
        <is>
          <t>8%</t>
        </is>
      </c>
      <c r="D811" t="n">
        <v>12200</v>
      </c>
      <c r="E811" t="n">
        <v>13200</v>
      </c>
      <c r="F811" t="n">
        <v>12200</v>
      </c>
      <c r="G811" t="n">
        <v>13200</v>
      </c>
      <c r="H811" t="n">
        <v>12200</v>
      </c>
      <c r="I811" t="n">
        <v>13200</v>
      </c>
      <c r="J811" t="b">
        <v>0</v>
      </c>
      <c r="K811" t="inlineStr">
        <is>
          <t>Unilever Indonesia Official Shop</t>
        </is>
      </c>
      <c r="L811" t="inlineStr">
        <is>
          <t>KOTA BEKASI</t>
        </is>
      </c>
      <c r="M811" t="n">
        <v>4378783263</v>
      </c>
      <c r="N811" t="n">
        <v>14318452</v>
      </c>
      <c r="O811">
        <f>HYPERLINK("https://shopee.co.id/api/v4/item/get?itemid=4378783263&amp;shopid=14318452", "Royco Bumbu Ayam Saus Telur Asin 22 gr x2")</f>
        <v/>
      </c>
      <c r="P811" t="n">
        <v>381</v>
      </c>
      <c r="Q811" t="n">
        <v>1203</v>
      </c>
      <c r="R811" t="n">
        <v>4.950393700787401</v>
      </c>
      <c r="S811" t="n">
        <v>2</v>
      </c>
      <c r="T811" t="n">
        <v>0</v>
      </c>
      <c r="U811" t="n">
        <v>4</v>
      </c>
      <c r="V811" t="n">
        <v>47</v>
      </c>
      <c r="W811" t="n">
        <v>1217</v>
      </c>
    </row>
    <row r="812">
      <c r="A812" t="inlineStr">
        <is>
          <t>Rinso Matic Deterjen Bubuk Bukaan Atas 1.65 kg - Detergen Matic, Mesin Cuci Bukaan Atas</t>
        </is>
      </c>
      <c r="B812" t="inlineStr"/>
      <c r="C812" t="inlineStr">
        <is>
          <t>19%</t>
        </is>
      </c>
      <c r="D812" t="n">
        <v>61300</v>
      </c>
      <c r="E812" t="n">
        <v>75900</v>
      </c>
      <c r="F812" t="n">
        <v>61300</v>
      </c>
      <c r="G812" t="n">
        <v>75900</v>
      </c>
      <c r="H812" t="n">
        <v>61300</v>
      </c>
      <c r="I812" t="n">
        <v>75900</v>
      </c>
      <c r="J812" t="b">
        <v>1</v>
      </c>
      <c r="K812" t="inlineStr">
        <is>
          <t>Unilever Indonesia Official Shop</t>
        </is>
      </c>
      <c r="L812" t="inlineStr">
        <is>
          <t>KOTA BEKASI</t>
        </is>
      </c>
      <c r="M812" t="n">
        <v>4011031185</v>
      </c>
      <c r="N812" t="n">
        <v>14318452</v>
      </c>
      <c r="O812">
        <f>HYPERLINK("https://shopee.co.id/api/v4/item/get?itemid=4011031185&amp;shopid=14318452", "Rinso Matic Deterjen Bubuk Bukaan Atas 1.65 kg - Detergen Matic, Mesin Cuci Bukaan Atas")</f>
        <v/>
      </c>
      <c r="P812" t="n">
        <v>557</v>
      </c>
      <c r="Q812" t="n">
        <v>262</v>
      </c>
      <c r="R812" t="n">
        <v>4.940012602394455</v>
      </c>
      <c r="S812" t="n">
        <v>26</v>
      </c>
      <c r="T812" t="n">
        <v>8</v>
      </c>
      <c r="U812" t="n">
        <v>40</v>
      </c>
      <c r="V812" t="n">
        <v>279</v>
      </c>
      <c r="W812" t="n">
        <v>7585</v>
      </c>
    </row>
    <row r="813">
      <c r="A813" t="inlineStr">
        <is>
          <t>Rinso Detergen Cair Anti Noda Active Fresh Yuzu &amp; Mint 700 ml - Perlindungan Dari Bakteri</t>
        </is>
      </c>
      <c r="B813" t="inlineStr">
        <is>
          <t>None</t>
        </is>
      </c>
      <c r="C813" t="inlineStr">
        <is>
          <t>15%</t>
        </is>
      </c>
      <c r="D813" t="n">
        <v>24600</v>
      </c>
      <c r="E813" t="n">
        <v>29100</v>
      </c>
      <c r="F813" t="n">
        <v>24600</v>
      </c>
      <c r="G813" t="n">
        <v>29100</v>
      </c>
      <c r="H813" t="n">
        <v>24600</v>
      </c>
      <c r="I813" t="n">
        <v>29100</v>
      </c>
      <c r="J813" t="b">
        <v>1</v>
      </c>
      <c r="K813" t="inlineStr">
        <is>
          <t>Unilever Indonesia Official Shop</t>
        </is>
      </c>
      <c r="L813" t="inlineStr">
        <is>
          <t>KOTA BEKASI</t>
        </is>
      </c>
      <c r="M813" t="n">
        <v>6065301045</v>
      </c>
      <c r="N813" t="n">
        <v>14318452</v>
      </c>
      <c r="O813">
        <f>HYPERLINK("https://shopee.co.id/api/v4/item/get?itemid=6065301045&amp;shopid=14318452", "Rinso Detergen Cair Anti Noda Active Fresh Yuzu &amp; Mint 700 ml - Perlindungan Dari Bakteri")</f>
        <v/>
      </c>
      <c r="P813" t="n">
        <v>52</v>
      </c>
      <c r="Q813" t="n">
        <v>141</v>
      </c>
      <c r="R813" t="n">
        <v>4.934652725914862</v>
      </c>
      <c r="S813" t="n">
        <v>4</v>
      </c>
      <c r="T813" t="n">
        <v>3</v>
      </c>
      <c r="U813" t="n">
        <v>14</v>
      </c>
      <c r="V813" t="n">
        <v>122</v>
      </c>
      <c r="W813" t="n">
        <v>2535</v>
      </c>
    </row>
    <row r="814">
      <c r="A814" t="inlineStr">
        <is>
          <t>LIFEBUOY Hair Mist Hair Sanitizer Anti Bakteri Melawan 99% bakteri 60 ML</t>
        </is>
      </c>
      <c r="B814" t="inlineStr">
        <is>
          <t>Lifebuoy</t>
        </is>
      </c>
      <c r="C814" t="inlineStr">
        <is>
          <t>1%</t>
        </is>
      </c>
      <c r="D814" t="n">
        <v>14900</v>
      </c>
      <c r="E814" t="n">
        <v>15000</v>
      </c>
      <c r="F814" t="n">
        <v>14900</v>
      </c>
      <c r="G814" t="n">
        <v>15000</v>
      </c>
      <c r="H814" t="n">
        <v>14900</v>
      </c>
      <c r="I814" t="n">
        <v>15000</v>
      </c>
      <c r="J814" t="b">
        <v>1</v>
      </c>
      <c r="K814" t="inlineStr">
        <is>
          <t>Unilever Indonesia Official Shop</t>
        </is>
      </c>
      <c r="L814" t="inlineStr">
        <is>
          <t>KOTA BEKASI</t>
        </is>
      </c>
      <c r="M814" t="n">
        <v>6762040232</v>
      </c>
      <c r="N814" t="n">
        <v>14318452</v>
      </c>
      <c r="O814">
        <f>HYPERLINK("https://shopee.co.id/api/v4/item/get?itemid=6762040232&amp;shopid=14318452", "LIFEBUOY Hair Mist Hair Sanitizer Anti Bakteri Melawan 99% bakteri 60 ML")</f>
        <v/>
      </c>
      <c r="P814" t="n">
        <v>285</v>
      </c>
      <c r="Q814" t="n">
        <v>696</v>
      </c>
      <c r="R814" t="n">
        <v>4.929028132992327</v>
      </c>
      <c r="S814" t="n">
        <v>16</v>
      </c>
      <c r="T814" t="n">
        <v>7</v>
      </c>
      <c r="U814" t="n">
        <v>44</v>
      </c>
      <c r="V814" t="n">
        <v>274</v>
      </c>
      <c r="W814" t="n">
        <v>5916</v>
      </c>
    </row>
    <row r="815">
      <c r="A815" t="inlineStr">
        <is>
          <t>Buy 2x Zwitsal Eau De Toilette 100 Ml Free Zwitsal Hand Sanitizer 50 Ml</t>
        </is>
      </c>
      <c r="B815" t="inlineStr">
        <is>
          <t>Zwitsal</t>
        </is>
      </c>
      <c r="C815" t="inlineStr">
        <is>
          <t>20%</t>
        </is>
      </c>
      <c r="D815" t="n">
        <v>59900</v>
      </c>
      <c r="E815" t="n">
        <v>74800</v>
      </c>
      <c r="F815" t="n">
        <v>59900</v>
      </c>
      <c r="G815" t="n">
        <v>74800</v>
      </c>
      <c r="H815" t="n">
        <v>59900</v>
      </c>
      <c r="I815" t="n">
        <v>74800</v>
      </c>
      <c r="J815" t="b">
        <v>1</v>
      </c>
      <c r="K815" t="inlineStr">
        <is>
          <t>Unilever Indonesia Official Shop</t>
        </is>
      </c>
      <c r="L815" t="inlineStr">
        <is>
          <t>KOTA SEMARANG</t>
        </is>
      </c>
      <c r="M815" t="n">
        <v>8272050117</v>
      </c>
      <c r="N815" t="n">
        <v>14318452</v>
      </c>
      <c r="O815">
        <f>HYPERLINK("https://shopee.co.id/api/v4/item/get?itemid=8272050117&amp;shopid=14318452", "Buy 2x Zwitsal Eau De Toilette 100 Ml Free Zwitsal Hand Sanitizer 50 Ml")</f>
        <v/>
      </c>
      <c r="P815" t="n">
        <v>44</v>
      </c>
      <c r="Q815" t="n">
        <v>128</v>
      </c>
      <c r="R815" t="n">
        <v>4.900738310090238</v>
      </c>
      <c r="S815" t="n">
        <v>3</v>
      </c>
      <c r="T815" t="n">
        <v>3</v>
      </c>
      <c r="U815" t="n">
        <v>18</v>
      </c>
      <c r="V815" t="n">
        <v>64</v>
      </c>
      <c r="W815" t="n">
        <v>1131</v>
      </c>
    </row>
    <row r="816">
      <c r="A816" t="inlineStr">
        <is>
          <t>Ponds Age Miracle Anti Aging+Glowing Whip Day Cream 20G</t>
        </is>
      </c>
      <c r="B816" t="inlineStr">
        <is>
          <t>0</t>
        </is>
      </c>
      <c r="C816" t="inlineStr">
        <is>
          <t>15%</t>
        </is>
      </c>
      <c r="D816" t="n">
        <v>71300</v>
      </c>
      <c r="E816" t="n">
        <v>83600</v>
      </c>
      <c r="F816" t="n">
        <v>71300</v>
      </c>
      <c r="G816" t="n">
        <v>83600</v>
      </c>
      <c r="H816" t="n">
        <v>71300</v>
      </c>
      <c r="I816" t="n">
        <v>83600</v>
      </c>
      <c r="J816" t="b">
        <v>1</v>
      </c>
      <c r="K816" t="inlineStr">
        <is>
          <t>Unilever Indonesia Official Shop</t>
        </is>
      </c>
      <c r="L816" t="inlineStr">
        <is>
          <t>KOTA BEKASI</t>
        </is>
      </c>
      <c r="M816" t="n">
        <v>2809209067</v>
      </c>
      <c r="N816" t="n">
        <v>14318452</v>
      </c>
      <c r="O816">
        <f>HYPERLINK("https://shopee.co.id/api/v4/item/get?itemid=2809209067&amp;shopid=14318452", "Ponds Age Miracle Anti Aging+Glowing Whip Day Cream 20G")</f>
        <v/>
      </c>
      <c r="P816" t="n">
        <v>188</v>
      </c>
      <c r="Q816" t="n">
        <v>448</v>
      </c>
      <c r="R816" t="n">
        <v>4.923174764690918</v>
      </c>
      <c r="S816" t="n">
        <v>19</v>
      </c>
      <c r="T816" t="n">
        <v>11</v>
      </c>
      <c r="U816" t="n">
        <v>88</v>
      </c>
      <c r="V816" t="n">
        <v>926</v>
      </c>
      <c r="W816" t="n">
        <v>14681</v>
      </c>
    </row>
    <row r="817">
      <c r="A817" t="inlineStr">
        <is>
          <t>Sunsilk Shampoo Soft &amp; Smooth 650ml</t>
        </is>
      </c>
      <c r="B817" t="inlineStr">
        <is>
          <t>Sunsilk</t>
        </is>
      </c>
      <c r="C817" t="inlineStr">
        <is>
          <t>15%</t>
        </is>
      </c>
      <c r="D817" t="n">
        <v>75000</v>
      </c>
      <c r="E817" t="n">
        <v>88100</v>
      </c>
      <c r="F817" t="n">
        <v>75000</v>
      </c>
      <c r="G817" t="n">
        <v>88100</v>
      </c>
      <c r="H817" t="n">
        <v>75000</v>
      </c>
      <c r="I817" t="n">
        <v>88100</v>
      </c>
      <c r="J817" t="b">
        <v>1</v>
      </c>
      <c r="K817" t="inlineStr">
        <is>
          <t>Unilever Indonesia Official Shop</t>
        </is>
      </c>
      <c r="L817" t="inlineStr">
        <is>
          <t>KOTA BEKASI</t>
        </is>
      </c>
      <c r="M817" t="n">
        <v>126991708</v>
      </c>
      <c r="N817" t="n">
        <v>14318452</v>
      </c>
      <c r="O817">
        <f>HYPERLINK("https://shopee.co.id/api/v4/item/get?itemid=126991708&amp;shopid=14318452", "Sunsilk Shampoo Soft &amp; Smooth 650ml")</f>
        <v/>
      </c>
      <c r="P817" t="n">
        <v>236</v>
      </c>
      <c r="Q817" t="n">
        <v>1378</v>
      </c>
      <c r="R817" t="n">
        <v>4.933423287040084</v>
      </c>
      <c r="S817" t="n">
        <v>82</v>
      </c>
      <c r="T817" t="n">
        <v>44</v>
      </c>
      <c r="U817" t="n">
        <v>179</v>
      </c>
      <c r="V817" t="n">
        <v>1227</v>
      </c>
      <c r="W817" t="n">
        <v>28860</v>
      </c>
    </row>
    <row r="818">
      <c r="A818" t="inlineStr">
        <is>
          <t>Molto Fabric Disinfectant Spray Antibacterial Spray Deofresh Alkohol 70 % 100 Ml</t>
        </is>
      </c>
      <c r="B818" t="inlineStr">
        <is>
          <t>Molto</t>
        </is>
      </c>
      <c r="C818" t="inlineStr">
        <is>
          <t>19%</t>
        </is>
      </c>
      <c r="D818" t="n">
        <v>24600</v>
      </c>
      <c r="E818" t="n">
        <v>30400</v>
      </c>
      <c r="F818" t="n">
        <v>24600</v>
      </c>
      <c r="G818" t="n">
        <v>30400</v>
      </c>
      <c r="H818" t="n">
        <v>24600</v>
      </c>
      <c r="I818" t="n">
        <v>30400</v>
      </c>
      <c r="J818" t="b">
        <v>1</v>
      </c>
      <c r="K818" t="inlineStr">
        <is>
          <t>Unilever Indonesia Official Shop</t>
        </is>
      </c>
      <c r="L818" t="inlineStr">
        <is>
          <t>KOTA BEKASI</t>
        </is>
      </c>
      <c r="M818" t="n">
        <v>7044770252</v>
      </c>
      <c r="N818" t="n">
        <v>14318452</v>
      </c>
      <c r="O818">
        <f>HYPERLINK("https://shopee.co.id/api/v4/item/get?itemid=7044770252&amp;shopid=14318452", "Molto Fabric Disinfectant Spray Antibacterial Spray Deofresh Alkohol 70 % 100 Ml")</f>
        <v/>
      </c>
      <c r="P818" t="n">
        <v>156</v>
      </c>
      <c r="Q818" t="n">
        <v>389</v>
      </c>
      <c r="R818" t="n">
        <v>4.911276667795462</v>
      </c>
      <c r="S818" t="n">
        <v>35</v>
      </c>
      <c r="T818" t="n">
        <v>15</v>
      </c>
      <c r="U818" t="n">
        <v>95</v>
      </c>
      <c r="V818" t="n">
        <v>415</v>
      </c>
      <c r="W818" t="n">
        <v>8300</v>
      </c>
    </row>
    <row r="819">
      <c r="A819" t="inlineStr">
        <is>
          <t>Tresemme Shampoo Keratin Smooth Rambut Lembut 48 Jam* With Hydrolyzed Keratin 670Ml</t>
        </is>
      </c>
      <c r="B819" t="inlineStr">
        <is>
          <t>Tresemme</t>
        </is>
      </c>
      <c r="C819" t="inlineStr">
        <is>
          <t>19%</t>
        </is>
      </c>
      <c r="D819" t="n">
        <v>85700</v>
      </c>
      <c r="E819" t="n">
        <v>106200</v>
      </c>
      <c r="F819" t="n">
        <v>85700</v>
      </c>
      <c r="G819" t="n">
        <v>106200</v>
      </c>
      <c r="H819" t="n">
        <v>85700</v>
      </c>
      <c r="I819" t="n">
        <v>106200</v>
      </c>
      <c r="J819" t="b">
        <v>1</v>
      </c>
      <c r="K819" t="inlineStr">
        <is>
          <t>Unilever Indonesia Official Shop</t>
        </is>
      </c>
      <c r="L819" t="inlineStr">
        <is>
          <t>KOTA BEKASI</t>
        </is>
      </c>
      <c r="M819" t="n">
        <v>1515340692</v>
      </c>
      <c r="N819" t="n">
        <v>14318452</v>
      </c>
      <c r="O819">
        <f>HYPERLINK("https://shopee.co.id/api/v4/item/get?itemid=1515340692&amp;shopid=14318452", "Tresemme Shampoo Keratin Smooth Rambut Lembut 48 Jam* With Hydrolyzed Keratin 670Ml")</f>
        <v/>
      </c>
      <c r="P819" t="n">
        <v>330</v>
      </c>
      <c r="Q819" t="n">
        <v>1595</v>
      </c>
      <c r="R819" t="n">
        <v>4.943597461231434</v>
      </c>
      <c r="S819" t="n">
        <v>56</v>
      </c>
      <c r="T819" t="n">
        <v>32</v>
      </c>
      <c r="U819" t="n">
        <v>156</v>
      </c>
      <c r="V819" t="n">
        <v>1119</v>
      </c>
      <c r="W819" t="n">
        <v>29241</v>
      </c>
    </row>
    <row r="820">
      <c r="A820" t="inlineStr">
        <is>
          <t>Molto Pelembut Pakaian Hygiene Refill 720 ml - Perlindungan Anti Bakteri</t>
        </is>
      </c>
      <c r="B820" t="inlineStr">
        <is>
          <t>0</t>
        </is>
      </c>
      <c r="C820" t="inlineStr">
        <is>
          <t>42%</t>
        </is>
      </c>
      <c r="D820" t="n">
        <v>23500</v>
      </c>
      <c r="E820" t="n">
        <v>40300</v>
      </c>
      <c r="F820" t="n">
        <v>23500</v>
      </c>
      <c r="G820" t="n">
        <v>40300</v>
      </c>
      <c r="H820" t="n">
        <v>23500</v>
      </c>
      <c r="I820" t="n">
        <v>40300</v>
      </c>
      <c r="J820" t="b">
        <v>1</v>
      </c>
      <c r="K820" t="inlineStr">
        <is>
          <t>Unilever Indonesia Official Shop</t>
        </is>
      </c>
      <c r="L820" t="inlineStr">
        <is>
          <t>KOTA BEKASI</t>
        </is>
      </c>
      <c r="M820" t="n">
        <v>1921369051</v>
      </c>
      <c r="N820" t="n">
        <v>14318452</v>
      </c>
      <c r="O820">
        <f>HYPERLINK("https://shopee.co.id/api/v4/item/get?itemid=1921369051&amp;shopid=14318452", "Molto Pelembut Pakaian Hygiene Refill 720 ml - Perlindungan Anti Bakteri")</f>
        <v/>
      </c>
      <c r="P820" t="n">
        <v>85</v>
      </c>
      <c r="Q820" t="n">
        <v>169</v>
      </c>
      <c r="R820" t="n">
        <v>4.926732209737827</v>
      </c>
      <c r="S820" t="n">
        <v>15</v>
      </c>
      <c r="T820" t="n">
        <v>16</v>
      </c>
      <c r="U820" t="n">
        <v>36</v>
      </c>
      <c r="V820" t="n">
        <v>145</v>
      </c>
      <c r="W820" t="n">
        <v>4064</v>
      </c>
    </row>
    <row r="821">
      <c r="A821" t="inlineStr">
        <is>
          <t>Bango Bumbu Opor Ayam Khas Cepu 35 gr</t>
        </is>
      </c>
      <c r="B821" t="inlineStr">
        <is>
          <t>Bango</t>
        </is>
      </c>
      <c r="C821" t="inlineStr">
        <is>
          <t>12%</t>
        </is>
      </c>
      <c r="D821" t="n">
        <v>5700</v>
      </c>
      <c r="E821" t="n">
        <v>6500</v>
      </c>
      <c r="F821" t="n">
        <v>5700</v>
      </c>
      <c r="G821" t="n">
        <v>6500</v>
      </c>
      <c r="H821" t="n">
        <v>5700</v>
      </c>
      <c r="I821" t="n">
        <v>6500</v>
      </c>
      <c r="J821" t="b">
        <v>1</v>
      </c>
      <c r="K821" t="inlineStr">
        <is>
          <t>Unilever Indonesia Official Shop</t>
        </is>
      </c>
      <c r="L821" t="inlineStr">
        <is>
          <t>KAB. BANYUASIN</t>
        </is>
      </c>
      <c r="M821" t="n">
        <v>2198225241</v>
      </c>
      <c r="N821" t="n">
        <v>14318452</v>
      </c>
      <c r="O821">
        <f>HYPERLINK("https://shopee.co.id/api/v4/item/get?itemid=2198225241&amp;shopid=14318452", "Bango Bumbu Opor Ayam Khas Cepu 35 gr")</f>
        <v/>
      </c>
      <c r="P821" t="n">
        <v>19</v>
      </c>
      <c r="Q821" t="n">
        <v>269</v>
      </c>
      <c r="R821" t="n">
        <v>4.919361793876671</v>
      </c>
      <c r="S821" t="n">
        <v>9</v>
      </c>
      <c r="T821" t="n">
        <v>6</v>
      </c>
      <c r="U821" t="n">
        <v>38</v>
      </c>
      <c r="V821" t="n">
        <v>244</v>
      </c>
      <c r="W821" t="n">
        <v>4341</v>
      </c>
    </row>
    <row r="822">
      <c r="A822" t="inlineStr">
        <is>
          <t>Rinso Detergen Cair Anti Noda Active Fresh Yuzu &amp; Mint 700ML Twinpack</t>
        </is>
      </c>
      <c r="B822" t="inlineStr">
        <is>
          <t>None</t>
        </is>
      </c>
      <c r="C822" t="inlineStr">
        <is>
          <t>15%</t>
        </is>
      </c>
      <c r="D822" t="n">
        <v>49200</v>
      </c>
      <c r="E822" t="n">
        <v>58200</v>
      </c>
      <c r="F822" t="n">
        <v>49200</v>
      </c>
      <c r="G822" t="n">
        <v>58200</v>
      </c>
      <c r="H822" t="n">
        <v>49200</v>
      </c>
      <c r="I822" t="n">
        <v>58200</v>
      </c>
      <c r="J822" t="b">
        <v>1</v>
      </c>
      <c r="K822" t="inlineStr">
        <is>
          <t>Unilever Indonesia Official Shop</t>
        </is>
      </c>
      <c r="L822" t="inlineStr">
        <is>
          <t>KOTA BEKASI</t>
        </is>
      </c>
      <c r="M822" t="n">
        <v>3832244151</v>
      </c>
      <c r="N822" t="n">
        <v>14318452</v>
      </c>
      <c r="O822">
        <f>HYPERLINK("https://shopee.co.id/api/v4/item/get?itemid=3832244151&amp;shopid=14318452", "Rinso Detergen Cair Anti Noda Active Fresh Yuzu &amp; Mint 700ML Twinpack")</f>
        <v/>
      </c>
      <c r="P822" t="n">
        <v>104</v>
      </c>
      <c r="Q822" t="n">
        <v>69</v>
      </c>
      <c r="R822" t="n">
        <v>4.942268639396577</v>
      </c>
      <c r="S822" t="n">
        <v>7</v>
      </c>
      <c r="T822" t="n">
        <v>3</v>
      </c>
      <c r="U822" t="n">
        <v>16</v>
      </c>
      <c r="V822" t="n">
        <v>134</v>
      </c>
      <c r="W822" t="n">
        <v>3288</v>
      </c>
    </row>
    <row r="823">
      <c r="A823" t="inlineStr">
        <is>
          <t>CLEAR Men Anti Dandruff Complete Care Shampoo 160 ml</t>
        </is>
      </c>
      <c r="B823" t="inlineStr">
        <is>
          <t>Clear</t>
        </is>
      </c>
      <c r="C823" t="inlineStr">
        <is>
          <t>15%</t>
        </is>
      </c>
      <c r="D823" t="n">
        <v>33000</v>
      </c>
      <c r="E823" t="n">
        <v>38700</v>
      </c>
      <c r="F823" t="n">
        <v>33000</v>
      </c>
      <c r="G823" t="n">
        <v>38700</v>
      </c>
      <c r="H823" t="n">
        <v>33000</v>
      </c>
      <c r="I823" t="n">
        <v>38700</v>
      </c>
      <c r="J823" t="b">
        <v>1</v>
      </c>
      <c r="K823" t="inlineStr">
        <is>
          <t>Unilever Indonesia Official Shop</t>
        </is>
      </c>
      <c r="L823" t="inlineStr">
        <is>
          <t>KOTA BEKASI</t>
        </is>
      </c>
      <c r="M823" t="n">
        <v>1465737730</v>
      </c>
      <c r="N823" t="n">
        <v>14318452</v>
      </c>
      <c r="O823">
        <f>HYPERLINK("https://shopee.co.id/api/v4/item/get?itemid=1465737730&amp;shopid=14318452", "CLEAR Men Anti Dandruff Complete Care Shampoo 160 ml")</f>
        <v/>
      </c>
      <c r="P823" t="n">
        <v>30</v>
      </c>
      <c r="Q823" t="n">
        <v>441</v>
      </c>
      <c r="R823" t="n">
        <v>4.897776494369044</v>
      </c>
      <c r="S823" t="n">
        <v>16</v>
      </c>
      <c r="T823" t="n">
        <v>9</v>
      </c>
      <c r="U823" t="n">
        <v>33</v>
      </c>
      <c r="V823" t="n">
        <v>204</v>
      </c>
      <c r="W823" t="n">
        <v>3203</v>
      </c>
    </row>
    <row r="824">
      <c r="A824" t="inlineStr">
        <is>
          <t>Jawara Saus Sambal Hot 130 ml - Multi Pack</t>
        </is>
      </c>
      <c r="B824" t="inlineStr">
        <is>
          <t>Jawara</t>
        </is>
      </c>
      <c r="C824" t="inlineStr">
        <is>
          <t>12%</t>
        </is>
      </c>
      <c r="D824" t="n">
        <v>20600</v>
      </c>
      <c r="E824" t="n">
        <v>23400</v>
      </c>
      <c r="F824" t="n">
        <v>20600</v>
      </c>
      <c r="G824" t="n">
        <v>23400</v>
      </c>
      <c r="H824" t="n">
        <v>20600</v>
      </c>
      <c r="I824" t="n">
        <v>23400</v>
      </c>
      <c r="J824" t="b">
        <v>1</v>
      </c>
      <c r="K824" t="inlineStr">
        <is>
          <t>Unilever Indonesia Official Shop</t>
        </is>
      </c>
      <c r="L824" t="inlineStr">
        <is>
          <t>KOTA BEKASI</t>
        </is>
      </c>
      <c r="M824" t="n">
        <v>6631393437</v>
      </c>
      <c r="N824" t="n">
        <v>14318452</v>
      </c>
      <c r="O824">
        <f>HYPERLINK("https://shopee.co.id/api/v4/item/get?itemid=6631393437&amp;shopid=14318452", "Jawara Saus Sambal Hot 130 ml - Multi Pack")</f>
        <v/>
      </c>
      <c r="P824" t="n">
        <v>16</v>
      </c>
      <c r="Q824" t="n">
        <v>65</v>
      </c>
      <c r="R824" t="n">
        <v>4.921237693389592</v>
      </c>
      <c r="S824" t="n">
        <v>3</v>
      </c>
      <c r="T824" t="n">
        <v>2</v>
      </c>
      <c r="U824" t="n">
        <v>3</v>
      </c>
      <c r="V824" t="n">
        <v>32</v>
      </c>
      <c r="W824" t="n">
        <v>671</v>
      </c>
    </row>
    <row r="825">
      <c r="A825" t="inlineStr">
        <is>
          <t>Molto Fabric Hygiene Spray Pakaian Anti Bacterial 100 Ml Twinpack</t>
        </is>
      </c>
      <c r="B825" t="inlineStr">
        <is>
          <t>Molto</t>
        </is>
      </c>
      <c r="C825" t="inlineStr">
        <is>
          <t>20%</t>
        </is>
      </c>
      <c r="D825" t="n">
        <v>47200</v>
      </c>
      <c r="E825" t="n">
        <v>59100</v>
      </c>
      <c r="F825" t="n">
        <v>47200</v>
      </c>
      <c r="G825" t="n">
        <v>59100</v>
      </c>
      <c r="H825" t="n">
        <v>47200</v>
      </c>
      <c r="I825" t="n">
        <v>59100</v>
      </c>
      <c r="J825" t="b">
        <v>1</v>
      </c>
      <c r="K825" t="inlineStr">
        <is>
          <t>Unilever Indonesia Official Shop</t>
        </is>
      </c>
      <c r="L825" t="inlineStr">
        <is>
          <t>KOTA BEKASI</t>
        </is>
      </c>
      <c r="M825" t="n">
        <v>3258676868</v>
      </c>
      <c r="N825" t="n">
        <v>14318452</v>
      </c>
      <c r="O825">
        <f>HYPERLINK("https://shopee.co.id/api/v4/item/get?itemid=3258676868&amp;shopid=14318452", "Molto Fabric Hygiene Spray Pakaian Anti Bacterial 100 Ml Twinpack")</f>
        <v/>
      </c>
      <c r="P825" t="n">
        <v>112</v>
      </c>
      <c r="Q825" t="n">
        <v>194</v>
      </c>
      <c r="R825" t="n">
        <v>4.914182475158085</v>
      </c>
      <c r="S825" t="n">
        <v>27</v>
      </c>
      <c r="T825" t="n">
        <v>18</v>
      </c>
      <c r="U825" t="n">
        <v>81</v>
      </c>
      <c r="V825" t="n">
        <v>341</v>
      </c>
      <c r="W825" t="n">
        <v>7282</v>
      </c>
    </row>
    <row r="826">
      <c r="A826" t="inlineStr">
        <is>
          <t>Dove Body Wash Refill Deeply Nourishing Kulit Lembut 400ml Multi Pack</t>
        </is>
      </c>
      <c r="B826" t="inlineStr">
        <is>
          <t>Dove</t>
        </is>
      </c>
      <c r="C826" t="inlineStr">
        <is>
          <t>28%</t>
        </is>
      </c>
      <c r="D826" t="n">
        <v>100000</v>
      </c>
      <c r="E826" t="n">
        <v>138800</v>
      </c>
      <c r="F826" t="n">
        <v>100000</v>
      </c>
      <c r="G826" t="n">
        <v>138800</v>
      </c>
      <c r="H826" t="n">
        <v>100000</v>
      </c>
      <c r="I826" t="n">
        <v>138800</v>
      </c>
      <c r="J826" t="b">
        <v>1</v>
      </c>
      <c r="K826" t="inlineStr">
        <is>
          <t>Unilever Indonesia Official Shop</t>
        </is>
      </c>
      <c r="L826" t="inlineStr">
        <is>
          <t>KOTA BEKASI</t>
        </is>
      </c>
      <c r="M826" t="n">
        <v>4531133890</v>
      </c>
      <c r="N826" t="n">
        <v>14318452</v>
      </c>
      <c r="O826">
        <f>HYPERLINK("https://shopee.co.id/api/v4/item/get?itemid=4531133890&amp;shopid=14318452", "Dove Body Wash Refill Deeply Nourishing Kulit Lembut 400ml Multi Pack")</f>
        <v/>
      </c>
      <c r="P826" t="n">
        <v>205</v>
      </c>
      <c r="Q826" t="n">
        <v>1506</v>
      </c>
      <c r="R826" t="n">
        <v>4.944909344490934</v>
      </c>
      <c r="S826" t="n">
        <v>10</v>
      </c>
      <c r="T826" t="n">
        <v>4</v>
      </c>
      <c r="U826" t="n">
        <v>8</v>
      </c>
      <c r="V826" t="n">
        <v>97</v>
      </c>
      <c r="W826" t="n">
        <v>2751</v>
      </c>
    </row>
    <row r="827">
      <c r="A827" t="inlineStr">
        <is>
          <t>Dove Creambath - Hair Growth Ritual 30G Multipack</t>
        </is>
      </c>
      <c r="B827" t="inlineStr">
        <is>
          <t>0</t>
        </is>
      </c>
      <c r="C827" t="inlineStr">
        <is>
          <t>8%</t>
        </is>
      </c>
      <c r="D827" t="n">
        <v>46100</v>
      </c>
      <c r="E827" t="n">
        <v>50000</v>
      </c>
      <c r="F827" t="n">
        <v>46100</v>
      </c>
      <c r="G827" t="n">
        <v>50000</v>
      </c>
      <c r="H827" t="n">
        <v>46100</v>
      </c>
      <c r="I827" t="n">
        <v>50000</v>
      </c>
      <c r="J827" t="b">
        <v>1</v>
      </c>
      <c r="K827" t="inlineStr">
        <is>
          <t>Unilever Indonesia Official Shop</t>
        </is>
      </c>
      <c r="L827" t="inlineStr">
        <is>
          <t>KOTA BEKASI</t>
        </is>
      </c>
      <c r="M827" t="n">
        <v>3237402547</v>
      </c>
      <c r="N827" t="n">
        <v>14318452</v>
      </c>
      <c r="O827">
        <f>HYPERLINK("https://shopee.co.id/api/v4/item/get?itemid=3237402547&amp;shopid=14318452", "Dove Creambath - Hair Growth Ritual 30G Multipack")</f>
        <v/>
      </c>
      <c r="P827" t="n">
        <v>426</v>
      </c>
      <c r="Q827" t="n">
        <v>974</v>
      </c>
      <c r="R827" t="n">
        <v>4.944614131541438</v>
      </c>
      <c r="S827" t="n">
        <v>14</v>
      </c>
      <c r="T827" t="n">
        <v>1</v>
      </c>
      <c r="U827" t="n">
        <v>32</v>
      </c>
      <c r="V827" t="n">
        <v>149</v>
      </c>
      <c r="W827" t="n">
        <v>4715</v>
      </c>
    </row>
    <row r="828">
      <c r="A828" t="inlineStr">
        <is>
          <t>Sunlight Sabun Cuci Piring Jeruk Nipis Botol 400 ml - Twinpack</t>
        </is>
      </c>
      <c r="B828" t="inlineStr">
        <is>
          <t>0</t>
        </is>
      </c>
      <c r="C828" t="inlineStr">
        <is>
          <t>12%</t>
        </is>
      </c>
      <c r="D828" t="n">
        <v>39100</v>
      </c>
      <c r="E828" t="n">
        <v>44200</v>
      </c>
      <c r="F828" t="n">
        <v>39100</v>
      </c>
      <c r="G828" t="n">
        <v>44200</v>
      </c>
      <c r="H828" t="n">
        <v>39100</v>
      </c>
      <c r="I828" t="n">
        <v>44200</v>
      </c>
      <c r="J828" t="b">
        <v>1</v>
      </c>
      <c r="K828" t="inlineStr">
        <is>
          <t>Unilever Indonesia Official Shop</t>
        </is>
      </c>
      <c r="L828" t="inlineStr">
        <is>
          <t>KOTA BEKASI</t>
        </is>
      </c>
      <c r="M828" t="n">
        <v>6358372874</v>
      </c>
      <c r="N828" t="n">
        <v>14318452</v>
      </c>
      <c r="O828">
        <f>HYPERLINK("https://shopee.co.id/api/v4/item/get?itemid=6358372874&amp;shopid=14318452", "Sunlight Sabun Cuci Piring Jeruk Nipis Botol 400 ml - Twinpack")</f>
        <v/>
      </c>
      <c r="P828" t="n">
        <v>42</v>
      </c>
      <c r="Q828" t="n">
        <v>209</v>
      </c>
      <c r="R828" t="n">
        <v>4.920554854981084</v>
      </c>
      <c r="S828" t="n">
        <v>2</v>
      </c>
      <c r="T828" t="n">
        <v>2</v>
      </c>
      <c r="U828" t="n">
        <v>3</v>
      </c>
      <c r="V828" t="n">
        <v>43</v>
      </c>
      <c r="W828" t="n">
        <v>744</v>
      </c>
    </row>
    <row r="829">
      <c r="A829" t="inlineStr">
        <is>
          <t>Rinso Molto Deterjen Bubuk Royal Gold 770G Twinpack</t>
        </is>
      </c>
      <c r="B829" t="inlineStr">
        <is>
          <t>0</t>
        </is>
      </c>
      <c r="C829" t="inlineStr">
        <is>
          <t>25%</t>
        </is>
      </c>
      <c r="D829" t="n">
        <v>52600</v>
      </c>
      <c r="E829" t="n">
        <v>70200</v>
      </c>
      <c r="F829" t="n">
        <v>52600</v>
      </c>
      <c r="G829" t="n">
        <v>70200</v>
      </c>
      <c r="H829" t="n">
        <v>52600</v>
      </c>
      <c r="I829" t="n">
        <v>70200</v>
      </c>
      <c r="J829" t="b">
        <v>1</v>
      </c>
      <c r="K829" t="inlineStr">
        <is>
          <t>Unilever Indonesia Official Shop</t>
        </is>
      </c>
      <c r="L829" t="inlineStr">
        <is>
          <t>KOTA BEKASI</t>
        </is>
      </c>
      <c r="M829" t="n">
        <v>7558371627</v>
      </c>
      <c r="N829" t="n">
        <v>14318452</v>
      </c>
      <c r="O829">
        <f>HYPERLINK("https://shopee.co.id/api/v4/item/get?itemid=7558371627&amp;shopid=14318452", "Rinso Molto Deterjen Bubuk Royal Gold 770G Twinpack")</f>
        <v/>
      </c>
      <c r="P829" t="n">
        <v>26</v>
      </c>
      <c r="Q829" t="n">
        <v>156</v>
      </c>
      <c r="R829" t="n">
        <v>4.951683748169839</v>
      </c>
      <c r="S829" t="n">
        <v>1</v>
      </c>
      <c r="T829" t="n">
        <v>0</v>
      </c>
      <c r="U829" t="n">
        <v>3</v>
      </c>
      <c r="V829" t="n">
        <v>23</v>
      </c>
      <c r="W829" t="n">
        <v>656</v>
      </c>
    </row>
    <row r="830">
      <c r="A830" t="inlineStr">
        <is>
          <t>St Ives Face Scrub Soft Skin Avocado and Honey 170 gr</t>
        </is>
      </c>
      <c r="B830" t="inlineStr">
        <is>
          <t>None</t>
        </is>
      </c>
      <c r="C830" t="inlineStr">
        <is>
          <t>4%</t>
        </is>
      </c>
      <c r="D830" t="n">
        <v>69700</v>
      </c>
      <c r="E830" t="n">
        <v>72500</v>
      </c>
      <c r="F830" t="n">
        <v>69700</v>
      </c>
      <c r="G830" t="n">
        <v>72500</v>
      </c>
      <c r="H830" t="n">
        <v>69700</v>
      </c>
      <c r="I830" t="n">
        <v>72500</v>
      </c>
      <c r="J830" t="b">
        <v>1</v>
      </c>
      <c r="K830" t="inlineStr">
        <is>
          <t>Unilever Indonesia Official Shop</t>
        </is>
      </c>
      <c r="L830" t="inlineStr">
        <is>
          <t>KOTA BEKASI</t>
        </is>
      </c>
      <c r="M830" t="n">
        <v>8905885708</v>
      </c>
      <c r="N830" t="n">
        <v>14318452</v>
      </c>
      <c r="O830">
        <f>HYPERLINK("https://shopee.co.id/api/v4/item/get?itemid=8905885708&amp;shopid=14318452", "St Ives Face Scrub Soft Skin Avocado and Honey 170 gr")</f>
        <v/>
      </c>
      <c r="P830" t="n">
        <v>29</v>
      </c>
      <c r="Q830" t="n">
        <v>96</v>
      </c>
      <c r="R830" t="n">
        <v>4.911696359411309</v>
      </c>
      <c r="S830" t="n">
        <v>3</v>
      </c>
      <c r="T830" t="n">
        <v>6</v>
      </c>
      <c r="U830" t="n">
        <v>7</v>
      </c>
      <c r="V830" t="n">
        <v>76</v>
      </c>
      <c r="W830" t="n">
        <v>1201</v>
      </c>
    </row>
    <row r="831">
      <c r="A831" t="inlineStr">
        <is>
          <t>Lifebuoy Shampoo Anti Dandruff 170ml Twin Pack</t>
        </is>
      </c>
      <c r="B831" t="inlineStr">
        <is>
          <t>0</t>
        </is>
      </c>
      <c r="C831" t="inlineStr">
        <is>
          <t>1%</t>
        </is>
      </c>
      <c r="D831" t="n">
        <v>53500</v>
      </c>
      <c r="E831" t="n">
        <v>54000</v>
      </c>
      <c r="F831" t="n">
        <v>53500</v>
      </c>
      <c r="G831" t="n">
        <v>54000</v>
      </c>
      <c r="H831" t="n">
        <v>53500</v>
      </c>
      <c r="I831" t="n">
        <v>54000</v>
      </c>
      <c r="J831" t="b">
        <v>1</v>
      </c>
      <c r="K831" t="inlineStr">
        <is>
          <t>Unilever Indonesia Official Shop</t>
        </is>
      </c>
      <c r="L831" t="inlineStr">
        <is>
          <t>KOTA BEKASI</t>
        </is>
      </c>
      <c r="M831" t="n">
        <v>6931339981</v>
      </c>
      <c r="N831" t="n">
        <v>14318452</v>
      </c>
      <c r="O831">
        <f>HYPERLINK("https://shopee.co.id/api/v4/item/get?itemid=6931339981&amp;shopid=14318452", "Lifebuoy Shampoo Anti Dandruff 170ml Twin Pack")</f>
        <v/>
      </c>
      <c r="P831" t="n">
        <v>26</v>
      </c>
      <c r="Q831" t="n">
        <v>613</v>
      </c>
      <c r="R831" t="n">
        <v>4.916179337231969</v>
      </c>
      <c r="S831" t="n">
        <v>3</v>
      </c>
      <c r="T831" t="n">
        <v>3</v>
      </c>
      <c r="U831" t="n">
        <v>10</v>
      </c>
      <c r="V831" t="n">
        <v>45</v>
      </c>
      <c r="W831" t="n">
        <v>965</v>
      </c>
    </row>
    <row r="832">
      <c r="A832" t="inlineStr">
        <is>
          <t>Rinso Molto Perfume Essence Liquid 1.5L Twinpack</t>
        </is>
      </c>
      <c r="B832" t="inlineStr"/>
      <c r="C832" t="inlineStr">
        <is>
          <t>21%</t>
        </is>
      </c>
      <c r="D832" t="n">
        <v>83800</v>
      </c>
      <c r="E832" t="n">
        <v>106300</v>
      </c>
      <c r="F832" t="n">
        <v>83800</v>
      </c>
      <c r="G832" t="n">
        <v>106300</v>
      </c>
      <c r="H832" t="n">
        <v>83800</v>
      </c>
      <c r="I832" t="n">
        <v>106300</v>
      </c>
      <c r="J832" t="b">
        <v>1</v>
      </c>
      <c r="K832" t="inlineStr">
        <is>
          <t>Unilever Indonesia Official Shop</t>
        </is>
      </c>
      <c r="L832" t="inlineStr">
        <is>
          <t>KOTA BEKASI</t>
        </is>
      </c>
      <c r="M832" t="n">
        <v>5561059815</v>
      </c>
      <c r="N832" t="n">
        <v>14318452</v>
      </c>
      <c r="O832">
        <f>HYPERLINK("https://shopee.co.id/api/v4/item/get?itemid=5561059815&amp;shopid=14318452", "Rinso Molto Perfume Essence Liquid 1.5L Twinpack")</f>
        <v/>
      </c>
      <c r="P832" t="n">
        <v>96</v>
      </c>
      <c r="Q832" t="n">
        <v>447</v>
      </c>
      <c r="R832" t="n">
        <v>4.950905902980713</v>
      </c>
      <c r="S832" t="n">
        <v>3</v>
      </c>
      <c r="T832" t="n">
        <v>4</v>
      </c>
      <c r="U832" t="n">
        <v>5</v>
      </c>
      <c r="V832" t="n">
        <v>53</v>
      </c>
      <c r="W832" t="n">
        <v>1647</v>
      </c>
    </row>
    <row r="833">
      <c r="A833" t="inlineStr">
        <is>
          <t>Molto Pelembut Dan Pewangi Pakaian All In 1 Blue 1600 ml - Multi Pack</t>
        </is>
      </c>
      <c r="B833" t="inlineStr">
        <is>
          <t>Molto</t>
        </is>
      </c>
      <c r="C833" t="inlineStr">
        <is>
          <t>34%</t>
        </is>
      </c>
      <c r="D833" t="n">
        <v>140200</v>
      </c>
      <c r="E833" t="n">
        <v>212200</v>
      </c>
      <c r="F833" t="n">
        <v>140200</v>
      </c>
      <c r="G833" t="n">
        <v>212200</v>
      </c>
      <c r="H833" t="n">
        <v>140200</v>
      </c>
      <c r="I833" t="n">
        <v>212200</v>
      </c>
      <c r="J833" t="b">
        <v>1</v>
      </c>
      <c r="K833" t="inlineStr">
        <is>
          <t>Unilever Indonesia Official Shop</t>
        </is>
      </c>
      <c r="L833" t="inlineStr">
        <is>
          <t>KOTA BEKASI</t>
        </is>
      </c>
      <c r="M833" t="n">
        <v>6931696071</v>
      </c>
      <c r="N833" t="n">
        <v>14318452</v>
      </c>
      <c r="O833">
        <f>HYPERLINK("https://shopee.co.id/api/v4/item/get?itemid=6931696071&amp;shopid=14318452", "Molto Pelembut Dan Pewangi Pakaian All In 1 Blue 1600 ml - Multi Pack")</f>
        <v/>
      </c>
      <c r="P833" t="n">
        <v>64</v>
      </c>
      <c r="Q833" t="n">
        <v>202</v>
      </c>
      <c r="R833" t="n">
        <v>4.91281512605042</v>
      </c>
      <c r="S833" t="n">
        <v>11</v>
      </c>
      <c r="T833" t="n">
        <v>3</v>
      </c>
      <c r="U833" t="n">
        <v>3</v>
      </c>
      <c r="V833" t="n">
        <v>31</v>
      </c>
      <c r="W833" t="n">
        <v>906</v>
      </c>
    </row>
    <row r="834">
      <c r="A834" t="inlineStr">
        <is>
          <t>Sunsilk Super Shampoo Hello Lembut 300ml</t>
        </is>
      </c>
      <c r="B834" t="inlineStr">
        <is>
          <t>None</t>
        </is>
      </c>
      <c r="C834" t="inlineStr">
        <is>
          <t>15%</t>
        </is>
      </c>
      <c r="D834" t="n">
        <v>43600</v>
      </c>
      <c r="E834" t="n">
        <v>51100</v>
      </c>
      <c r="F834" t="n">
        <v>43600</v>
      </c>
      <c r="G834" t="n">
        <v>51100</v>
      </c>
      <c r="H834" t="n">
        <v>43600</v>
      </c>
      <c r="I834" t="n">
        <v>51100</v>
      </c>
      <c r="J834" t="b">
        <v>1</v>
      </c>
      <c r="K834" t="inlineStr">
        <is>
          <t>Unilever Indonesia Official Shop</t>
        </is>
      </c>
      <c r="L834" t="inlineStr">
        <is>
          <t>KOTA BEKASI</t>
        </is>
      </c>
      <c r="M834" t="n">
        <v>6361523453</v>
      </c>
      <c r="N834" t="n">
        <v>14318452</v>
      </c>
      <c r="O834">
        <f>HYPERLINK("https://shopee.co.id/api/v4/item/get?itemid=6361523453&amp;shopid=14318452", "Sunsilk Super Shampoo Hello Lembut 300ml")</f>
        <v/>
      </c>
      <c r="P834" t="n">
        <v>82</v>
      </c>
      <c r="Q834" t="n">
        <v>112</v>
      </c>
      <c r="R834" t="n">
        <v>4.925978987583572</v>
      </c>
      <c r="S834" t="n">
        <v>4</v>
      </c>
      <c r="T834" t="n">
        <v>3</v>
      </c>
      <c r="U834" t="n">
        <v>22</v>
      </c>
      <c r="V834" t="n">
        <v>86</v>
      </c>
      <c r="W834" t="n">
        <v>1979</v>
      </c>
    </row>
    <row r="835">
      <c r="A835" t="inlineStr">
        <is>
          <t>Tresemme Shampoo Shampo Rambut Deep Cleanse &amp; Protect Membersihkan Rambut Secara Menyeluruh 170ML</t>
        </is>
      </c>
      <c r="B835" t="inlineStr">
        <is>
          <t>0</t>
        </is>
      </c>
      <c r="C835" t="inlineStr">
        <is>
          <t>11%</t>
        </is>
      </c>
      <c r="D835" t="n">
        <v>33700</v>
      </c>
      <c r="E835" t="n">
        <v>37800</v>
      </c>
      <c r="F835" t="n">
        <v>33700</v>
      </c>
      <c r="G835" t="n">
        <v>37800</v>
      </c>
      <c r="H835" t="n">
        <v>33700</v>
      </c>
      <c r="I835" t="n">
        <v>37800</v>
      </c>
      <c r="J835" t="b">
        <v>1</v>
      </c>
      <c r="K835" t="inlineStr">
        <is>
          <t>Unilever Indonesia Official Shop</t>
        </is>
      </c>
      <c r="L835" t="inlineStr">
        <is>
          <t>KOTA BEKASI</t>
        </is>
      </c>
      <c r="M835" t="n">
        <v>1515340599</v>
      </c>
      <c r="N835" t="n">
        <v>14318452</v>
      </c>
      <c r="O835">
        <f>HYPERLINK("https://shopee.co.id/api/v4/item/get?itemid=1515340599&amp;shopid=14318452", "Tresemme Shampoo Shampo Rambut Deep Cleanse &amp; Protect Membersihkan Rambut Secara Menyeluruh 170ML")</f>
        <v/>
      </c>
      <c r="P835" t="n">
        <v>239</v>
      </c>
      <c r="Q835" t="n">
        <v>279</v>
      </c>
      <c r="R835" t="n">
        <v>4.859218211771754</v>
      </c>
      <c r="S835" t="n">
        <v>56</v>
      </c>
      <c r="T835" t="n">
        <v>33</v>
      </c>
      <c r="U835" t="n">
        <v>118</v>
      </c>
      <c r="V835" t="n">
        <v>416</v>
      </c>
      <c r="W835" t="n">
        <v>6064</v>
      </c>
    </row>
    <row r="836">
      <c r="A836" t="inlineStr">
        <is>
          <t>St Ives Hydrating Watermelon Face Cleanser 200 ml</t>
        </is>
      </c>
      <c r="B836" t="inlineStr"/>
      <c r="C836" t="inlineStr">
        <is>
          <t>8%</t>
        </is>
      </c>
      <c r="D836" t="n">
        <v>94300</v>
      </c>
      <c r="E836" t="n">
        <v>102000</v>
      </c>
      <c r="F836" t="n">
        <v>94300</v>
      </c>
      <c r="G836" t="n">
        <v>102000</v>
      </c>
      <c r="H836" t="n">
        <v>94300</v>
      </c>
      <c r="I836" t="n">
        <v>102000</v>
      </c>
      <c r="J836" t="b">
        <v>1</v>
      </c>
      <c r="K836" t="inlineStr">
        <is>
          <t>Unilever Indonesia Official Shop</t>
        </is>
      </c>
      <c r="L836" t="inlineStr">
        <is>
          <t>KOTA BEKASI</t>
        </is>
      </c>
      <c r="M836" t="n">
        <v>6250171246</v>
      </c>
      <c r="N836" t="n">
        <v>14318452</v>
      </c>
      <c r="O836">
        <f>HYPERLINK("https://shopee.co.id/api/v4/item/get?itemid=6250171246&amp;shopid=14318452", "St Ives Hydrating Watermelon Face Cleanser 200 ml")</f>
        <v/>
      </c>
      <c r="P836" t="n">
        <v>34</v>
      </c>
      <c r="Q836" t="n">
        <v>150</v>
      </c>
      <c r="R836" t="n">
        <v>4.901287553648069</v>
      </c>
      <c r="S836" t="n">
        <v>5</v>
      </c>
      <c r="T836" t="n">
        <v>4</v>
      </c>
      <c r="U836" t="n">
        <v>35</v>
      </c>
      <c r="V836" t="n">
        <v>113</v>
      </c>
      <c r="W836" t="n">
        <v>1942</v>
      </c>
    </row>
    <row r="837">
      <c r="A837" t="inlineStr">
        <is>
          <t>Clear Shampo Superfresh Apple 160ML - TwinPack</t>
        </is>
      </c>
      <c r="B837" t="inlineStr">
        <is>
          <t>0</t>
        </is>
      </c>
      <c r="C837" t="inlineStr">
        <is>
          <t>15%</t>
        </is>
      </c>
      <c r="D837" t="n">
        <v>60200</v>
      </c>
      <c r="E837" t="n">
        <v>70600</v>
      </c>
      <c r="F837" t="n">
        <v>60200</v>
      </c>
      <c r="G837" t="n">
        <v>70600</v>
      </c>
      <c r="H837" t="n">
        <v>60200</v>
      </c>
      <c r="I837" t="n">
        <v>70600</v>
      </c>
      <c r="J837" t="b">
        <v>1</v>
      </c>
      <c r="K837" t="inlineStr">
        <is>
          <t>Unilever Indonesia Official Shop</t>
        </is>
      </c>
      <c r="L837" t="inlineStr">
        <is>
          <t>KOTA BEKASI</t>
        </is>
      </c>
      <c r="M837" t="n">
        <v>5330984014</v>
      </c>
      <c r="N837" t="n">
        <v>14318452</v>
      </c>
      <c r="O837">
        <f>HYPERLINK("https://shopee.co.id/api/v4/item/get?itemid=5330984014&amp;shopid=14318452", "Clear Shampo Superfresh Apple 160ML - TwinPack")</f>
        <v/>
      </c>
      <c r="P837" t="n">
        <v>43</v>
      </c>
      <c r="Q837" t="n">
        <v>99</v>
      </c>
      <c r="R837" t="n">
        <v>4.941002949852507</v>
      </c>
      <c r="S837" t="n">
        <v>4</v>
      </c>
      <c r="T837" t="n">
        <v>0</v>
      </c>
      <c r="U837" t="n">
        <v>9</v>
      </c>
      <c r="V837" t="n">
        <v>46</v>
      </c>
      <c r="W837" t="n">
        <v>1297</v>
      </c>
    </row>
    <row r="838">
      <c r="A838" t="inlineStr">
        <is>
          <t>Dove Creambath - Hair Growth Ritual 30G x2</t>
        </is>
      </c>
      <c r="B838" t="inlineStr">
        <is>
          <t>0</t>
        </is>
      </c>
      <c r="C838" t="inlineStr">
        <is>
          <t>4%</t>
        </is>
      </c>
      <c r="D838" t="n">
        <v>9600</v>
      </c>
      <c r="E838" t="n">
        <v>10000</v>
      </c>
      <c r="F838" t="n">
        <v>9600</v>
      </c>
      <c r="G838" t="n">
        <v>10000</v>
      </c>
      <c r="H838" t="n">
        <v>9600</v>
      </c>
      <c r="I838" t="n">
        <v>10000</v>
      </c>
      <c r="J838" t="b">
        <v>1</v>
      </c>
      <c r="K838" t="inlineStr">
        <is>
          <t>Unilever Indonesia Official Shop</t>
        </is>
      </c>
      <c r="L838" t="inlineStr">
        <is>
          <t>KOTA BEKASI</t>
        </is>
      </c>
      <c r="M838" t="n">
        <v>8412855095</v>
      </c>
      <c r="N838" t="n">
        <v>14318452</v>
      </c>
      <c r="O838">
        <f>HYPERLINK("https://shopee.co.id/api/v4/item/get?itemid=8412855095&amp;shopid=14318452", "Dove Creambath - Hair Growth Ritual 30G x2")</f>
        <v/>
      </c>
      <c r="P838" t="n">
        <v>150</v>
      </c>
      <c r="Q838" t="n">
        <v>4870</v>
      </c>
      <c r="R838" t="n">
        <v>4.916539440203563</v>
      </c>
      <c r="S838" t="n">
        <v>6</v>
      </c>
      <c r="T838" t="n">
        <v>4</v>
      </c>
      <c r="U838" t="n">
        <v>17</v>
      </c>
      <c r="V838" t="n">
        <v>101</v>
      </c>
      <c r="W838" t="n">
        <v>1839</v>
      </c>
    </row>
    <row r="839">
      <c r="A839" t="inlineStr">
        <is>
          <t>Pond'S Tone Up Milk Mask / Masker Wajah Honey 25G</t>
        </is>
      </c>
      <c r="B839" t="inlineStr">
        <is>
          <t>0</t>
        </is>
      </c>
      <c r="C839" t="inlineStr">
        <is>
          <t>11%</t>
        </is>
      </c>
      <c r="D839" t="n">
        <v>21300</v>
      </c>
      <c r="E839" t="n">
        <v>23800</v>
      </c>
      <c r="F839" t="n">
        <v>21300</v>
      </c>
      <c r="G839" t="n">
        <v>23800</v>
      </c>
      <c r="H839" t="n">
        <v>21300</v>
      </c>
      <c r="I839" t="n">
        <v>23800</v>
      </c>
      <c r="J839" t="b">
        <v>1</v>
      </c>
      <c r="K839" t="inlineStr">
        <is>
          <t>Unilever Indonesia Official Shop</t>
        </is>
      </c>
      <c r="L839" t="inlineStr">
        <is>
          <t>KOTA SEMARANG</t>
        </is>
      </c>
      <c r="M839" t="n">
        <v>1637854704</v>
      </c>
      <c r="N839" t="n">
        <v>14318452</v>
      </c>
      <c r="O839">
        <f>HYPERLINK("https://shopee.co.id/api/v4/item/get?itemid=1637854704&amp;shopid=14318452", "Pond'S Tone Up Milk Mask / Masker Wajah Honey 25G")</f>
        <v/>
      </c>
      <c r="P839" t="n">
        <v>7</v>
      </c>
      <c r="Q839" t="n">
        <v>121</v>
      </c>
      <c r="R839" t="n">
        <v>4.926003783897414</v>
      </c>
      <c r="S839" t="n">
        <v>6</v>
      </c>
      <c r="T839" t="n">
        <v>3</v>
      </c>
      <c r="U839" t="n">
        <v>27</v>
      </c>
      <c r="V839" t="n">
        <v>265</v>
      </c>
      <c r="W839" t="n">
        <v>4456</v>
      </c>
    </row>
    <row r="840">
      <c r="A840" t="inlineStr">
        <is>
          <t>Bango Bumbu Nasi Kuning Manado 35 gr Twinpack</t>
        </is>
      </c>
      <c r="B840" t="inlineStr">
        <is>
          <t>Bango</t>
        </is>
      </c>
      <c r="C840" t="inlineStr">
        <is>
          <t>13%</t>
        </is>
      </c>
      <c r="D840" t="n">
        <v>11300</v>
      </c>
      <c r="E840" t="n">
        <v>13000</v>
      </c>
      <c r="F840" t="n">
        <v>11300</v>
      </c>
      <c r="G840" t="n">
        <v>13000</v>
      </c>
      <c r="H840" t="n">
        <v>11300</v>
      </c>
      <c r="I840" t="n">
        <v>13000</v>
      </c>
      <c r="J840" t="b">
        <v>1</v>
      </c>
      <c r="K840" t="inlineStr">
        <is>
          <t>Unilever Indonesia Official Shop</t>
        </is>
      </c>
      <c r="L840" t="inlineStr">
        <is>
          <t>KAB. BANYUASIN</t>
        </is>
      </c>
      <c r="M840" t="n">
        <v>6743550397</v>
      </c>
      <c r="N840" t="n">
        <v>14318452</v>
      </c>
      <c r="O840">
        <f>HYPERLINK("https://shopee.co.id/api/v4/item/get?itemid=6743550397&amp;shopid=14318452", "Bango Bumbu Nasi Kuning Manado 35 gr Twinpack")</f>
        <v/>
      </c>
      <c r="P840" t="n">
        <v>32</v>
      </c>
      <c r="Q840" t="n">
        <v>82</v>
      </c>
      <c r="R840" t="n">
        <v>4.936686903729401</v>
      </c>
      <c r="S840" t="n">
        <v>2</v>
      </c>
      <c r="T840" t="n">
        <v>0</v>
      </c>
      <c r="U840" t="n">
        <v>4</v>
      </c>
      <c r="V840" t="n">
        <v>57</v>
      </c>
      <c r="W840" t="n">
        <v>1090</v>
      </c>
    </row>
    <row r="841">
      <c r="A841" t="inlineStr">
        <is>
          <t>St. Ives Fresh Skin Apricot Face Scrub 170 gr</t>
        </is>
      </c>
      <c r="B841" t="inlineStr">
        <is>
          <t>0</t>
        </is>
      </c>
      <c r="C841" t="inlineStr">
        <is>
          <t>1%</t>
        </is>
      </c>
      <c r="D841" t="n">
        <v>68400</v>
      </c>
      <c r="E841" t="n">
        <v>69000</v>
      </c>
      <c r="F841" t="n">
        <v>68400</v>
      </c>
      <c r="G841" t="n">
        <v>69000</v>
      </c>
      <c r="H841" t="n">
        <v>68400</v>
      </c>
      <c r="I841" t="n">
        <v>69000</v>
      </c>
      <c r="J841" t="b">
        <v>1</v>
      </c>
      <c r="K841" t="inlineStr">
        <is>
          <t>Unilever Indonesia Official Shop</t>
        </is>
      </c>
      <c r="L841" t="inlineStr">
        <is>
          <t>KOTA BEKASI</t>
        </is>
      </c>
      <c r="M841" t="n">
        <v>6160788541</v>
      </c>
      <c r="N841" t="n">
        <v>14318452</v>
      </c>
      <c r="O841">
        <f>HYPERLINK("https://shopee.co.id/api/v4/item/get?itemid=6160788541&amp;shopid=14318452", "St. Ives Fresh Skin Apricot Face Scrub 170 gr")</f>
        <v/>
      </c>
      <c r="P841" t="n">
        <v>26</v>
      </c>
      <c r="Q841" t="n">
        <v>724</v>
      </c>
      <c r="R841" t="n">
        <v>4.923076923076923</v>
      </c>
      <c r="S841" t="n">
        <v>6</v>
      </c>
      <c r="T841" t="n">
        <v>0</v>
      </c>
      <c r="U841" t="n">
        <v>7</v>
      </c>
      <c r="V841" t="n">
        <v>79</v>
      </c>
      <c r="W841" t="n">
        <v>1429</v>
      </c>
    </row>
    <row r="842">
      <c r="A842" t="inlineStr">
        <is>
          <t>Ponds Age Miracle Serum Wajah Anti Aging +Glowing Serum With Retinol&amp;Niacinamide 30Ml</t>
        </is>
      </c>
      <c r="B842" t="inlineStr">
        <is>
          <t>Pond's</t>
        </is>
      </c>
      <c r="C842" t="inlineStr">
        <is>
          <t>20%</t>
        </is>
      </c>
      <c r="D842" t="n">
        <v>192900</v>
      </c>
      <c r="E842" t="n">
        <v>241600</v>
      </c>
      <c r="F842" t="n">
        <v>192900</v>
      </c>
      <c r="G842" t="n">
        <v>241600</v>
      </c>
      <c r="H842" t="n">
        <v>192900</v>
      </c>
      <c r="I842" t="n">
        <v>241600</v>
      </c>
      <c r="J842" t="b">
        <v>1</v>
      </c>
      <c r="K842" t="inlineStr">
        <is>
          <t>Unilever Indonesia Official Shop</t>
        </is>
      </c>
      <c r="L842" t="inlineStr">
        <is>
          <t>KOTA BEKASI</t>
        </is>
      </c>
      <c r="M842" t="n">
        <v>1637854710</v>
      </c>
      <c r="N842" t="n">
        <v>14318452</v>
      </c>
      <c r="O842">
        <f>HYPERLINK("https://shopee.co.id/api/v4/item/get?itemid=1637854710&amp;shopid=14318452", "Ponds Age Miracle Serum Wajah Anti Aging +Glowing Serum With Retinol&amp;Niacinamide 30Ml")</f>
        <v/>
      </c>
      <c r="P842" t="n">
        <v>232</v>
      </c>
      <c r="Q842" t="n">
        <v>1225</v>
      </c>
      <c r="R842" t="n">
        <v>4.931915311686398</v>
      </c>
      <c r="S842" t="n">
        <v>29</v>
      </c>
      <c r="T842" t="n">
        <v>21</v>
      </c>
      <c r="U842" t="n">
        <v>88</v>
      </c>
      <c r="V842" t="n">
        <v>1046</v>
      </c>
      <c r="W842" t="n">
        <v>19177</v>
      </c>
    </row>
    <row r="843">
      <c r="A843" t="inlineStr">
        <is>
          <t>Buavita Orange 250ml Multi Pack</t>
        </is>
      </c>
      <c r="B843" t="inlineStr">
        <is>
          <t>0</t>
        </is>
      </c>
      <c r="C843" t="inlineStr">
        <is>
          <t>25%</t>
        </is>
      </c>
      <c r="D843" t="n">
        <v>16200</v>
      </c>
      <c r="E843" t="n">
        <v>21700</v>
      </c>
      <c r="F843" t="n">
        <v>16200</v>
      </c>
      <c r="G843" t="n">
        <v>21700</v>
      </c>
      <c r="H843" t="n">
        <v>16200</v>
      </c>
      <c r="I843" t="n">
        <v>21700</v>
      </c>
      <c r="J843" t="b">
        <v>1</v>
      </c>
      <c r="K843" t="inlineStr">
        <is>
          <t>Unilever Indonesia Official Shop</t>
        </is>
      </c>
      <c r="L843" t="inlineStr">
        <is>
          <t>KOTA SEMARANG</t>
        </is>
      </c>
      <c r="M843" t="n">
        <v>3831819072</v>
      </c>
      <c r="N843" t="n">
        <v>14318452</v>
      </c>
      <c r="O843">
        <f>HYPERLINK("https://shopee.co.id/api/v4/item/get?itemid=3831819072&amp;shopid=14318452", "Buavita Orange 250ml Multi Pack")</f>
        <v/>
      </c>
      <c r="P843" t="n">
        <v>65</v>
      </c>
      <c r="Q843" t="n">
        <v>63</v>
      </c>
      <c r="R843" t="n">
        <v>4.907433380084152</v>
      </c>
      <c r="S843" t="n">
        <v>4</v>
      </c>
      <c r="T843" t="n">
        <v>3</v>
      </c>
      <c r="U843" t="n">
        <v>19</v>
      </c>
      <c r="V843" t="n">
        <v>69</v>
      </c>
      <c r="W843" t="n">
        <v>1339</v>
      </c>
    </row>
    <row r="844">
      <c r="A844" t="inlineStr">
        <is>
          <t>Pond's Men Energy Charge Facial Wash 100gr Twin Pack</t>
        </is>
      </c>
      <c r="B844" t="inlineStr">
        <is>
          <t>Pond's</t>
        </is>
      </c>
      <c r="C844" t="inlineStr">
        <is>
          <t>15%</t>
        </is>
      </c>
      <c r="D844" t="n">
        <v>76100</v>
      </c>
      <c r="E844" t="n">
        <v>89400</v>
      </c>
      <c r="F844" t="n">
        <v>76100</v>
      </c>
      <c r="G844" t="n">
        <v>89400</v>
      </c>
      <c r="H844" t="n">
        <v>76100</v>
      </c>
      <c r="I844" t="n">
        <v>89400</v>
      </c>
      <c r="J844" t="b">
        <v>1</v>
      </c>
      <c r="K844" t="inlineStr">
        <is>
          <t>Unilever Indonesia Official Shop</t>
        </is>
      </c>
      <c r="L844" t="inlineStr">
        <is>
          <t>KOTA BEKASI</t>
        </is>
      </c>
      <c r="M844" t="n">
        <v>6131374060</v>
      </c>
      <c r="N844" t="n">
        <v>14318452</v>
      </c>
      <c r="O844">
        <f>HYPERLINK("https://shopee.co.id/api/v4/item/get?itemid=6131374060&amp;shopid=14318452", "Pond's Men Energy Charge Facial Wash 100gr Twin Pack")</f>
        <v/>
      </c>
      <c r="P844" t="n">
        <v>60</v>
      </c>
      <c r="Q844" t="n">
        <v>270</v>
      </c>
      <c r="R844" t="n">
        <v>4.918658088235294</v>
      </c>
      <c r="S844" t="n">
        <v>6</v>
      </c>
      <c r="T844" t="n">
        <v>9</v>
      </c>
      <c r="U844" t="n">
        <v>16</v>
      </c>
      <c r="V844" t="n">
        <v>104</v>
      </c>
      <c r="W844" t="n">
        <v>2044</v>
      </c>
    </row>
    <row r="845">
      <c r="A845" t="inlineStr">
        <is>
          <t>Vaseline Hand Cream Anti Bacterial 50 ml - Twin Pack</t>
        </is>
      </c>
      <c r="B845" t="inlineStr">
        <is>
          <t>Vaseline</t>
        </is>
      </c>
      <c r="C845" t="inlineStr">
        <is>
          <t>13%</t>
        </is>
      </c>
      <c r="D845" t="n">
        <v>44700</v>
      </c>
      <c r="E845" t="n">
        <v>51600</v>
      </c>
      <c r="F845" t="n">
        <v>44700</v>
      </c>
      <c r="G845" t="n">
        <v>51600</v>
      </c>
      <c r="H845" t="n">
        <v>44700</v>
      </c>
      <c r="I845" t="n">
        <v>51600</v>
      </c>
      <c r="J845" t="b">
        <v>0</v>
      </c>
      <c r="K845" t="inlineStr">
        <is>
          <t>Unilever Indonesia Official Shop</t>
        </is>
      </c>
      <c r="L845" t="inlineStr">
        <is>
          <t>KOTA BEKASI</t>
        </is>
      </c>
      <c r="M845" t="n">
        <v>3005555697</v>
      </c>
      <c r="N845" t="n">
        <v>14318452</v>
      </c>
      <c r="O845">
        <f>HYPERLINK("https://shopee.co.id/api/v4/item/get?itemid=3005555697&amp;shopid=14318452", "Vaseline Hand Cream Anti Bacterial 50 ml - Twin Pack")</f>
        <v/>
      </c>
      <c r="P845" t="n">
        <v>50</v>
      </c>
      <c r="Q845" t="n">
        <v>213</v>
      </c>
      <c r="R845" t="n">
        <v>4.947136563876652</v>
      </c>
      <c r="S845" t="n">
        <v>2</v>
      </c>
      <c r="T845" t="n">
        <v>1</v>
      </c>
      <c r="U845" t="n">
        <v>0</v>
      </c>
      <c r="V845" t="n">
        <v>37</v>
      </c>
      <c r="W845" t="n">
        <v>868</v>
      </c>
    </row>
    <row r="846">
      <c r="A846" t="inlineStr">
        <is>
          <t>Dove Shampo Perawatan Rambut Berkilau 290 Ml</t>
        </is>
      </c>
      <c r="B846" t="inlineStr">
        <is>
          <t>0</t>
        </is>
      </c>
      <c r="C846" t="inlineStr">
        <is>
          <t>3%</t>
        </is>
      </c>
      <c r="D846" t="n">
        <v>56600</v>
      </c>
      <c r="E846" t="n">
        <v>58100</v>
      </c>
      <c r="F846" t="n">
        <v>56600</v>
      </c>
      <c r="G846" t="n">
        <v>58100</v>
      </c>
      <c r="H846" t="n">
        <v>56600</v>
      </c>
      <c r="I846" t="n">
        <v>58100</v>
      </c>
      <c r="J846" t="b">
        <v>1</v>
      </c>
      <c r="K846" t="inlineStr">
        <is>
          <t>Unilever Indonesia Official Shop</t>
        </is>
      </c>
      <c r="L846" t="inlineStr">
        <is>
          <t>KOTA BEKASI</t>
        </is>
      </c>
      <c r="M846" t="n">
        <v>126977982</v>
      </c>
      <c r="N846" t="n">
        <v>14318452</v>
      </c>
      <c r="O846">
        <f>HYPERLINK("https://shopee.co.id/api/v4/item/get?itemid=126977982&amp;shopid=14318452", "Dove Shampo Perawatan Rambut Berkilau 290 Ml")</f>
        <v/>
      </c>
      <c r="P846" t="n">
        <v>43</v>
      </c>
      <c r="Q846" t="n">
        <v>495</v>
      </c>
      <c r="R846" t="n">
        <v>4.911245353159852</v>
      </c>
      <c r="S846" t="n">
        <v>9</v>
      </c>
      <c r="T846" t="n">
        <v>3</v>
      </c>
      <c r="U846" t="n">
        <v>30</v>
      </c>
      <c r="V846" t="n">
        <v>86</v>
      </c>
      <c r="W846" t="n">
        <v>2024</v>
      </c>
    </row>
    <row r="847">
      <c r="A847" t="inlineStr">
        <is>
          <t>Dove Go Fresh Fresh Touch Body Wash Refill 400ml Twin Pack</t>
        </is>
      </c>
      <c r="B847" t="inlineStr">
        <is>
          <t>0</t>
        </is>
      </c>
      <c r="C847" t="inlineStr">
        <is>
          <t>20%</t>
        </is>
      </c>
      <c r="D847" t="n">
        <v>75500</v>
      </c>
      <c r="E847" t="n">
        <v>94400</v>
      </c>
      <c r="F847" t="n">
        <v>75500</v>
      </c>
      <c r="G847" t="n">
        <v>94400</v>
      </c>
      <c r="H847" t="n">
        <v>75500</v>
      </c>
      <c r="I847" t="n">
        <v>94400</v>
      </c>
      <c r="J847" t="b">
        <v>1</v>
      </c>
      <c r="K847" t="inlineStr">
        <is>
          <t>Unilever Indonesia Official Shop</t>
        </is>
      </c>
      <c r="L847" t="inlineStr">
        <is>
          <t>KOTA BEKASI</t>
        </is>
      </c>
      <c r="M847" t="n">
        <v>7431154414</v>
      </c>
      <c r="N847" t="n">
        <v>14318452</v>
      </c>
      <c r="O847">
        <f>HYPERLINK("https://shopee.co.id/api/v4/item/get?itemid=7431154414&amp;shopid=14318452", "Dove Go Fresh Fresh Touch Body Wash Refill 400ml Twin Pack")</f>
        <v/>
      </c>
      <c r="P847" t="n">
        <v>58</v>
      </c>
      <c r="Q847" t="n">
        <v>533</v>
      </c>
      <c r="R847" t="n">
        <v>4.95004233700254</v>
      </c>
      <c r="S847" t="n">
        <v>0</v>
      </c>
      <c r="T847" t="n">
        <v>3</v>
      </c>
      <c r="U847" t="n">
        <v>6</v>
      </c>
      <c r="V847" t="n">
        <v>38</v>
      </c>
      <c r="W847" t="n">
        <v>1134</v>
      </c>
    </row>
    <row r="848">
      <c r="A848" t="inlineStr">
        <is>
          <t>Pond's Men Polution Out Facial Wash 100gr Twin Pack</t>
        </is>
      </c>
      <c r="B848" t="inlineStr">
        <is>
          <t>Pond's</t>
        </is>
      </c>
      <c r="C848" t="inlineStr">
        <is>
          <t>15%</t>
        </is>
      </c>
      <c r="D848" t="n">
        <v>76100</v>
      </c>
      <c r="E848" t="n">
        <v>89400</v>
      </c>
      <c r="F848" t="n">
        <v>76100</v>
      </c>
      <c r="G848" t="n">
        <v>89400</v>
      </c>
      <c r="H848" t="n">
        <v>76100</v>
      </c>
      <c r="I848" t="n">
        <v>89400</v>
      </c>
      <c r="J848" t="b">
        <v>1</v>
      </c>
      <c r="K848" t="inlineStr">
        <is>
          <t>Unilever Indonesia Official Shop</t>
        </is>
      </c>
      <c r="L848" t="inlineStr">
        <is>
          <t>KOTA BEKASI</t>
        </is>
      </c>
      <c r="M848" t="n">
        <v>5331393864</v>
      </c>
      <c r="N848" t="n">
        <v>14318452</v>
      </c>
      <c r="O848">
        <f>HYPERLINK("https://shopee.co.id/api/v4/item/get?itemid=5331393864&amp;shopid=14318452", "Pond's Men Polution Out Facial Wash 100gr Twin Pack")</f>
        <v/>
      </c>
      <c r="P848" t="n">
        <v>41</v>
      </c>
      <c r="Q848" t="n">
        <v>194</v>
      </c>
      <c r="R848" t="n">
        <v>4.936115843270869</v>
      </c>
      <c r="S848" t="n">
        <v>2</v>
      </c>
      <c r="T848" t="n">
        <v>3</v>
      </c>
      <c r="U848" t="n">
        <v>3</v>
      </c>
      <c r="V848" t="n">
        <v>52</v>
      </c>
      <c r="W848" t="n">
        <v>1114</v>
      </c>
    </row>
    <row r="849">
      <c r="A849" t="inlineStr">
        <is>
          <t>Rinso Matic Deterjen Cair Bukaan Atas 1.45L Twin Pack</t>
        </is>
      </c>
      <c r="B849" t="inlineStr">
        <is>
          <t>Rinso</t>
        </is>
      </c>
      <c r="C849" t="inlineStr">
        <is>
          <t>22%</t>
        </is>
      </c>
      <c r="D849" t="n">
        <v>120200</v>
      </c>
      <c r="E849" t="n">
        <v>153200</v>
      </c>
      <c r="F849" t="n">
        <v>120200</v>
      </c>
      <c r="G849" t="n">
        <v>153200</v>
      </c>
      <c r="H849" t="n">
        <v>120200</v>
      </c>
      <c r="I849" t="n">
        <v>153200</v>
      </c>
      <c r="J849" t="b">
        <v>1</v>
      </c>
      <c r="K849" t="inlineStr">
        <is>
          <t>Unilever Indonesia Official Shop</t>
        </is>
      </c>
      <c r="L849" t="inlineStr">
        <is>
          <t>KOTA BEKASI</t>
        </is>
      </c>
      <c r="M849" t="n">
        <v>4432139093</v>
      </c>
      <c r="N849" t="n">
        <v>14318452</v>
      </c>
      <c r="O849">
        <f>HYPERLINK("https://shopee.co.id/api/v4/item/get?itemid=4432139093&amp;shopid=14318452", "Rinso Matic Deterjen Cair Bukaan Atas 1.45L Twin Pack")</f>
        <v/>
      </c>
      <c r="P849" t="n">
        <v>117</v>
      </c>
      <c r="Q849" t="n">
        <v>714</v>
      </c>
      <c r="R849" t="n">
        <v>4.93654042988741</v>
      </c>
      <c r="S849" t="n">
        <v>16</v>
      </c>
      <c r="T849" t="n">
        <v>5</v>
      </c>
      <c r="U849" t="n">
        <v>17</v>
      </c>
      <c r="V849" t="n">
        <v>79</v>
      </c>
      <c r="W849" t="n">
        <v>2816</v>
      </c>
    </row>
    <row r="850">
      <c r="A850" t="inlineStr">
        <is>
          <t>Citra Moisturizer Krim Wajah Pelembab Wajah - Anti Acne Green Tea 5X Spot Reduction 40Gx2</t>
        </is>
      </c>
      <c r="B850" t="inlineStr">
        <is>
          <t>Citra</t>
        </is>
      </c>
      <c r="C850" t="inlineStr">
        <is>
          <t>1%</t>
        </is>
      </c>
      <c r="D850" t="n">
        <v>90500</v>
      </c>
      <c r="E850" t="n">
        <v>91400</v>
      </c>
      <c r="F850" t="n">
        <v>90500</v>
      </c>
      <c r="G850" t="n">
        <v>91400</v>
      </c>
      <c r="H850" t="n">
        <v>90500</v>
      </c>
      <c r="I850" t="n">
        <v>91400</v>
      </c>
      <c r="J850" t="b">
        <v>1</v>
      </c>
      <c r="K850" t="inlineStr">
        <is>
          <t>Unilever Indonesia Official Shop</t>
        </is>
      </c>
      <c r="L850" t="inlineStr">
        <is>
          <t>KOTA BEKASI</t>
        </is>
      </c>
      <c r="M850" t="n">
        <v>7030963012</v>
      </c>
      <c r="N850" t="n">
        <v>14318452</v>
      </c>
      <c r="O850">
        <f>HYPERLINK("https://shopee.co.id/api/v4/item/get?itemid=7030963012&amp;shopid=14318452", "Citra Moisturizer Krim Wajah Pelembab Wajah - Anti Acne Green Tea 5X Spot Reduction 40Gx2")</f>
        <v/>
      </c>
      <c r="P850" t="n">
        <v>35</v>
      </c>
      <c r="Q850" t="n">
        <v>464</v>
      </c>
      <c r="R850" t="n">
        <v>4.913978494623656</v>
      </c>
      <c r="S850" t="n">
        <v>3</v>
      </c>
      <c r="T850" t="n">
        <v>0</v>
      </c>
      <c r="U850" t="n">
        <v>19</v>
      </c>
      <c r="V850" t="n">
        <v>78</v>
      </c>
      <c r="W850" t="n">
        <v>1388</v>
      </c>
    </row>
    <row r="851">
      <c r="A851" t="inlineStr">
        <is>
          <t>Pepsodent Nanosoft Sikat Gigi Sensitive Multipack isi 2 x2</t>
        </is>
      </c>
      <c r="B851" t="inlineStr">
        <is>
          <t>Pepsodent</t>
        </is>
      </c>
      <c r="C851" t="inlineStr">
        <is>
          <t>20%</t>
        </is>
      </c>
      <c r="D851" t="n">
        <v>35500</v>
      </c>
      <c r="E851" t="n">
        <v>44500</v>
      </c>
      <c r="F851" t="n">
        <v>35500</v>
      </c>
      <c r="G851" t="n">
        <v>44500</v>
      </c>
      <c r="H851" t="n">
        <v>35500</v>
      </c>
      <c r="I851" t="n">
        <v>44500</v>
      </c>
      <c r="J851" t="b">
        <v>1</v>
      </c>
      <c r="K851" t="inlineStr">
        <is>
          <t>Unilever Indonesia Official Shop</t>
        </is>
      </c>
      <c r="L851" t="inlineStr">
        <is>
          <t>KOTA BEKASI</t>
        </is>
      </c>
      <c r="M851" t="n">
        <v>4731367921</v>
      </c>
      <c r="N851" t="n">
        <v>14318452</v>
      </c>
      <c r="O851">
        <f>HYPERLINK("https://shopee.co.id/api/v4/item/get?itemid=4731367921&amp;shopid=14318452", "Pepsodent Nanosoft Sikat Gigi Sensitive Multipack isi 2 x2")</f>
        <v/>
      </c>
      <c r="P851" t="n">
        <v>40</v>
      </c>
      <c r="Q851" t="n">
        <v>306</v>
      </c>
      <c r="R851" t="n">
        <v>4.946264744429882</v>
      </c>
      <c r="S851" t="n">
        <v>0</v>
      </c>
      <c r="T851" t="n">
        <v>1</v>
      </c>
      <c r="U851" t="n">
        <v>3</v>
      </c>
      <c r="V851" t="n">
        <v>32</v>
      </c>
      <c r="W851" t="n">
        <v>727</v>
      </c>
    </row>
    <row r="852">
      <c r="A852" t="inlineStr">
        <is>
          <t>St. Ives Gentle Smoothing Oatmeal Scrub &amp; Mask / Masker Wajah  170 gr</t>
        </is>
      </c>
      <c r="B852" t="inlineStr">
        <is>
          <t>0</t>
        </is>
      </c>
      <c r="C852" t="inlineStr">
        <is>
          <t>1%</t>
        </is>
      </c>
      <c r="D852" t="n">
        <v>68400</v>
      </c>
      <c r="E852" t="n">
        <v>69000</v>
      </c>
      <c r="F852" t="n">
        <v>68400</v>
      </c>
      <c r="G852" t="n">
        <v>69000</v>
      </c>
      <c r="H852" t="n">
        <v>68400</v>
      </c>
      <c r="I852" t="n">
        <v>69000</v>
      </c>
      <c r="J852" t="b">
        <v>1</v>
      </c>
      <c r="K852" t="inlineStr">
        <is>
          <t>Unilever Indonesia Official Shop</t>
        </is>
      </c>
      <c r="L852" t="inlineStr">
        <is>
          <t>KOTA BEKASI</t>
        </is>
      </c>
      <c r="M852" t="n">
        <v>1122970176</v>
      </c>
      <c r="N852" t="n">
        <v>14318452</v>
      </c>
      <c r="O852">
        <f>HYPERLINK("https://shopee.co.id/api/v4/item/get?itemid=1122970176&amp;shopid=14318452", "St. Ives Gentle Smoothing Oatmeal Scrub &amp; Mask / Masker Wajah  170 gr")</f>
        <v/>
      </c>
      <c r="P852" t="n">
        <v>0</v>
      </c>
      <c r="Q852" t="n">
        <v>102</v>
      </c>
      <c r="R852" t="n">
        <v>4.904943834900731</v>
      </c>
      <c r="S852" t="n">
        <v>64</v>
      </c>
      <c r="T852" t="n">
        <v>47</v>
      </c>
      <c r="U852" t="n">
        <v>255</v>
      </c>
      <c r="V852" t="n">
        <v>2012</v>
      </c>
      <c r="W852" t="n">
        <v>28248</v>
      </c>
    </row>
    <row r="853">
      <c r="A853" t="inlineStr">
        <is>
          <t>Buy Lifebuoy Shampoo Anti Dandruff 900ml Free Lifebuoy Anti-Bacterial Hair Mist</t>
        </is>
      </c>
      <c r="B853" t="inlineStr">
        <is>
          <t>Lifebuoy</t>
        </is>
      </c>
      <c r="C853" t="inlineStr">
        <is>
          <t>5%</t>
        </is>
      </c>
      <c r="D853" t="n">
        <v>71100</v>
      </c>
      <c r="E853" t="n">
        <v>75000</v>
      </c>
      <c r="F853" t="n">
        <v>71100</v>
      </c>
      <c r="G853" t="n">
        <v>75000</v>
      </c>
      <c r="H853" t="n">
        <v>71100</v>
      </c>
      <c r="I853" t="n">
        <v>75000</v>
      </c>
      <c r="J853" t="b">
        <v>1</v>
      </c>
      <c r="K853" t="inlineStr">
        <is>
          <t>Unilever Indonesia Official Shop</t>
        </is>
      </c>
      <c r="L853" t="inlineStr">
        <is>
          <t>KOTA BEKASI</t>
        </is>
      </c>
      <c r="M853" t="n">
        <v>6793057769</v>
      </c>
      <c r="N853" t="n">
        <v>14318452</v>
      </c>
      <c r="O853">
        <f>HYPERLINK("https://shopee.co.id/api/v4/item/get?itemid=6793057769&amp;shopid=14318452", "Buy Lifebuoy Shampoo Anti Dandruff 900ml Free Lifebuoy Anti-Bacterial Hair Mist")</f>
        <v/>
      </c>
      <c r="P853" t="n">
        <v>92</v>
      </c>
      <c r="Q853" t="n">
        <v>1493</v>
      </c>
      <c r="R853" t="n">
        <v>4.95233892321271</v>
      </c>
      <c r="S853" t="n">
        <v>1</v>
      </c>
      <c r="T853" t="n">
        <v>1</v>
      </c>
      <c r="U853" t="n">
        <v>5</v>
      </c>
      <c r="V853" t="n">
        <v>40</v>
      </c>
      <c r="W853" t="n">
        <v>1087</v>
      </c>
    </row>
    <row r="854">
      <c r="A854" t="inlineStr">
        <is>
          <t>Molto Pelembut Dan Pewangi Pakaian All In 1 Pink Refill 720Ml</t>
        </is>
      </c>
      <c r="B854" t="inlineStr">
        <is>
          <t>0</t>
        </is>
      </c>
      <c r="C854" t="inlineStr">
        <is>
          <t>16%</t>
        </is>
      </c>
      <c r="D854" t="n">
        <v>31400</v>
      </c>
      <c r="E854" t="n">
        <v>37500</v>
      </c>
      <c r="F854" t="n">
        <v>31400</v>
      </c>
      <c r="G854" t="n">
        <v>37500</v>
      </c>
      <c r="H854" t="n">
        <v>31400</v>
      </c>
      <c r="I854" t="n">
        <v>37500</v>
      </c>
      <c r="J854" t="b">
        <v>1</v>
      </c>
      <c r="K854" t="inlineStr">
        <is>
          <t>Unilever Indonesia Official Shop</t>
        </is>
      </c>
      <c r="L854" t="inlineStr">
        <is>
          <t>KOTA BEKASI</t>
        </is>
      </c>
      <c r="M854" t="n">
        <v>1041656646</v>
      </c>
      <c r="N854" t="n">
        <v>14318452</v>
      </c>
      <c r="O854">
        <f>HYPERLINK("https://shopee.co.id/api/v4/item/get?itemid=1041656646&amp;shopid=14318452", "Molto Pelembut Dan Pewangi Pakaian All In 1 Pink Refill 720Ml")</f>
        <v/>
      </c>
      <c r="P854" t="n">
        <v>18</v>
      </c>
      <c r="Q854" t="n">
        <v>294</v>
      </c>
      <c r="R854" t="n">
        <v>4.937027707808564</v>
      </c>
      <c r="S854" t="n">
        <v>4</v>
      </c>
      <c r="T854" t="n">
        <v>4</v>
      </c>
      <c r="U854" t="n">
        <v>16</v>
      </c>
      <c r="V854" t="n">
        <v>140</v>
      </c>
      <c r="W854" t="n">
        <v>3012</v>
      </c>
    </row>
    <row r="855">
      <c r="A855" t="inlineStr">
        <is>
          <t>Rinso Deterjen Cair Anti Noda 750ml Multi Pack</t>
        </is>
      </c>
      <c r="B855" t="inlineStr">
        <is>
          <t>0</t>
        </is>
      </c>
      <c r="C855" t="inlineStr">
        <is>
          <t>22%</t>
        </is>
      </c>
      <c r="D855" t="n">
        <v>74800</v>
      </c>
      <c r="E855" t="n">
        <v>95300</v>
      </c>
      <c r="F855" t="n">
        <v>74800</v>
      </c>
      <c r="G855" t="n">
        <v>95300</v>
      </c>
      <c r="H855" t="n">
        <v>74800</v>
      </c>
      <c r="I855" t="n">
        <v>95300</v>
      </c>
      <c r="J855" t="b">
        <v>1</v>
      </c>
      <c r="K855" t="inlineStr">
        <is>
          <t>Unilever Indonesia Official Shop</t>
        </is>
      </c>
      <c r="L855" t="inlineStr">
        <is>
          <t>KOTA SURABAYA</t>
        </is>
      </c>
      <c r="M855" t="n">
        <v>4331754702</v>
      </c>
      <c r="N855" t="n">
        <v>14318452</v>
      </c>
      <c r="O855">
        <f>HYPERLINK("https://shopee.co.id/api/v4/item/get?itemid=4331754702&amp;shopid=14318452", "Rinso Deterjen Cair Anti Noda 750ml Multi Pack")</f>
        <v/>
      </c>
      <c r="P855" t="n">
        <v>24</v>
      </c>
      <c r="Q855" t="n">
        <v>138</v>
      </c>
      <c r="R855" t="n">
        <v>4.942451420029895</v>
      </c>
      <c r="S855" t="n">
        <v>2</v>
      </c>
      <c r="T855" t="n">
        <v>2</v>
      </c>
      <c r="U855" t="n">
        <v>7</v>
      </c>
      <c r="V855" t="n">
        <v>49</v>
      </c>
      <c r="W855" t="n">
        <v>1278</v>
      </c>
    </row>
    <row r="856">
      <c r="A856" t="inlineStr">
        <is>
          <t>Ponds Age Miracle Anti Aging+Glowing Whip Day Cream 50g with Retinol, Niacinamide,Collagen</t>
        </is>
      </c>
      <c r="B856" t="inlineStr">
        <is>
          <t>Pond's</t>
        </is>
      </c>
      <c r="C856" t="inlineStr">
        <is>
          <t>24%</t>
        </is>
      </c>
      <c r="D856" t="n">
        <v>150400</v>
      </c>
      <c r="E856" t="n">
        <v>198200</v>
      </c>
      <c r="F856" t="n">
        <v>150400</v>
      </c>
      <c r="G856" t="n">
        <v>198200</v>
      </c>
      <c r="H856" t="n">
        <v>150400</v>
      </c>
      <c r="I856" t="n">
        <v>198200</v>
      </c>
      <c r="J856" t="b">
        <v>1</v>
      </c>
      <c r="K856" t="inlineStr">
        <is>
          <t>Unilever Indonesia Official Shop</t>
        </is>
      </c>
      <c r="L856" t="inlineStr">
        <is>
          <t>KOTA BEKASI</t>
        </is>
      </c>
      <c r="M856" t="n">
        <v>2809209073</v>
      </c>
      <c r="N856" t="n">
        <v>14318452</v>
      </c>
      <c r="O856">
        <f>HYPERLINK("https://shopee.co.id/api/v4/item/get?itemid=2809209073&amp;shopid=14318452", "Ponds Age Miracle Anti Aging+Glowing Whip Day Cream 50g with Retinol, Niacinamide,Collagen")</f>
        <v/>
      </c>
      <c r="P856" t="n">
        <v>287</v>
      </c>
      <c r="Q856" t="n">
        <v>501</v>
      </c>
      <c r="R856" t="n">
        <v>4.935799109351806</v>
      </c>
      <c r="S856" t="n">
        <v>11</v>
      </c>
      <c r="T856" t="n">
        <v>7</v>
      </c>
      <c r="U856" t="n">
        <v>40</v>
      </c>
      <c r="V856" t="n">
        <v>381</v>
      </c>
      <c r="W856" t="n">
        <v>7647</v>
      </c>
    </row>
    <row r="857">
      <c r="A857" t="inlineStr">
        <is>
          <t>Rinso Molto Royal Gold Powder 770 g - Perlindungan Dari Bakteri</t>
        </is>
      </c>
      <c r="B857" t="inlineStr">
        <is>
          <t>0</t>
        </is>
      </c>
      <c r="C857" t="inlineStr">
        <is>
          <t>25%</t>
        </is>
      </c>
      <c r="D857" t="n">
        <v>26300</v>
      </c>
      <c r="E857" t="n">
        <v>35100</v>
      </c>
      <c r="F857" t="n">
        <v>26300</v>
      </c>
      <c r="G857" t="n">
        <v>35100</v>
      </c>
      <c r="H857" t="n">
        <v>26300</v>
      </c>
      <c r="I857" t="n">
        <v>35100</v>
      </c>
      <c r="J857" t="b">
        <v>1</v>
      </c>
      <c r="K857" t="inlineStr">
        <is>
          <t>Unilever Indonesia Official Shop</t>
        </is>
      </c>
      <c r="L857" t="inlineStr">
        <is>
          <t>KOTA BEKASI</t>
        </is>
      </c>
      <c r="M857" t="n">
        <v>4557975507</v>
      </c>
      <c r="N857" t="n">
        <v>14318452</v>
      </c>
      <c r="O857">
        <f>HYPERLINK("https://shopee.co.id/api/v4/item/get?itemid=4557975507&amp;shopid=14318452", "Rinso Molto Royal Gold Powder 770 g - Perlindungan Dari Bakteri")</f>
        <v/>
      </c>
      <c r="P857" t="n">
        <v>17</v>
      </c>
      <c r="Q857" t="n">
        <v>316</v>
      </c>
      <c r="R857" t="n">
        <v>4.93649449618967</v>
      </c>
      <c r="S857" t="n">
        <v>2</v>
      </c>
      <c r="T857" t="n">
        <v>0</v>
      </c>
      <c r="U857" t="n">
        <v>9</v>
      </c>
      <c r="V857" t="n">
        <v>49</v>
      </c>
      <c r="W857" t="n">
        <v>1121</v>
      </c>
    </row>
    <row r="858">
      <c r="A858" t="inlineStr">
        <is>
          <t>Dove Shampoo Perawatan Rambut Rontok Berkurang 99% dengan Nutri Serum dan Dynazinc 290ml x2</t>
        </is>
      </c>
      <c r="B858" t="inlineStr">
        <is>
          <t>0</t>
        </is>
      </c>
      <c r="C858" t="inlineStr">
        <is>
          <t>1%</t>
        </is>
      </c>
      <c r="D858" t="n">
        <v>107000</v>
      </c>
      <c r="E858" t="n">
        <v>108000</v>
      </c>
      <c r="F858" t="n">
        <v>107000</v>
      </c>
      <c r="G858" t="n">
        <v>108000</v>
      </c>
      <c r="H858" t="n">
        <v>107000</v>
      </c>
      <c r="I858" t="n">
        <v>108000</v>
      </c>
      <c r="J858" t="b">
        <v>1</v>
      </c>
      <c r="K858" t="inlineStr">
        <is>
          <t>Unilever Indonesia Official Shop</t>
        </is>
      </c>
      <c r="L858" t="inlineStr">
        <is>
          <t>KOTA BEKASI</t>
        </is>
      </c>
      <c r="M858" t="n">
        <v>7431061339</v>
      </c>
      <c r="N858" t="n">
        <v>14318452</v>
      </c>
      <c r="O858">
        <f>HYPERLINK("https://shopee.co.id/api/v4/item/get?itemid=7431061339&amp;shopid=14318452", "Dove Shampoo Perawatan Rambut Rontok Berkurang 99% dengan Nutri Serum dan Dynazinc 290ml x2")</f>
        <v/>
      </c>
      <c r="P858" t="n">
        <v>37</v>
      </c>
      <c r="Q858" t="n">
        <v>460</v>
      </c>
      <c r="R858" t="n">
        <v>4.868215460526316</v>
      </c>
      <c r="S858" t="n">
        <v>51</v>
      </c>
      <c r="T858" t="n">
        <v>28</v>
      </c>
      <c r="U858" t="n">
        <v>90</v>
      </c>
      <c r="V858" t="n">
        <v>182</v>
      </c>
      <c r="W858" t="n">
        <v>4517</v>
      </c>
    </row>
    <row r="859">
      <c r="A859" t="inlineStr">
        <is>
          <t>Wipol Wipes Tisu Basah Disinfektan 10 Sheets Twinpack</t>
        </is>
      </c>
      <c r="B859" t="inlineStr">
        <is>
          <t>Wipol</t>
        </is>
      </c>
      <c r="C859" t="inlineStr">
        <is>
          <t>13%</t>
        </is>
      </c>
      <c r="D859" t="n">
        <v>21900</v>
      </c>
      <c r="E859" t="n">
        <v>25200</v>
      </c>
      <c r="F859" t="n">
        <v>21900</v>
      </c>
      <c r="G859" t="n">
        <v>25200</v>
      </c>
      <c r="H859" t="n">
        <v>21900</v>
      </c>
      <c r="I859" t="n">
        <v>25200</v>
      </c>
      <c r="J859" t="b">
        <v>1</v>
      </c>
      <c r="K859" t="inlineStr">
        <is>
          <t>Unilever Indonesia Official Shop</t>
        </is>
      </c>
      <c r="L859" t="inlineStr">
        <is>
          <t>KAB. BANYUASIN</t>
        </is>
      </c>
      <c r="M859" t="n">
        <v>6543547217</v>
      </c>
      <c r="N859" t="n">
        <v>14318452</v>
      </c>
      <c r="O859">
        <f>HYPERLINK("https://shopee.co.id/api/v4/item/get?itemid=6543547217&amp;shopid=14318452", "Wipol Wipes Tisu Basah Disinfektan 10 Sheets Twinpack")</f>
        <v/>
      </c>
      <c r="P859" t="n">
        <v>10</v>
      </c>
      <c r="Q859" t="n">
        <v>2</v>
      </c>
      <c r="R859" t="n">
        <v>4.960672148730783</v>
      </c>
      <c r="S859" t="n">
        <v>5</v>
      </c>
      <c r="T859" t="n">
        <v>4</v>
      </c>
      <c r="U859" t="n">
        <v>6</v>
      </c>
      <c r="V859" t="n">
        <v>76</v>
      </c>
      <c r="W859" t="n">
        <v>2709</v>
      </c>
    </row>
    <row r="860">
      <c r="A860" t="inlineStr">
        <is>
          <t>Rinso Matic Deterjen Cair Detergent Mesin Cuci Bukaan Depan 3X Lebih Efektif 1.45L</t>
        </is>
      </c>
      <c r="B860" t="inlineStr">
        <is>
          <t>Rinso</t>
        </is>
      </c>
      <c r="C860" t="inlineStr">
        <is>
          <t>18%</t>
        </is>
      </c>
      <c r="D860" t="n">
        <v>74200</v>
      </c>
      <c r="E860" t="n">
        <v>90900</v>
      </c>
      <c r="F860" t="n">
        <v>74200</v>
      </c>
      <c r="G860" t="n">
        <v>90900</v>
      </c>
      <c r="H860" t="n">
        <v>74200</v>
      </c>
      <c r="I860" t="n">
        <v>90900</v>
      </c>
      <c r="J860" t="b">
        <v>1</v>
      </c>
      <c r="K860" t="inlineStr">
        <is>
          <t>Unilever Indonesia Official Shop</t>
        </is>
      </c>
      <c r="L860" t="inlineStr">
        <is>
          <t>KOTA BEKASI</t>
        </is>
      </c>
      <c r="M860" t="n">
        <v>976680597</v>
      </c>
      <c r="N860" t="n">
        <v>14318452</v>
      </c>
      <c r="O860">
        <f>HYPERLINK("https://shopee.co.id/api/v4/item/get?itemid=976680597&amp;shopid=14318452", "Rinso Matic Deterjen Cair Detergent Mesin Cuci Bukaan Depan 3X Lebih Efektif 1.45L")</f>
        <v/>
      </c>
      <c r="P860" t="n">
        <v>643</v>
      </c>
      <c r="Q860" t="n">
        <v>2283</v>
      </c>
      <c r="R860" t="n">
        <v>4.925248070562294</v>
      </c>
      <c r="S860" t="n">
        <v>38</v>
      </c>
      <c r="T860" t="n">
        <v>16</v>
      </c>
      <c r="U860" t="n">
        <v>68</v>
      </c>
      <c r="V860" t="n">
        <v>354</v>
      </c>
      <c r="W860" t="n">
        <v>8607</v>
      </c>
    </row>
    <row r="861">
      <c r="A861" t="inlineStr">
        <is>
          <t xml:space="preserve">Buy 2x  Vaseline Repairing Hand Mask &amp;  2x Repairing Foot Mask  FREE Vaseline Rossy Tint </t>
        </is>
      </c>
      <c r="B861" t="inlineStr"/>
      <c r="C861" t="inlineStr">
        <is>
          <t>28%</t>
        </is>
      </c>
      <c r="D861" t="n">
        <v>127600</v>
      </c>
      <c r="E861" t="n">
        <v>178000</v>
      </c>
      <c r="F861" t="n">
        <v>127600</v>
      </c>
      <c r="G861" t="n">
        <v>178000</v>
      </c>
      <c r="H861" t="n">
        <v>127600</v>
      </c>
      <c r="I861" t="n">
        <v>178000</v>
      </c>
      <c r="J861" t="b">
        <v>1</v>
      </c>
      <c r="K861" t="inlineStr">
        <is>
          <t>Unilever Indonesia Official Shop</t>
        </is>
      </c>
      <c r="L861" t="inlineStr">
        <is>
          <t>KOTA BEKASI</t>
        </is>
      </c>
      <c r="M861" t="n">
        <v>12809429173</v>
      </c>
      <c r="N861" t="n">
        <v>14318452</v>
      </c>
      <c r="O861">
        <f>HYPERLINK("https://shopee.co.id/api/v4/item/get?itemid=12809429173&amp;shopid=14318452", "Buy 2x  Vaseline Repairing Hand Mask &amp;  2x Repairing Foot Mask  FREE Vaseline Rossy Tint ")</f>
        <v/>
      </c>
      <c r="P861" t="n">
        <v>24</v>
      </c>
      <c r="Q861" t="n">
        <v>29</v>
      </c>
      <c r="R861" t="n">
        <v>4.950113378684807</v>
      </c>
      <c r="S861" t="n">
        <v>1</v>
      </c>
      <c r="T861" t="n">
        <v>0</v>
      </c>
      <c r="U861" t="n">
        <v>2</v>
      </c>
      <c r="V861" t="n">
        <v>14</v>
      </c>
      <c r="W861" t="n">
        <v>424</v>
      </c>
    </row>
    <row r="862">
      <c r="A862" t="inlineStr">
        <is>
          <t>Bango Bumbu Rawon Khas Malang 35 gr</t>
        </is>
      </c>
      <c r="B862" t="inlineStr">
        <is>
          <t>Bango</t>
        </is>
      </c>
      <c r="C862" t="inlineStr">
        <is>
          <t>12%</t>
        </is>
      </c>
      <c r="D862" t="n">
        <v>5700</v>
      </c>
      <c r="E862" t="n">
        <v>6500</v>
      </c>
      <c r="F862" t="n">
        <v>5700</v>
      </c>
      <c r="G862" t="n">
        <v>6500</v>
      </c>
      <c r="H862" t="n">
        <v>5700</v>
      </c>
      <c r="I862" t="n">
        <v>6500</v>
      </c>
      <c r="J862" t="b">
        <v>1</v>
      </c>
      <c r="K862" t="inlineStr">
        <is>
          <t>Unilever Indonesia Official Shop</t>
        </is>
      </c>
      <c r="L862" t="inlineStr">
        <is>
          <t>KOTA BEKASI</t>
        </is>
      </c>
      <c r="M862" t="n">
        <v>6757918534</v>
      </c>
      <c r="N862" t="n">
        <v>14318452</v>
      </c>
      <c r="O862">
        <f>HYPERLINK("https://shopee.co.id/api/v4/item/get?itemid=6757918534&amp;shopid=14318452", "Bango Bumbu Rawon Khas Malang 35 gr")</f>
        <v/>
      </c>
      <c r="P862" t="n">
        <v>25</v>
      </c>
      <c r="Q862" t="n">
        <v>349</v>
      </c>
      <c r="R862" t="n">
        <v>4.935483870967742</v>
      </c>
      <c r="S862" t="n">
        <v>0</v>
      </c>
      <c r="T862" t="n">
        <v>0</v>
      </c>
      <c r="U862" t="n">
        <v>4</v>
      </c>
      <c r="V862" t="n">
        <v>18</v>
      </c>
      <c r="W862" t="n">
        <v>381</v>
      </c>
    </row>
    <row r="863">
      <c r="A863" t="inlineStr">
        <is>
          <t>St Ives Hydrating Vitamin E &amp; Avocado Hand Cream 30 ml</t>
        </is>
      </c>
      <c r="B863" t="inlineStr">
        <is>
          <t>St Ives</t>
        </is>
      </c>
      <c r="C863" t="inlineStr">
        <is>
          <t>27%</t>
        </is>
      </c>
      <c r="D863" t="n">
        <v>39800</v>
      </c>
      <c r="E863" t="n">
        <v>54500</v>
      </c>
      <c r="F863" t="n">
        <v>39800</v>
      </c>
      <c r="G863" t="n">
        <v>54500</v>
      </c>
      <c r="H863" t="n">
        <v>39800</v>
      </c>
      <c r="I863" t="n">
        <v>54500</v>
      </c>
      <c r="J863" t="b">
        <v>1</v>
      </c>
      <c r="K863" t="inlineStr">
        <is>
          <t>Unilever Indonesia Official Shop</t>
        </is>
      </c>
      <c r="L863" t="inlineStr">
        <is>
          <t>KAB. BANYUASIN</t>
        </is>
      </c>
      <c r="M863" t="n">
        <v>4157167308</v>
      </c>
      <c r="N863" t="n">
        <v>14318452</v>
      </c>
      <c r="O863">
        <f>HYPERLINK("https://shopee.co.id/api/v4/item/get?itemid=4157167308&amp;shopid=14318452", "St Ives Hydrating Vitamin E &amp; Avocado Hand Cream 30 ml")</f>
        <v/>
      </c>
      <c r="P863" t="n">
        <v>15</v>
      </c>
      <c r="Q863" t="n">
        <v>41</v>
      </c>
      <c r="R863" t="n">
        <v>4.930790960451978</v>
      </c>
      <c r="S863" t="n">
        <v>0</v>
      </c>
      <c r="T863" t="n">
        <v>0</v>
      </c>
      <c r="U863" t="n">
        <v>4</v>
      </c>
      <c r="V863" t="n">
        <v>41</v>
      </c>
      <c r="W863" t="n">
        <v>663</v>
      </c>
    </row>
    <row r="864">
      <c r="A864" t="inlineStr">
        <is>
          <t>Lifebuoy SHAMPO ANTI KETOMBE ANTI DANDRUFF dgn MilkNutriStrong&amp;Active Zinc 340ML</t>
        </is>
      </c>
      <c r="B864" t="inlineStr">
        <is>
          <t>0</t>
        </is>
      </c>
      <c r="C864" t="inlineStr">
        <is>
          <t>1%</t>
        </is>
      </c>
      <c r="D864" t="n">
        <v>86700</v>
      </c>
      <c r="E864" t="n">
        <v>87500</v>
      </c>
      <c r="F864" t="n">
        <v>86700</v>
      </c>
      <c r="G864" t="n">
        <v>87500</v>
      </c>
      <c r="H864" t="n">
        <v>86700</v>
      </c>
      <c r="I864" t="n">
        <v>87500</v>
      </c>
      <c r="J864" t="b">
        <v>1</v>
      </c>
      <c r="K864" t="inlineStr">
        <is>
          <t>Unilever Indonesia Official Shop</t>
        </is>
      </c>
      <c r="L864" t="inlineStr">
        <is>
          <t>KOTA BEKASI</t>
        </is>
      </c>
      <c r="M864" t="n">
        <v>5231357759</v>
      </c>
      <c r="N864" t="n">
        <v>14318452</v>
      </c>
      <c r="O864">
        <f>HYPERLINK("https://shopee.co.id/api/v4/item/get?itemid=5231357759&amp;shopid=14318452", "Lifebuoy SHAMPO ANTI KETOMBE ANTI DANDRUFF dgn MilkNutriStrong&amp;Active Zinc 340ML")</f>
        <v/>
      </c>
      <c r="P864" t="n">
        <v>15</v>
      </c>
      <c r="Q864" t="n">
        <v>398</v>
      </c>
      <c r="R864" t="n">
        <v>4.936908517350158</v>
      </c>
      <c r="S864" t="n">
        <v>1</v>
      </c>
      <c r="T864" t="n">
        <v>2</v>
      </c>
      <c r="U864" t="n">
        <v>10</v>
      </c>
      <c r="V864" t="n">
        <v>54</v>
      </c>
      <c r="W864" t="n">
        <v>1202</v>
      </c>
    </row>
    <row r="865">
      <c r="A865" t="inlineStr">
        <is>
          <t>Royco Bumbu Ayam Saus Telur Asin 22 gr</t>
        </is>
      </c>
      <c r="B865" t="inlineStr">
        <is>
          <t>0</t>
        </is>
      </c>
      <c r="C865" t="inlineStr">
        <is>
          <t>5%</t>
        </is>
      </c>
      <c r="D865" t="n">
        <v>6500</v>
      </c>
      <c r="E865" t="n">
        <v>6850</v>
      </c>
      <c r="F865" t="n">
        <v>6500</v>
      </c>
      <c r="G865" t="n">
        <v>6850</v>
      </c>
      <c r="H865" t="n">
        <v>6500</v>
      </c>
      <c r="I865" t="n">
        <v>6850</v>
      </c>
      <c r="J865" t="b">
        <v>1</v>
      </c>
      <c r="K865" t="inlineStr">
        <is>
          <t>Unilever Indonesia Official Shop</t>
        </is>
      </c>
      <c r="L865" t="inlineStr">
        <is>
          <t>KOTA BEKASI</t>
        </is>
      </c>
      <c r="M865" t="n">
        <v>2412618006</v>
      </c>
      <c r="N865" t="n">
        <v>14318452</v>
      </c>
      <c r="O865">
        <f>HYPERLINK("https://shopee.co.id/api/v4/item/get?itemid=2412618006&amp;shopid=14318452", "Royco Bumbu Ayam Saus Telur Asin 22 gr")</f>
        <v/>
      </c>
      <c r="P865" t="n">
        <v>675</v>
      </c>
      <c r="Q865" t="n">
        <v>2406</v>
      </c>
      <c r="R865" t="n">
        <v>4.906511862695608</v>
      </c>
      <c r="S865" t="n">
        <v>50</v>
      </c>
      <c r="T865" t="n">
        <v>18</v>
      </c>
      <c r="U865" t="n">
        <v>77</v>
      </c>
      <c r="V865" t="n">
        <v>518</v>
      </c>
      <c r="W865" t="n">
        <v>9246</v>
      </c>
    </row>
    <row r="866">
      <c r="A866" t="inlineStr">
        <is>
          <t>Lifebuoy Shampo Anti Ketombe Anti Dandruff dengan Milknutristrong &amp; Active Zinc Pump 680ML</t>
        </is>
      </c>
      <c r="B866" t="inlineStr">
        <is>
          <t>Lifebuoy</t>
        </is>
      </c>
      <c r="C866" t="inlineStr">
        <is>
          <t>2%</t>
        </is>
      </c>
      <c r="D866" t="n">
        <v>181200</v>
      </c>
      <c r="E866" t="n">
        <v>185300</v>
      </c>
      <c r="F866" t="n">
        <v>181200</v>
      </c>
      <c r="G866" t="n">
        <v>185300</v>
      </c>
      <c r="H866" t="n">
        <v>181200</v>
      </c>
      <c r="I866" t="n">
        <v>185300</v>
      </c>
      <c r="J866" t="b">
        <v>1</v>
      </c>
      <c r="K866" t="inlineStr">
        <is>
          <t>Unilever Indonesia Official Shop</t>
        </is>
      </c>
      <c r="L866" t="inlineStr">
        <is>
          <t>KOTA BEKASI</t>
        </is>
      </c>
      <c r="M866" t="n">
        <v>3531465846</v>
      </c>
      <c r="N866" t="n">
        <v>14318452</v>
      </c>
      <c r="O866">
        <f>HYPERLINK("https://shopee.co.id/api/v4/item/get?itemid=3531465846&amp;shopid=14318452", "Lifebuoy Shampo Anti Ketombe Anti Dandruff dengan Milknutristrong &amp; Active Zinc Pump 680ML")</f>
        <v/>
      </c>
      <c r="P866" t="n">
        <v>41</v>
      </c>
      <c r="Q866" t="n">
        <v>317</v>
      </c>
      <c r="R866" t="n">
        <v>4.933235509904622</v>
      </c>
      <c r="S866" t="n">
        <v>2</v>
      </c>
      <c r="T866" t="n">
        <v>0</v>
      </c>
      <c r="U866" t="n">
        <v>15</v>
      </c>
      <c r="V866" t="n">
        <v>53</v>
      </c>
      <c r="W866" t="n">
        <v>1293</v>
      </c>
    </row>
    <row r="867">
      <c r="A867" t="inlineStr">
        <is>
          <t>Clear Shampoo Anti Ketombe Ice Cool Menthol 660mlx2 -2X* lebih efektif melawan ketombe</t>
        </is>
      </c>
      <c r="B867" t="inlineStr">
        <is>
          <t>Clear</t>
        </is>
      </c>
      <c r="C867" t="inlineStr">
        <is>
          <t>15%</t>
        </is>
      </c>
      <c r="D867" t="n">
        <v>151800</v>
      </c>
      <c r="E867" t="n">
        <v>177700</v>
      </c>
      <c r="F867" t="n">
        <v>151800</v>
      </c>
      <c r="G867" t="n">
        <v>177700</v>
      </c>
      <c r="H867" t="n">
        <v>151800</v>
      </c>
      <c r="I867" t="n">
        <v>177700</v>
      </c>
      <c r="J867" t="b">
        <v>1</v>
      </c>
      <c r="K867" t="inlineStr">
        <is>
          <t>Unilever Indonesia Official Shop</t>
        </is>
      </c>
      <c r="L867" t="inlineStr">
        <is>
          <t>KOTA BEKASI</t>
        </is>
      </c>
      <c r="M867" t="n">
        <v>5631883172</v>
      </c>
      <c r="N867" t="n">
        <v>14318452</v>
      </c>
      <c r="O867">
        <f>HYPERLINK("https://shopee.co.id/api/v4/item/get?itemid=5631883172&amp;shopid=14318452", "Clear Shampoo Anti Ketombe Ice Cool Menthol 660mlx2 -2X* lebih efektif melawan ketombe")</f>
        <v/>
      </c>
      <c r="P867" t="n">
        <v>84</v>
      </c>
      <c r="Q867" t="n">
        <v>495</v>
      </c>
      <c r="R867" t="n">
        <v>4.951138256524153</v>
      </c>
      <c r="S867" t="n">
        <v>11</v>
      </c>
      <c r="T867" t="n">
        <v>6</v>
      </c>
      <c r="U867" t="n">
        <v>20</v>
      </c>
      <c r="V867" t="n">
        <v>165</v>
      </c>
      <c r="W867" t="n">
        <v>5202</v>
      </c>
    </row>
    <row r="868">
      <c r="A868" t="inlineStr">
        <is>
          <t>Bango Bumbu Rawon Khas Malang 35 gr Twinpack</t>
        </is>
      </c>
      <c r="B868" t="inlineStr">
        <is>
          <t>Bango</t>
        </is>
      </c>
      <c r="C868" t="inlineStr">
        <is>
          <t>13%</t>
        </is>
      </c>
      <c r="D868" t="n">
        <v>11300</v>
      </c>
      <c r="E868" t="n">
        <v>13000</v>
      </c>
      <c r="F868" t="n">
        <v>11300</v>
      </c>
      <c r="G868" t="n">
        <v>13000</v>
      </c>
      <c r="H868" t="n">
        <v>11300</v>
      </c>
      <c r="I868" t="n">
        <v>13000</v>
      </c>
      <c r="J868" t="b">
        <v>1</v>
      </c>
      <c r="K868" t="inlineStr">
        <is>
          <t>Unilever Indonesia Official Shop</t>
        </is>
      </c>
      <c r="L868" t="inlineStr">
        <is>
          <t>KOTA BEKASI</t>
        </is>
      </c>
      <c r="M868" t="n">
        <v>7543544155</v>
      </c>
      <c r="N868" t="n">
        <v>14318452</v>
      </c>
      <c r="O868">
        <f>HYPERLINK("https://shopee.co.id/api/v4/item/get?itemid=7543544155&amp;shopid=14318452", "Bango Bumbu Rawon Khas Malang 35 gr Twinpack")</f>
        <v/>
      </c>
      <c r="P868" t="n">
        <v>31</v>
      </c>
      <c r="Q868" t="n">
        <v>173</v>
      </c>
      <c r="R868" t="n">
        <v>4.934607645875252</v>
      </c>
      <c r="S868" t="n">
        <v>1</v>
      </c>
      <c r="T868" t="n">
        <v>1</v>
      </c>
      <c r="U868" t="n">
        <v>5</v>
      </c>
      <c r="V868" t="n">
        <v>48</v>
      </c>
      <c r="W868" t="n">
        <v>939</v>
      </c>
    </row>
    <row r="869">
      <c r="A869" t="inlineStr">
        <is>
          <t>Lifebuoy SHAMPO ANTI KETOMBE ANTI DANDRUFF dgn MilkNutriStrong&amp;Active Zinc 340ML</t>
        </is>
      </c>
      <c r="B869" t="inlineStr">
        <is>
          <t>0</t>
        </is>
      </c>
      <c r="C869" t="inlineStr">
        <is>
          <t>1%</t>
        </is>
      </c>
      <c r="D869" t="n">
        <v>130000</v>
      </c>
      <c r="E869" t="n">
        <v>131300</v>
      </c>
      <c r="F869" t="n">
        <v>130000</v>
      </c>
      <c r="G869" t="n">
        <v>131300</v>
      </c>
      <c r="H869" t="n">
        <v>130000</v>
      </c>
      <c r="I869" t="n">
        <v>131300</v>
      </c>
      <c r="J869" t="b">
        <v>1</v>
      </c>
      <c r="K869" t="inlineStr">
        <is>
          <t>Unilever Indonesia Official Shop</t>
        </is>
      </c>
      <c r="L869" t="inlineStr">
        <is>
          <t>KOTA BEKASI</t>
        </is>
      </c>
      <c r="M869" t="n">
        <v>7931356853</v>
      </c>
      <c r="N869" t="n">
        <v>14318452</v>
      </c>
      <c r="O869">
        <f>HYPERLINK("https://shopee.co.id/api/v4/item/get?itemid=7931356853&amp;shopid=14318452", "Lifebuoy SHAMPO ANTI KETOMBE ANTI DANDRUFF dgn MilkNutriStrong&amp;Active Zinc 340ML")</f>
        <v/>
      </c>
      <c r="P869" t="n">
        <v>15</v>
      </c>
      <c r="Q869" t="n">
        <v>264</v>
      </c>
      <c r="R869" t="n">
        <v>4.948979591836735</v>
      </c>
      <c r="S869" t="n">
        <v>1</v>
      </c>
      <c r="T869" t="n">
        <v>1</v>
      </c>
      <c r="U869" t="n">
        <v>2</v>
      </c>
      <c r="V869" t="n">
        <v>17</v>
      </c>
      <c r="W869" t="n">
        <v>470</v>
      </c>
    </row>
    <row r="870">
      <c r="A870" t="inlineStr">
        <is>
          <t>Bango Bumbu Soto Betawi Khas Jakarta 45 gr x 2 pcs</t>
        </is>
      </c>
      <c r="B870" t="inlineStr">
        <is>
          <t>Bango</t>
        </is>
      </c>
      <c r="C870" t="inlineStr">
        <is>
          <t>18%</t>
        </is>
      </c>
      <c r="D870" t="n">
        <v>10700</v>
      </c>
      <c r="E870" t="n">
        <v>13000</v>
      </c>
      <c r="F870" t="n">
        <v>10700</v>
      </c>
      <c r="G870" t="n">
        <v>13000</v>
      </c>
      <c r="H870" t="n">
        <v>10700</v>
      </c>
      <c r="I870" t="n">
        <v>13000</v>
      </c>
      <c r="J870" t="b">
        <v>1</v>
      </c>
      <c r="K870" t="inlineStr">
        <is>
          <t>Unilever Indonesia Official Shop</t>
        </is>
      </c>
      <c r="L870" t="inlineStr">
        <is>
          <t>KOTA MAKASSAR</t>
        </is>
      </c>
      <c r="M870" t="n">
        <v>4142283441</v>
      </c>
      <c r="N870" t="n">
        <v>14318452</v>
      </c>
      <c r="O870">
        <f>HYPERLINK("https://shopee.co.id/api/v4/item/get?itemid=4142283441&amp;shopid=14318452", "Bango Bumbu Soto Betawi Khas Jakarta 45 gr x 2 pcs")</f>
        <v/>
      </c>
      <c r="P870" t="n">
        <v>5</v>
      </c>
      <c r="Q870" t="n">
        <v>1</v>
      </c>
      <c r="R870" t="n">
        <v>4.930402930402931</v>
      </c>
      <c r="S870" t="n">
        <v>1</v>
      </c>
      <c r="T870" t="n">
        <v>0</v>
      </c>
      <c r="U870" t="n">
        <v>5</v>
      </c>
      <c r="V870" t="n">
        <v>43</v>
      </c>
      <c r="W870" t="n">
        <v>770</v>
      </c>
    </row>
    <row r="871">
      <c r="A871" t="inlineStr">
        <is>
          <t>Sunsilk Shampoo Soft &amp; Smooth 340ml Twin Pack</t>
        </is>
      </c>
      <c r="B871" t="inlineStr">
        <is>
          <t>Sunsilk</t>
        </is>
      </c>
      <c r="C871" t="inlineStr">
        <is>
          <t>13%</t>
        </is>
      </c>
      <c r="D871" t="n">
        <v>83000</v>
      </c>
      <c r="E871" t="n">
        <v>95600</v>
      </c>
      <c r="F871" t="n">
        <v>83000</v>
      </c>
      <c r="G871" t="n">
        <v>95600</v>
      </c>
      <c r="H871" t="n">
        <v>83000</v>
      </c>
      <c r="I871" t="n">
        <v>95600</v>
      </c>
      <c r="J871" t="b">
        <v>1</v>
      </c>
      <c r="K871" t="inlineStr">
        <is>
          <t>Unilever Indonesia Official Shop</t>
        </is>
      </c>
      <c r="L871" t="inlineStr">
        <is>
          <t>KOTA BEKASI</t>
        </is>
      </c>
      <c r="M871" t="n">
        <v>6731738260</v>
      </c>
      <c r="N871" t="n">
        <v>14318452</v>
      </c>
      <c r="O871">
        <f>HYPERLINK("https://shopee.co.id/api/v4/item/get?itemid=6731738260&amp;shopid=14318452", "Sunsilk Shampoo Soft &amp; Smooth 340ml Twin Pack")</f>
        <v/>
      </c>
      <c r="P871" t="n">
        <v>39</v>
      </c>
      <c r="Q871" t="n">
        <v>144</v>
      </c>
      <c r="R871" t="n">
        <v>4.907558139534884</v>
      </c>
      <c r="S871" t="n">
        <v>10</v>
      </c>
      <c r="T871" t="n">
        <v>9</v>
      </c>
      <c r="U871" t="n">
        <v>19</v>
      </c>
      <c r="V871" t="n">
        <v>66</v>
      </c>
      <c r="W871" t="n">
        <v>1620</v>
      </c>
    </row>
    <row r="872">
      <c r="A872" t="inlineStr">
        <is>
          <t>Molto Pelembut Dan Pewangi Pakaian All In 1 Blue 1600 ml - Twin Pack</t>
        </is>
      </c>
      <c r="B872" t="inlineStr">
        <is>
          <t>Molto</t>
        </is>
      </c>
      <c r="C872" t="inlineStr">
        <is>
          <t>34%</t>
        </is>
      </c>
      <c r="D872" t="n">
        <v>94700</v>
      </c>
      <c r="E872" t="n">
        <v>143300</v>
      </c>
      <c r="F872" t="n">
        <v>94700</v>
      </c>
      <c r="G872" t="n">
        <v>143300</v>
      </c>
      <c r="H872" t="n">
        <v>94700</v>
      </c>
      <c r="I872" t="n">
        <v>143300</v>
      </c>
      <c r="J872" t="b">
        <v>1</v>
      </c>
      <c r="K872" t="inlineStr">
        <is>
          <t>Unilever Indonesia Official Shop</t>
        </is>
      </c>
      <c r="L872" t="inlineStr">
        <is>
          <t>KOTA BEKASI</t>
        </is>
      </c>
      <c r="M872" t="n">
        <v>4431696324</v>
      </c>
      <c r="N872" t="n">
        <v>14318452</v>
      </c>
      <c r="O872">
        <f>HYPERLINK("https://shopee.co.id/api/v4/item/get?itemid=4431696324&amp;shopid=14318452", "Molto Pelembut Dan Pewangi Pakaian All In 1 Blue 1600 ml - Twin Pack")</f>
        <v/>
      </c>
      <c r="P872" t="n">
        <v>56</v>
      </c>
      <c r="Q872" t="n">
        <v>303</v>
      </c>
      <c r="R872" t="n">
        <v>4.931818181818182</v>
      </c>
      <c r="S872" t="n">
        <v>4</v>
      </c>
      <c r="T872" t="n">
        <v>2</v>
      </c>
      <c r="U872" t="n">
        <v>3</v>
      </c>
      <c r="V872" t="n">
        <v>45</v>
      </c>
      <c r="W872" t="n">
        <v>916</v>
      </c>
    </row>
    <row r="873">
      <c r="A873" t="inlineStr">
        <is>
          <t>Wipol Wipes Tissue Basah Disinfektan Wipes Antiseptik 10 Sheets -Tissue Basah Antiseptic</t>
        </is>
      </c>
      <c r="B873" t="inlineStr">
        <is>
          <t>Wipol</t>
        </is>
      </c>
      <c r="C873" t="inlineStr">
        <is>
          <t>12%</t>
        </is>
      </c>
      <c r="D873" t="n">
        <v>11100</v>
      </c>
      <c r="E873" t="n">
        <v>12600</v>
      </c>
      <c r="F873" t="n">
        <v>11100</v>
      </c>
      <c r="G873" t="n">
        <v>12600</v>
      </c>
      <c r="H873" t="n">
        <v>11100</v>
      </c>
      <c r="I873" t="n">
        <v>12600</v>
      </c>
      <c r="J873" t="b">
        <v>1</v>
      </c>
      <c r="K873" t="inlineStr">
        <is>
          <t>Unilever Indonesia Official Shop</t>
        </is>
      </c>
      <c r="L873" t="inlineStr">
        <is>
          <t>KAB. BANYUASIN</t>
        </is>
      </c>
      <c r="M873" t="n">
        <v>5439498780</v>
      </c>
      <c r="N873" t="n">
        <v>14318452</v>
      </c>
      <c r="O873">
        <f>HYPERLINK("https://shopee.co.id/api/v4/item/get?itemid=5439498780&amp;shopid=14318452", "Wipol Wipes Tissue Basah Disinfektan Wipes Antiseptik 10 Sheets -Tissue Basah Antiseptic")</f>
        <v/>
      </c>
      <c r="P873" t="n">
        <v>4</v>
      </c>
      <c r="Q873" t="n">
        <v>4</v>
      </c>
      <c r="R873" t="n">
        <v>4.940388906598661</v>
      </c>
      <c r="S873" t="n">
        <v>4</v>
      </c>
      <c r="T873" t="n">
        <v>6</v>
      </c>
      <c r="U873" t="n">
        <v>14</v>
      </c>
      <c r="V873" t="n">
        <v>125</v>
      </c>
      <c r="W873" t="n">
        <v>2988</v>
      </c>
    </row>
    <row r="874">
      <c r="A874" t="inlineStr">
        <is>
          <t>Sunsilk Shampoo Rambut Lembut Soft &amp; Smooth Activ-Infusion Rambut 5X Lebih Lembut &amp; Halus with Argan Oil 650 ml x2</t>
        </is>
      </c>
      <c r="B874" t="inlineStr">
        <is>
          <t>Sunsilk</t>
        </is>
      </c>
      <c r="C874" t="inlineStr">
        <is>
          <t>15%</t>
        </is>
      </c>
      <c r="D874" t="n">
        <v>146700</v>
      </c>
      <c r="E874" t="n">
        <v>171700</v>
      </c>
      <c r="F874" t="n">
        <v>146700</v>
      </c>
      <c r="G874" t="n">
        <v>171700</v>
      </c>
      <c r="H874" t="n">
        <v>146700</v>
      </c>
      <c r="I874" t="n">
        <v>171700</v>
      </c>
      <c r="J874" t="b">
        <v>1</v>
      </c>
      <c r="K874" t="inlineStr">
        <is>
          <t>Unilever Indonesia Official Shop</t>
        </is>
      </c>
      <c r="L874" t="inlineStr">
        <is>
          <t>KOTA BEKASI</t>
        </is>
      </c>
      <c r="M874" t="n">
        <v>7831727764</v>
      </c>
      <c r="N874" t="n">
        <v>14318452</v>
      </c>
      <c r="O874">
        <f>HYPERLINK("https://shopee.co.id/api/v4/item/get?itemid=7831727764&amp;shopid=14318452", "Sunsilk Shampoo Rambut Lembut Soft &amp; Smooth Activ-Infusion Rambut 5X Lebih Lembut &amp; Halus with Argan Oil 650 ml x2")</f>
        <v/>
      </c>
      <c r="P874" t="n">
        <v>123</v>
      </c>
      <c r="Q874" t="n">
        <v>688</v>
      </c>
      <c r="R874" t="n">
        <v>4.922119815668203</v>
      </c>
      <c r="S874" t="n">
        <v>9</v>
      </c>
      <c r="T874" t="n">
        <v>3</v>
      </c>
      <c r="U874" t="n">
        <v>19</v>
      </c>
      <c r="V874" t="n">
        <v>89</v>
      </c>
      <c r="W874" t="n">
        <v>2051</v>
      </c>
    </row>
    <row r="875">
      <c r="A875" t="inlineStr">
        <is>
          <t>Lifebuoy Hand Wash Total 10 Refill 180 Ml - Twin Pack</t>
        </is>
      </c>
      <c r="B875" t="inlineStr">
        <is>
          <t>Lifebuoy</t>
        </is>
      </c>
      <c r="C875" t="inlineStr">
        <is>
          <t>18%</t>
        </is>
      </c>
      <c r="D875" t="n">
        <v>22500</v>
      </c>
      <c r="E875" t="n">
        <v>27600</v>
      </c>
      <c r="F875" t="n">
        <v>22500</v>
      </c>
      <c r="G875" t="n">
        <v>27600</v>
      </c>
      <c r="H875" t="n">
        <v>22500</v>
      </c>
      <c r="I875" t="n">
        <v>27600</v>
      </c>
      <c r="J875" t="b">
        <v>1</v>
      </c>
      <c r="K875" t="inlineStr">
        <is>
          <t>Unilever Indonesia Official Shop</t>
        </is>
      </c>
      <c r="L875" t="inlineStr">
        <is>
          <t>KOTA BEKASI</t>
        </is>
      </c>
      <c r="M875" t="n">
        <v>9517195586</v>
      </c>
      <c r="N875" t="n">
        <v>14318452</v>
      </c>
      <c r="O875">
        <f>HYPERLINK("https://shopee.co.id/api/v4/item/get?itemid=9517195586&amp;shopid=14318452", "Lifebuoy Hand Wash Total 10 Refill 180 Ml - Twin Pack")</f>
        <v/>
      </c>
      <c r="P875" t="n">
        <v>105</v>
      </c>
      <c r="Q875" t="n">
        <v>283</v>
      </c>
      <c r="R875" t="n">
        <v>4.951467268623025</v>
      </c>
      <c r="S875" t="n">
        <v>1</v>
      </c>
      <c r="T875" t="n">
        <v>0</v>
      </c>
      <c r="U875" t="n">
        <v>5</v>
      </c>
      <c r="V875" t="n">
        <v>29</v>
      </c>
      <c r="W875" t="n">
        <v>851</v>
      </c>
    </row>
    <row r="876">
      <c r="A876" t="inlineStr">
        <is>
          <t>Dove Shampoo Perawatan Rambut Rontok Berkurang 99% dengan Nutri Serum dan Dynazinc 680ml</t>
        </is>
      </c>
      <c r="B876" t="inlineStr"/>
      <c r="C876" t="inlineStr">
        <is>
          <t>1%</t>
        </is>
      </c>
      <c r="D876" t="n">
        <v>92400</v>
      </c>
      <c r="E876" t="n">
        <v>93300</v>
      </c>
      <c r="F876" t="n">
        <v>92400</v>
      </c>
      <c r="G876" t="n">
        <v>93300</v>
      </c>
      <c r="H876" t="n">
        <v>92400</v>
      </c>
      <c r="I876" t="n">
        <v>93300</v>
      </c>
      <c r="J876" t="b">
        <v>0</v>
      </c>
      <c r="K876" t="inlineStr">
        <is>
          <t>Unilever Indonesia Official Shop</t>
        </is>
      </c>
      <c r="L876" t="inlineStr">
        <is>
          <t>KOTA BEKASI</t>
        </is>
      </c>
      <c r="M876" t="n">
        <v>13723894315</v>
      </c>
      <c r="N876" t="n">
        <v>14318452</v>
      </c>
      <c r="O876">
        <f>HYPERLINK("https://shopee.co.id/api/v4/item/get?itemid=13723894315&amp;shopid=14318452", "Dove Shampoo Perawatan Rambut Rontok Berkurang 99% dengan Nutri Serum dan Dynazinc 680ml")</f>
        <v/>
      </c>
      <c r="P876" t="n">
        <v>88</v>
      </c>
      <c r="Q876" t="n">
        <v>2288</v>
      </c>
      <c r="R876" t="n">
        <v>4.909003647533115</v>
      </c>
      <c r="S876" t="n">
        <v>20</v>
      </c>
      <c r="T876" t="n">
        <v>14</v>
      </c>
      <c r="U876" t="n">
        <v>51</v>
      </c>
      <c r="V876" t="n">
        <v>258</v>
      </c>
      <c r="W876" t="n">
        <v>4868</v>
      </c>
    </row>
    <row r="877">
      <c r="A877" t="inlineStr">
        <is>
          <t>Tresemme Conditioner For Bleached Hair Color Radiance &amp; Repair 250ml</t>
        </is>
      </c>
      <c r="B877" t="inlineStr"/>
      <c r="C877" t="inlineStr">
        <is>
          <t>14%</t>
        </is>
      </c>
      <c r="D877" t="n">
        <v>89000</v>
      </c>
      <c r="E877" t="n">
        <v>103100</v>
      </c>
      <c r="F877" t="n">
        <v>89000</v>
      </c>
      <c r="G877" t="n">
        <v>103100</v>
      </c>
      <c r="H877" t="n">
        <v>89000</v>
      </c>
      <c r="I877" t="n">
        <v>103100</v>
      </c>
      <c r="J877" t="b">
        <v>1</v>
      </c>
      <c r="K877" t="inlineStr">
        <is>
          <t>Unilever Indonesia Official Shop</t>
        </is>
      </c>
      <c r="L877" t="inlineStr">
        <is>
          <t>KOTA BEKASI</t>
        </is>
      </c>
      <c r="M877" t="n">
        <v>5115713142</v>
      </c>
      <c r="N877" t="n">
        <v>14318452</v>
      </c>
      <c r="O877">
        <f>HYPERLINK("https://shopee.co.id/api/v4/item/get?itemid=5115713142&amp;shopid=14318452", "Tresemme Conditioner For Bleached Hair Color Radiance &amp; Repair 250ml")</f>
        <v/>
      </c>
      <c r="P877" t="n">
        <v>69</v>
      </c>
      <c r="Q877" t="n">
        <v>50</v>
      </c>
      <c r="R877" t="n">
        <v>4.918882072256306</v>
      </c>
      <c r="S877" t="n">
        <v>4</v>
      </c>
      <c r="T877" t="n">
        <v>4</v>
      </c>
      <c r="U877" t="n">
        <v>17</v>
      </c>
      <c r="V877" t="n">
        <v>57</v>
      </c>
      <c r="W877" t="n">
        <v>1386</v>
      </c>
    </row>
    <row r="878">
      <c r="A878" t="inlineStr">
        <is>
          <t>Sunsilk Hijab Recharge Shampoo Refresh &amp; Anti Hairfall Solution 340ml Twin Pack</t>
        </is>
      </c>
      <c r="B878" t="inlineStr">
        <is>
          <t>Sunsilk</t>
        </is>
      </c>
      <c r="C878" t="inlineStr">
        <is>
          <t>13%</t>
        </is>
      </c>
      <c r="D878" t="n">
        <v>88400</v>
      </c>
      <c r="E878" t="n">
        <v>101400</v>
      </c>
      <c r="F878" t="n">
        <v>88400</v>
      </c>
      <c r="G878" t="n">
        <v>101400</v>
      </c>
      <c r="H878" t="n">
        <v>88400</v>
      </c>
      <c r="I878" t="n">
        <v>101400</v>
      </c>
      <c r="J878" t="b">
        <v>1</v>
      </c>
      <c r="K878" t="inlineStr">
        <is>
          <t>Unilever Indonesia Official Shop</t>
        </is>
      </c>
      <c r="L878" t="inlineStr">
        <is>
          <t>KOTA BEKASI</t>
        </is>
      </c>
      <c r="M878" t="n">
        <v>6131729070</v>
      </c>
      <c r="N878" t="n">
        <v>14318452</v>
      </c>
      <c r="O878">
        <f>HYPERLINK("https://shopee.co.id/api/v4/item/get?itemid=6131729070&amp;shopid=14318452", "Sunsilk Hijab Recharge Shampoo Refresh &amp; Anti Hairfall Solution 340ml Twin Pack")</f>
        <v/>
      </c>
      <c r="P878" t="n">
        <v>67</v>
      </c>
      <c r="Q878" t="n">
        <v>185</v>
      </c>
      <c r="R878" t="n">
        <v>4.9453125</v>
      </c>
      <c r="S878" t="n">
        <v>0</v>
      </c>
      <c r="T878" t="n">
        <v>2</v>
      </c>
      <c r="U878" t="n">
        <v>8</v>
      </c>
      <c r="V878" t="n">
        <v>34</v>
      </c>
      <c r="W878" t="n">
        <v>980</v>
      </c>
    </row>
    <row r="879">
      <c r="A879" t="inlineStr">
        <is>
          <t>Royco Cream of Chicken Multi Pack 4pcs</t>
        </is>
      </c>
      <c r="B879" t="inlineStr"/>
      <c r="C879" t="inlineStr">
        <is>
          <t>10%</t>
        </is>
      </c>
      <c r="D879" t="n">
        <v>33100</v>
      </c>
      <c r="E879" t="n">
        <v>36600</v>
      </c>
      <c r="F879" t="n">
        <v>33100</v>
      </c>
      <c r="G879" t="n">
        <v>36600</v>
      </c>
      <c r="H879" t="n">
        <v>33100</v>
      </c>
      <c r="I879" t="n">
        <v>36600</v>
      </c>
      <c r="J879" t="b">
        <v>1</v>
      </c>
      <c r="K879" t="inlineStr">
        <is>
          <t>Unilever Indonesia Official Shop</t>
        </is>
      </c>
      <c r="L879" t="inlineStr">
        <is>
          <t>KOTA BEKASI</t>
        </is>
      </c>
      <c r="M879" t="n">
        <v>4932179903</v>
      </c>
      <c r="N879" t="n">
        <v>14318452</v>
      </c>
      <c r="O879">
        <f>HYPERLINK("https://shopee.co.id/api/v4/item/get?itemid=4932179903&amp;shopid=14318452", "Royco Cream of Chicken Multi Pack 4pcs")</f>
        <v/>
      </c>
      <c r="P879" t="n">
        <v>31</v>
      </c>
      <c r="Q879" t="n">
        <v>140</v>
      </c>
      <c r="R879" t="n">
        <v>4.959770114942529</v>
      </c>
      <c r="S879" t="n">
        <v>1</v>
      </c>
      <c r="T879" t="n">
        <v>0</v>
      </c>
      <c r="U879" t="n">
        <v>3</v>
      </c>
      <c r="V879" t="n">
        <v>11</v>
      </c>
      <c r="W879" t="n">
        <v>509</v>
      </c>
    </row>
    <row r="880">
      <c r="A880" t="inlineStr">
        <is>
          <t>Dove Conditioner Total Damage Treatment 320 ml Twin Pack</t>
        </is>
      </c>
      <c r="B880" t="inlineStr">
        <is>
          <t>Dove</t>
        </is>
      </c>
      <c r="C880" t="inlineStr">
        <is>
          <t>1%</t>
        </is>
      </c>
      <c r="D880" t="n">
        <v>134100</v>
      </c>
      <c r="E880" t="n">
        <v>135400</v>
      </c>
      <c r="F880" t="n">
        <v>134100</v>
      </c>
      <c r="G880" t="n">
        <v>135400</v>
      </c>
      <c r="H880" t="n">
        <v>134100</v>
      </c>
      <c r="I880" t="n">
        <v>135400</v>
      </c>
      <c r="J880" t="b">
        <v>1</v>
      </c>
      <c r="K880" t="inlineStr">
        <is>
          <t>Unilever Indonesia Official Shop</t>
        </is>
      </c>
      <c r="L880" t="inlineStr">
        <is>
          <t>KOTA BEKASI</t>
        </is>
      </c>
      <c r="M880" t="n">
        <v>7831076058</v>
      </c>
      <c r="N880" t="n">
        <v>14318452</v>
      </c>
      <c r="O880">
        <f>HYPERLINK("https://shopee.co.id/api/v4/item/get?itemid=7831076058&amp;shopid=14318452", "Dove Conditioner Total Damage Treatment 320 ml Twin Pack")</f>
        <v/>
      </c>
      <c r="P880" t="n">
        <v>42</v>
      </c>
      <c r="Q880" t="n">
        <v>241</v>
      </c>
      <c r="R880" t="n">
        <v>4.930533117932149</v>
      </c>
      <c r="S880" t="n">
        <v>10</v>
      </c>
      <c r="T880" t="n">
        <v>2</v>
      </c>
      <c r="U880" t="n">
        <v>6</v>
      </c>
      <c r="V880" t="n">
        <v>36</v>
      </c>
      <c r="W880" t="n">
        <v>1186</v>
      </c>
    </row>
    <row r="881">
      <c r="A881" t="inlineStr">
        <is>
          <t>Tresemme Shampoo Keratin Smooth 340ml Twinpack</t>
        </is>
      </c>
      <c r="B881" t="inlineStr">
        <is>
          <t>0</t>
        </is>
      </c>
      <c r="C881" t="inlineStr">
        <is>
          <t>16%</t>
        </is>
      </c>
      <c r="D881" t="n">
        <v>122400</v>
      </c>
      <c r="E881" t="n">
        <v>146400</v>
      </c>
      <c r="F881" t="n">
        <v>122400</v>
      </c>
      <c r="G881" t="n">
        <v>146400</v>
      </c>
      <c r="H881" t="n">
        <v>122400</v>
      </c>
      <c r="I881" t="n">
        <v>146400</v>
      </c>
      <c r="J881" t="b">
        <v>1</v>
      </c>
      <c r="K881" t="inlineStr">
        <is>
          <t>Unilever Indonesia Official Shop</t>
        </is>
      </c>
      <c r="L881" t="inlineStr">
        <is>
          <t>KOTA BEKASI</t>
        </is>
      </c>
      <c r="M881" t="n">
        <v>7431746667</v>
      </c>
      <c r="N881" t="n">
        <v>14318452</v>
      </c>
      <c r="O881">
        <f>HYPERLINK("https://shopee.co.id/api/v4/item/get?itemid=7431746667&amp;shopid=14318452", "Tresemme Shampoo Keratin Smooth 340ml Twinpack")</f>
        <v/>
      </c>
      <c r="P881" t="n">
        <v>14</v>
      </c>
      <c r="Q881" t="n">
        <v>236</v>
      </c>
      <c r="R881" t="n">
        <v>4.900291545189504</v>
      </c>
      <c r="S881" t="n">
        <v>11</v>
      </c>
      <c r="T881" t="n">
        <v>4</v>
      </c>
      <c r="U881" t="n">
        <v>19</v>
      </c>
      <c r="V881" t="n">
        <v>84</v>
      </c>
      <c r="W881" t="n">
        <v>1599</v>
      </c>
    </row>
    <row r="882">
      <c r="A882" t="inlineStr">
        <is>
          <t>Tresemme Shampoo Keratin Smooth 670 Mlx2 Rambut Lembut 48 Jam* with Hydrolyzed Keratin</t>
        </is>
      </c>
      <c r="B882" t="inlineStr">
        <is>
          <t>Tresemme</t>
        </is>
      </c>
      <c r="C882" t="inlineStr">
        <is>
          <t>20%</t>
        </is>
      </c>
      <c r="D882" t="n">
        <v>166300</v>
      </c>
      <c r="E882" t="n">
        <v>207300</v>
      </c>
      <c r="F882" t="n">
        <v>166300</v>
      </c>
      <c r="G882" t="n">
        <v>207300</v>
      </c>
      <c r="H882" t="n">
        <v>166300</v>
      </c>
      <c r="I882" t="n">
        <v>207300</v>
      </c>
      <c r="J882" t="b">
        <v>1</v>
      </c>
      <c r="K882" t="inlineStr">
        <is>
          <t>Unilever Indonesia Official Shop</t>
        </is>
      </c>
      <c r="L882" t="inlineStr">
        <is>
          <t>KOTA BEKASI</t>
        </is>
      </c>
      <c r="M882" t="n">
        <v>7837237039</v>
      </c>
      <c r="N882" t="n">
        <v>14318452</v>
      </c>
      <c r="O882">
        <f>HYPERLINK("https://shopee.co.id/api/v4/item/get?itemid=7837237039&amp;shopid=14318452", "Tresemme Shampoo Keratin Smooth 670 Mlx2 Rambut Lembut 48 Jam* with Hydrolyzed Keratin")</f>
        <v/>
      </c>
      <c r="P882" t="n">
        <v>108</v>
      </c>
      <c r="Q882" t="n">
        <v>795</v>
      </c>
      <c r="R882" t="n">
        <v>4.948090371167294</v>
      </c>
      <c r="S882" t="n">
        <v>8</v>
      </c>
      <c r="T882" t="n">
        <v>4</v>
      </c>
      <c r="U882" t="n">
        <v>19</v>
      </c>
      <c r="V882" t="n">
        <v>118</v>
      </c>
      <c r="W882" t="n">
        <v>3571</v>
      </c>
    </row>
    <row r="883">
      <c r="A883" t="inlineStr">
        <is>
          <t>Wipol Disinfectant Spray Disinfektan POWER CLEAN 100X Lebih Efektif Bunuh Kuman 500 ML</t>
        </is>
      </c>
      <c r="B883" t="inlineStr">
        <is>
          <t>None</t>
        </is>
      </c>
      <c r="C883" t="inlineStr">
        <is>
          <t>14%</t>
        </is>
      </c>
      <c r="D883" t="n">
        <v>17300</v>
      </c>
      <c r="E883" t="n">
        <v>20000</v>
      </c>
      <c r="F883" t="n">
        <v>17300</v>
      </c>
      <c r="G883" t="n">
        <v>20000</v>
      </c>
      <c r="H883" t="n">
        <v>17300</v>
      </c>
      <c r="I883" t="n">
        <v>20000</v>
      </c>
      <c r="J883" t="b">
        <v>1</v>
      </c>
      <c r="K883" t="inlineStr">
        <is>
          <t>Unilever Indonesia Official Shop</t>
        </is>
      </c>
      <c r="L883" t="inlineStr">
        <is>
          <t>KOTA BEKASI</t>
        </is>
      </c>
      <c r="M883" t="n">
        <v>5133477038</v>
      </c>
      <c r="N883" t="n">
        <v>14318452</v>
      </c>
      <c r="O883">
        <f>HYPERLINK("https://shopee.co.id/api/v4/item/get?itemid=5133477038&amp;shopid=14318452", "Wipol Disinfectant Spray Disinfektan POWER CLEAN 100X Lebih Efektif Bunuh Kuman 500 ML")</f>
        <v/>
      </c>
      <c r="P883" t="n">
        <v>206</v>
      </c>
      <c r="Q883" t="n">
        <v>2368</v>
      </c>
      <c r="R883" t="n">
        <v>4.918145161290322</v>
      </c>
      <c r="S883" t="n">
        <v>28</v>
      </c>
      <c r="T883" t="n">
        <v>14</v>
      </c>
      <c r="U883" t="n">
        <v>64</v>
      </c>
      <c r="V883" t="n">
        <v>349</v>
      </c>
      <c r="W883" t="n">
        <v>7095</v>
      </c>
    </row>
    <row r="884">
      <c r="A884" t="inlineStr">
        <is>
          <t>Rinso Matic Deterjen Cair Detergent Mesin Cuci Bukaan Atas 3X Efektif Angkat Noda 1.45L</t>
        </is>
      </c>
      <c r="B884" t="inlineStr">
        <is>
          <t>Rinso</t>
        </is>
      </c>
      <c r="C884" t="inlineStr">
        <is>
          <t>19%</t>
        </is>
      </c>
      <c r="D884" t="n">
        <v>61900</v>
      </c>
      <c r="E884" t="n">
        <v>76600</v>
      </c>
      <c r="F884" t="n">
        <v>61900</v>
      </c>
      <c r="G884" t="n">
        <v>76600</v>
      </c>
      <c r="H884" t="n">
        <v>61900</v>
      </c>
      <c r="I884" t="n">
        <v>76600</v>
      </c>
      <c r="J884" t="b">
        <v>1</v>
      </c>
      <c r="K884" t="inlineStr">
        <is>
          <t>Unilever Indonesia Official Shop</t>
        </is>
      </c>
      <c r="L884" t="inlineStr">
        <is>
          <t>KOTA BEKASI</t>
        </is>
      </c>
      <c r="M884" t="n">
        <v>976680590</v>
      </c>
      <c r="N884" t="n">
        <v>14318452</v>
      </c>
      <c r="O884">
        <f>HYPERLINK("https://shopee.co.id/api/v4/item/get?itemid=976680590&amp;shopid=14318452", "Rinso Matic Deterjen Cair Detergent Mesin Cuci Bukaan Atas 3X Efektif Angkat Noda 1.45L")</f>
        <v/>
      </c>
      <c r="P884" t="n">
        <v>546</v>
      </c>
      <c r="Q884" t="n">
        <v>1429</v>
      </c>
      <c r="R884" t="n">
        <v>4.925618073316283</v>
      </c>
      <c r="S884" t="n">
        <v>40</v>
      </c>
      <c r="T884" t="n">
        <v>23</v>
      </c>
      <c r="U884" t="n">
        <v>71</v>
      </c>
      <c r="V884" t="n">
        <v>337</v>
      </c>
      <c r="W884" t="n">
        <v>8930</v>
      </c>
    </row>
    <row r="885">
      <c r="A885" t="inlineStr">
        <is>
          <t>Molto Pelembut Dan Pewangi All In 1 Blue 720 Ml</t>
        </is>
      </c>
      <c r="B885" t="inlineStr"/>
      <c r="C885" t="inlineStr">
        <is>
          <t>15%</t>
        </is>
      </c>
      <c r="D885" t="n">
        <v>31800</v>
      </c>
      <c r="E885" t="n">
        <v>37500</v>
      </c>
      <c r="F885" t="n">
        <v>31800</v>
      </c>
      <c r="G885" t="n">
        <v>37500</v>
      </c>
      <c r="H885" t="n">
        <v>31800</v>
      </c>
      <c r="I885" t="n">
        <v>37500</v>
      </c>
      <c r="J885" t="b">
        <v>0</v>
      </c>
      <c r="K885" t="inlineStr">
        <is>
          <t>Unilever Indonesia Official Shop</t>
        </is>
      </c>
      <c r="L885" t="inlineStr">
        <is>
          <t>KOTA BEKASI</t>
        </is>
      </c>
      <c r="M885" t="n">
        <v>4779139449</v>
      </c>
      <c r="N885" t="n">
        <v>14318452</v>
      </c>
      <c r="O885">
        <f>HYPERLINK("https://shopee.co.id/api/v4/item/get?itemid=4779139449&amp;shopid=14318452", "Molto Pelembut Dan Pewangi All In 1 Blue 720 Ml")</f>
        <v/>
      </c>
      <c r="P885" t="n">
        <v>41</v>
      </c>
      <c r="Q885" t="n">
        <v>187</v>
      </c>
      <c r="R885" t="n">
        <v>4.961748633879782</v>
      </c>
      <c r="S885" t="n">
        <v>0</v>
      </c>
      <c r="T885" t="n">
        <v>1</v>
      </c>
      <c r="U885" t="n">
        <v>6</v>
      </c>
      <c r="V885" t="n">
        <v>27</v>
      </c>
      <c r="W885" t="n">
        <v>1064</v>
      </c>
    </row>
    <row r="886">
      <c r="A886" t="inlineStr">
        <is>
          <t>Tresemme Shampoo Keratin Smooth 670ml Twin Pack</t>
        </is>
      </c>
      <c r="B886" t="inlineStr">
        <is>
          <t>Tresemme</t>
        </is>
      </c>
      <c r="C886" t="inlineStr">
        <is>
          <t>17%</t>
        </is>
      </c>
      <c r="D886" t="n">
        <v>171900</v>
      </c>
      <c r="E886" t="n">
        <v>207300</v>
      </c>
      <c r="F886" t="n">
        <v>171900</v>
      </c>
      <c r="G886" t="n">
        <v>207300</v>
      </c>
      <c r="H886" t="n">
        <v>171900</v>
      </c>
      <c r="I886" t="n">
        <v>207300</v>
      </c>
      <c r="J886" t="b">
        <v>1</v>
      </c>
      <c r="K886" t="inlineStr">
        <is>
          <t>Unilever Indonesia Official Shop</t>
        </is>
      </c>
      <c r="L886" t="inlineStr">
        <is>
          <t>KOTA BEKASI</t>
        </is>
      </c>
      <c r="M886" t="n">
        <v>4331724671</v>
      </c>
      <c r="N886" t="n">
        <v>14318452</v>
      </c>
      <c r="O886">
        <f>HYPERLINK("https://shopee.co.id/api/v4/item/get?itemid=4331724671&amp;shopid=14318452", "Tresemme Shampoo Keratin Smooth 670ml Twin Pack")</f>
        <v/>
      </c>
      <c r="P886" t="n">
        <v>37</v>
      </c>
      <c r="Q886" t="n">
        <v>795</v>
      </c>
      <c r="R886" t="n">
        <v>4.941020543406229</v>
      </c>
      <c r="S886" t="n">
        <v>5</v>
      </c>
      <c r="T886" t="n">
        <v>4</v>
      </c>
      <c r="U886" t="n">
        <v>5</v>
      </c>
      <c r="V886" t="n">
        <v>54</v>
      </c>
      <c r="W886" t="n">
        <v>1443</v>
      </c>
    </row>
    <row r="887">
      <c r="A887" t="inlineStr">
        <is>
          <t>St. Ives Apricot Fresh Skin + Oatmeal Face Scrub &amp; Mask 170 gr - Bundle</t>
        </is>
      </c>
      <c r="B887" t="inlineStr">
        <is>
          <t>0</t>
        </is>
      </c>
      <c r="C887" t="inlineStr">
        <is>
          <t>1%</t>
        </is>
      </c>
      <c r="D887" t="n">
        <v>136700</v>
      </c>
      <c r="E887" t="n">
        <v>138000</v>
      </c>
      <c r="F887" t="n">
        <v>136700</v>
      </c>
      <c r="G887" t="n">
        <v>138000</v>
      </c>
      <c r="H887" t="n">
        <v>136700</v>
      </c>
      <c r="I887" t="n">
        <v>138000</v>
      </c>
      <c r="J887" t="b">
        <v>1</v>
      </c>
      <c r="K887" t="inlineStr">
        <is>
          <t>Unilever Indonesia Official Shop</t>
        </is>
      </c>
      <c r="L887" t="inlineStr">
        <is>
          <t>KOTA BEKASI</t>
        </is>
      </c>
      <c r="M887" t="n">
        <v>7231731429</v>
      </c>
      <c r="N887" t="n">
        <v>14318452</v>
      </c>
      <c r="O887">
        <f>HYPERLINK("https://shopee.co.id/api/v4/item/get?itemid=7231731429&amp;shopid=14318452", "St. Ives Apricot Fresh Skin + Oatmeal Face Scrub &amp; Mask 170 gr - Bundle")</f>
        <v/>
      </c>
      <c r="P887" t="n">
        <v>8</v>
      </c>
      <c r="Q887" t="n">
        <v>98</v>
      </c>
      <c r="R887" t="n">
        <v>4.909686817188638</v>
      </c>
      <c r="S887" t="n">
        <v>6</v>
      </c>
      <c r="T887" t="n">
        <v>3</v>
      </c>
      <c r="U887" t="n">
        <v>8</v>
      </c>
      <c r="V887" t="n">
        <v>75</v>
      </c>
      <c r="W887" t="n">
        <v>1281</v>
      </c>
    </row>
    <row r="888">
      <c r="A888" t="inlineStr">
        <is>
          <t>Ponds Age Miracle Pelembab Wajah Anti Aging Moisturizer Whip Cream 50g + Night Cream 50g</t>
        </is>
      </c>
      <c r="B888" t="inlineStr">
        <is>
          <t>Pond's</t>
        </is>
      </c>
      <c r="C888" t="inlineStr">
        <is>
          <t>22%</t>
        </is>
      </c>
      <c r="D888" t="n">
        <v>282800</v>
      </c>
      <c r="E888" t="n">
        <v>361500</v>
      </c>
      <c r="F888" t="n">
        <v>282800</v>
      </c>
      <c r="G888" t="n">
        <v>361500</v>
      </c>
      <c r="H888" t="n">
        <v>282800</v>
      </c>
      <c r="I888" t="n">
        <v>361500</v>
      </c>
      <c r="J888" t="b">
        <v>1</v>
      </c>
      <c r="K888" t="inlineStr">
        <is>
          <t>Unilever Indonesia Official Shop</t>
        </is>
      </c>
      <c r="L888" t="inlineStr">
        <is>
          <t>KOTA BEKASI</t>
        </is>
      </c>
      <c r="M888" t="n">
        <v>7432150114</v>
      </c>
      <c r="N888" t="n">
        <v>14318452</v>
      </c>
      <c r="O888">
        <f>HYPERLINK("https://shopee.co.id/api/v4/item/get?itemid=7432150114&amp;shopid=14318452", "Ponds Age Miracle Pelembab Wajah Anti Aging Moisturizer Whip Cream 50g + Night Cream 50g")</f>
        <v/>
      </c>
      <c r="P888" t="n">
        <v>138</v>
      </c>
      <c r="Q888" t="n">
        <v>490</v>
      </c>
      <c r="R888" t="n">
        <v>4.933526011560693</v>
      </c>
      <c r="S888" t="n">
        <v>2</v>
      </c>
      <c r="T888" t="n">
        <v>0</v>
      </c>
      <c r="U888" t="n">
        <v>10</v>
      </c>
      <c r="V888" t="n">
        <v>64</v>
      </c>
      <c r="W888" t="n">
        <v>1308</v>
      </c>
    </row>
    <row r="889">
      <c r="A889" t="inlineStr">
        <is>
          <t>Dove Aqua Moisture Body Wash Refill 400 ml Twin Pack</t>
        </is>
      </c>
      <c r="B889" t="inlineStr">
        <is>
          <t>0</t>
        </is>
      </c>
      <c r="C889" t="inlineStr">
        <is>
          <t>18%</t>
        </is>
      </c>
      <c r="D889" t="n">
        <v>75700</v>
      </c>
      <c r="E889" t="n">
        <v>92500</v>
      </c>
      <c r="F889" t="n">
        <v>75700</v>
      </c>
      <c r="G889" t="n">
        <v>92500</v>
      </c>
      <c r="H889" t="n">
        <v>75700</v>
      </c>
      <c r="I889" t="n">
        <v>92500</v>
      </c>
      <c r="J889" t="b">
        <v>1</v>
      </c>
      <c r="K889" t="inlineStr">
        <is>
          <t>Unilever Indonesia Official Shop</t>
        </is>
      </c>
      <c r="L889" t="inlineStr">
        <is>
          <t>KOTA BEKASI</t>
        </is>
      </c>
      <c r="M889" t="n">
        <v>7831333955</v>
      </c>
      <c r="N889" t="n">
        <v>14318452</v>
      </c>
      <c r="O889">
        <f>HYPERLINK("https://shopee.co.id/api/v4/item/get?itemid=7831333955&amp;shopid=14318452", "Dove Aqua Moisture Body Wash Refill 400 ml Twin Pack")</f>
        <v/>
      </c>
      <c r="P889" t="n">
        <v>25</v>
      </c>
      <c r="Q889" t="n">
        <v>326</v>
      </c>
      <c r="R889" t="n">
        <v>4.956813819577735</v>
      </c>
      <c r="S889" t="n">
        <v>0</v>
      </c>
      <c r="T889" t="n">
        <v>2</v>
      </c>
      <c r="U889" t="n">
        <v>3</v>
      </c>
      <c r="V889" t="n">
        <v>33</v>
      </c>
      <c r="W889" t="n">
        <v>1004</v>
      </c>
    </row>
    <row r="890">
      <c r="A890" t="inlineStr">
        <is>
          <t>Lifebuoy Shampoo Strong &amp; Shiny 340ml Twin Pack</t>
        </is>
      </c>
      <c r="B890" t="inlineStr">
        <is>
          <t>0</t>
        </is>
      </c>
      <c r="C890" t="inlineStr">
        <is>
          <t>1%</t>
        </is>
      </c>
      <c r="D890" t="n">
        <v>88500</v>
      </c>
      <c r="E890" t="n">
        <v>89300</v>
      </c>
      <c r="F890" t="n">
        <v>88500</v>
      </c>
      <c r="G890" t="n">
        <v>89300</v>
      </c>
      <c r="H890" t="n">
        <v>88500</v>
      </c>
      <c r="I890" t="n">
        <v>89300</v>
      </c>
      <c r="J890" t="b">
        <v>1</v>
      </c>
      <c r="K890" t="inlineStr">
        <is>
          <t>Unilever Indonesia Official Shop</t>
        </is>
      </c>
      <c r="L890" t="inlineStr">
        <is>
          <t>KOTA BEKASI</t>
        </is>
      </c>
      <c r="M890" t="n">
        <v>5031336710</v>
      </c>
      <c r="N890" t="n">
        <v>14318452</v>
      </c>
      <c r="O890">
        <f>HYPERLINK("https://shopee.co.id/api/v4/item/get?itemid=5031336710&amp;shopid=14318452", "Lifebuoy Shampoo Strong &amp; Shiny 340ml Twin Pack")</f>
        <v/>
      </c>
      <c r="P890" t="n">
        <v>14</v>
      </c>
      <c r="Q890" t="n">
        <v>336</v>
      </c>
      <c r="R890" t="n">
        <v>4.952188006482982</v>
      </c>
      <c r="S890" t="n">
        <v>4</v>
      </c>
      <c r="T890" t="n">
        <v>0</v>
      </c>
      <c r="U890" t="n">
        <v>5</v>
      </c>
      <c r="V890" t="n">
        <v>33</v>
      </c>
      <c r="W890" t="n">
        <v>1192</v>
      </c>
    </row>
    <row r="891">
      <c r="A891" t="inlineStr">
        <is>
          <t>Royco Sup Krim Jagung 50 gr x 2 pcs</t>
        </is>
      </c>
      <c r="B891" t="inlineStr">
        <is>
          <t>Royco</t>
        </is>
      </c>
      <c r="C891" t="inlineStr">
        <is>
          <t>11%</t>
        </is>
      </c>
      <c r="D891" t="n">
        <v>16200</v>
      </c>
      <c r="E891" t="n">
        <v>18300</v>
      </c>
      <c r="F891" t="n">
        <v>16200</v>
      </c>
      <c r="G891" t="n">
        <v>18300</v>
      </c>
      <c r="H891" t="n">
        <v>16200</v>
      </c>
      <c r="I891" t="n">
        <v>18300</v>
      </c>
      <c r="J891" t="b">
        <v>1</v>
      </c>
      <c r="K891" t="inlineStr">
        <is>
          <t>Unilever Indonesia Official Shop</t>
        </is>
      </c>
      <c r="L891" t="inlineStr">
        <is>
          <t>KOTA BEKASI</t>
        </is>
      </c>
      <c r="M891" t="n">
        <v>5042335499</v>
      </c>
      <c r="N891" t="n">
        <v>14318452</v>
      </c>
      <c r="O891">
        <f>HYPERLINK("https://shopee.co.id/api/v4/item/get?itemid=5042335499&amp;shopid=14318452", "Royco Sup Krim Jagung 50 gr x 2 pcs")</f>
        <v/>
      </c>
      <c r="P891" t="n">
        <v>243</v>
      </c>
      <c r="Q891" t="n">
        <v>404</v>
      </c>
      <c r="R891" t="n">
        <v>4.952338129496403</v>
      </c>
      <c r="S891" t="n">
        <v>3</v>
      </c>
      <c r="T891" t="n">
        <v>3</v>
      </c>
      <c r="U891" t="n">
        <v>7</v>
      </c>
      <c r="V891" t="n">
        <v>74</v>
      </c>
      <c r="W891" t="n">
        <v>2138</v>
      </c>
    </row>
    <row r="892">
      <c r="A892" t="inlineStr">
        <is>
          <t>Rinso Matic Deterjen Bubuk Detergen Mesin Cuci Bukaan Depan 3X Efektif Angkat Noda 900G</t>
        </is>
      </c>
      <c r="B892" t="inlineStr">
        <is>
          <t>0</t>
        </is>
      </c>
      <c r="C892" t="inlineStr">
        <is>
          <t>13%</t>
        </is>
      </c>
      <c r="D892" t="n">
        <v>45400</v>
      </c>
      <c r="E892" t="n">
        <v>51900</v>
      </c>
      <c r="F892" t="n">
        <v>45400</v>
      </c>
      <c r="G892" t="n">
        <v>51900</v>
      </c>
      <c r="H892" t="n">
        <v>45400</v>
      </c>
      <c r="I892" t="n">
        <v>51900</v>
      </c>
      <c r="J892" t="b">
        <v>1</v>
      </c>
      <c r="K892" t="inlineStr">
        <is>
          <t>Unilever Indonesia Official Shop</t>
        </is>
      </c>
      <c r="L892" t="inlineStr">
        <is>
          <t>KOTA BEKASI</t>
        </is>
      </c>
      <c r="M892" t="n">
        <v>1041720134</v>
      </c>
      <c r="N892" t="n">
        <v>14318452</v>
      </c>
      <c r="O892">
        <f>HYPERLINK("https://shopee.co.id/api/v4/item/get?itemid=1041720134&amp;shopid=14318452", "Rinso Matic Deterjen Bubuk Detergen Mesin Cuci Bukaan Depan 3X Efektif Angkat Noda 900G")</f>
        <v/>
      </c>
      <c r="P892" t="n">
        <v>65</v>
      </c>
      <c r="Q892" t="n">
        <v>156</v>
      </c>
      <c r="R892" t="n">
        <v>4.933581049698096</v>
      </c>
      <c r="S892" t="n">
        <v>6</v>
      </c>
      <c r="T892" t="n">
        <v>7</v>
      </c>
      <c r="U892" t="n">
        <v>10</v>
      </c>
      <c r="V892" t="n">
        <v>78</v>
      </c>
      <c r="W892" t="n">
        <v>2055</v>
      </c>
    </row>
    <row r="893">
      <c r="A893" t="inlineStr">
        <is>
          <t>Clear Shampo Complete Soft Care 300ML - TwinPack</t>
        </is>
      </c>
      <c r="B893" t="inlineStr">
        <is>
          <t>0</t>
        </is>
      </c>
      <c r="C893" t="inlineStr">
        <is>
          <t>17%</t>
        </is>
      </c>
      <c r="D893" t="n">
        <v>102900</v>
      </c>
      <c r="E893" t="n">
        <v>123600</v>
      </c>
      <c r="F893" t="n">
        <v>102900</v>
      </c>
      <c r="G893" t="n">
        <v>123600</v>
      </c>
      <c r="H893" t="n">
        <v>102900</v>
      </c>
      <c r="I893" t="n">
        <v>123600</v>
      </c>
      <c r="J893" t="b">
        <v>1</v>
      </c>
      <c r="K893" t="inlineStr">
        <is>
          <t>Unilever Indonesia Official Shop</t>
        </is>
      </c>
      <c r="L893" t="inlineStr">
        <is>
          <t>KOTA BEKASI</t>
        </is>
      </c>
      <c r="M893" t="n">
        <v>6030964690</v>
      </c>
      <c r="N893" t="n">
        <v>14318452</v>
      </c>
      <c r="O893">
        <f>HYPERLINK("https://shopee.co.id/api/v4/item/get?itemid=6030964690&amp;shopid=14318452", "Clear Shampo Complete Soft Care 300ML - TwinPack")</f>
        <v/>
      </c>
      <c r="P893" t="n">
        <v>19</v>
      </c>
      <c r="Q893" t="n">
        <v>343</v>
      </c>
      <c r="R893" t="n">
        <v>4.908529048207664</v>
      </c>
      <c r="S893" t="n">
        <v>13</v>
      </c>
      <c r="T893" t="n">
        <v>9</v>
      </c>
      <c r="U893" t="n">
        <v>21</v>
      </c>
      <c r="V893" t="n">
        <v>104</v>
      </c>
      <c r="W893" t="n">
        <v>2281</v>
      </c>
    </row>
    <row r="894">
      <c r="A894" t="inlineStr">
        <is>
          <t>Clear Shampo Ice Cool Menthol 300ML - TwinPack</t>
        </is>
      </c>
      <c r="B894" t="inlineStr">
        <is>
          <t>None</t>
        </is>
      </c>
      <c r="C894" t="inlineStr">
        <is>
          <t>15%</t>
        </is>
      </c>
      <c r="D894" t="n">
        <v>105300</v>
      </c>
      <c r="E894" t="n">
        <v>123600</v>
      </c>
      <c r="F894" t="n">
        <v>105300</v>
      </c>
      <c r="G894" t="n">
        <v>123600</v>
      </c>
      <c r="H894" t="n">
        <v>105300</v>
      </c>
      <c r="I894" t="n">
        <v>123600</v>
      </c>
      <c r="J894" t="b">
        <v>1</v>
      </c>
      <c r="K894" t="inlineStr">
        <is>
          <t>Unilever Indonesia Official Shop</t>
        </is>
      </c>
      <c r="L894" t="inlineStr">
        <is>
          <t>KOTA PEKANBARU</t>
        </is>
      </c>
      <c r="M894" t="n">
        <v>6230982368</v>
      </c>
      <c r="N894" t="n">
        <v>14318452</v>
      </c>
      <c r="O894">
        <f>HYPERLINK("https://shopee.co.id/api/v4/item/get?itemid=6230982368&amp;shopid=14318452", "Clear Shampo Ice Cool Menthol 300ML - TwinPack")</f>
        <v/>
      </c>
      <c r="P894" t="n">
        <v>10</v>
      </c>
      <c r="Q894" t="n">
        <v>24</v>
      </c>
      <c r="R894" t="n">
        <v>4.912582781456954</v>
      </c>
      <c r="S894" t="n">
        <v>7</v>
      </c>
      <c r="T894" t="n">
        <v>5</v>
      </c>
      <c r="U894" t="n">
        <v>15</v>
      </c>
      <c r="V894" t="n">
        <v>59</v>
      </c>
      <c r="W894" t="n">
        <v>1424</v>
      </c>
    </row>
    <row r="895">
      <c r="A895" t="inlineStr">
        <is>
          <t>Dove Go Fresh Fresh Touch Body Wash Refill 400ml (Paket Isi 4)</t>
        </is>
      </c>
      <c r="B895" t="inlineStr">
        <is>
          <t>0</t>
        </is>
      </c>
      <c r="C895" t="inlineStr">
        <is>
          <t>20%</t>
        </is>
      </c>
      <c r="D895" t="n">
        <v>151000</v>
      </c>
      <c r="E895" t="n">
        <v>188700</v>
      </c>
      <c r="F895" t="n">
        <v>151000</v>
      </c>
      <c r="G895" t="n">
        <v>188700</v>
      </c>
      <c r="H895" t="n">
        <v>151000</v>
      </c>
      <c r="I895" t="n">
        <v>188700</v>
      </c>
      <c r="J895" t="b">
        <v>1</v>
      </c>
      <c r="K895" t="inlineStr">
        <is>
          <t>Unilever Indonesia Official Shop</t>
        </is>
      </c>
      <c r="L895" t="inlineStr">
        <is>
          <t>KOTA BEKASI</t>
        </is>
      </c>
      <c r="M895" t="n">
        <v>3731265695</v>
      </c>
      <c r="N895" t="n">
        <v>14318452</v>
      </c>
      <c r="O895">
        <f>HYPERLINK("https://shopee.co.id/api/v4/item/get?itemid=3731265695&amp;shopid=14318452", "Dove Go Fresh Fresh Touch Body Wash Refill 400ml (Paket Isi 4)")</f>
        <v/>
      </c>
      <c r="P895" t="n">
        <v>65</v>
      </c>
      <c r="Q895" t="n">
        <v>265</v>
      </c>
      <c r="R895" t="n">
        <v>4.958677685950414</v>
      </c>
      <c r="S895" t="n">
        <v>1</v>
      </c>
      <c r="T895" t="n">
        <v>1</v>
      </c>
      <c r="U895" t="n">
        <v>2</v>
      </c>
      <c r="V895" t="n">
        <v>14</v>
      </c>
      <c r="W895" t="n">
        <v>587</v>
      </c>
    </row>
    <row r="896">
      <c r="A896" t="inlineStr">
        <is>
          <t>Dove Conditioner Total Damage Treatment 320 ml - Multi Pack</t>
        </is>
      </c>
      <c r="B896" t="inlineStr">
        <is>
          <t>Dove</t>
        </is>
      </c>
      <c r="C896" t="inlineStr">
        <is>
          <t>1%</t>
        </is>
      </c>
      <c r="D896" t="n">
        <v>201100</v>
      </c>
      <c r="E896" t="n">
        <v>203100</v>
      </c>
      <c r="F896" t="n">
        <v>201100</v>
      </c>
      <c r="G896" t="n">
        <v>203100</v>
      </c>
      <c r="H896" t="n">
        <v>201100</v>
      </c>
      <c r="I896" t="n">
        <v>203100</v>
      </c>
      <c r="J896" t="b">
        <v>1</v>
      </c>
      <c r="K896" t="inlineStr">
        <is>
          <t>Unilever Indonesia Official Shop</t>
        </is>
      </c>
      <c r="L896" t="inlineStr">
        <is>
          <t>KOTA BEKASI</t>
        </is>
      </c>
      <c r="M896" t="n">
        <v>4331145991</v>
      </c>
      <c r="N896" t="n">
        <v>14318452</v>
      </c>
      <c r="O896">
        <f>HYPERLINK("https://shopee.co.id/api/v4/item/get?itemid=4331145991&amp;shopid=14318452", "Dove Conditioner Total Damage Treatment 320 ml - Multi Pack")</f>
        <v/>
      </c>
      <c r="P896" t="n">
        <v>41</v>
      </c>
      <c r="Q896" t="n">
        <v>161</v>
      </c>
      <c r="R896" t="n">
        <v>4.926910299003322</v>
      </c>
      <c r="S896" t="n">
        <v>2</v>
      </c>
      <c r="T896" t="n">
        <v>1</v>
      </c>
      <c r="U896" t="n">
        <v>8</v>
      </c>
      <c r="V896" t="n">
        <v>39</v>
      </c>
      <c r="W896" t="n">
        <v>853</v>
      </c>
    </row>
    <row r="897">
      <c r="A897" t="inlineStr">
        <is>
          <t>Rinso Matic Deterjen Cair Detergent Mesin Cuci Bukaan Depan 3X Lebih Efektif 1.45Lx2</t>
        </is>
      </c>
      <c r="B897" t="inlineStr">
        <is>
          <t>Rinso</t>
        </is>
      </c>
      <c r="C897" t="inlineStr">
        <is>
          <t>21%</t>
        </is>
      </c>
      <c r="D897" t="n">
        <v>144300</v>
      </c>
      <c r="E897" t="n">
        <v>181700</v>
      </c>
      <c r="F897" t="n">
        <v>144300</v>
      </c>
      <c r="G897" t="n">
        <v>181700</v>
      </c>
      <c r="H897" t="n">
        <v>144300</v>
      </c>
      <c r="I897" t="n">
        <v>181700</v>
      </c>
      <c r="J897" t="b">
        <v>1</v>
      </c>
      <c r="K897" t="inlineStr">
        <is>
          <t>Unilever Indonesia Official Shop</t>
        </is>
      </c>
      <c r="L897" t="inlineStr">
        <is>
          <t>KOTA BEKASI</t>
        </is>
      </c>
      <c r="M897" t="n">
        <v>4837717630</v>
      </c>
      <c r="N897" t="n">
        <v>14318452</v>
      </c>
      <c r="O897">
        <f>HYPERLINK("https://shopee.co.id/api/v4/item/get?itemid=4837717630&amp;shopid=14318452", "Rinso Matic Deterjen Cair Detergent Mesin Cuci Bukaan Depan 3X Lebih Efektif 1.45Lx2")</f>
        <v/>
      </c>
      <c r="P897" t="n">
        <v>314</v>
      </c>
      <c r="Q897" t="n">
        <v>1141</v>
      </c>
      <c r="R897" t="n">
        <v>4.9375</v>
      </c>
      <c r="S897" t="n">
        <v>11</v>
      </c>
      <c r="T897" t="n">
        <v>7</v>
      </c>
      <c r="U897" t="n">
        <v>15</v>
      </c>
      <c r="V897" t="n">
        <v>93</v>
      </c>
      <c r="W897" t="n">
        <v>2772</v>
      </c>
    </row>
    <row r="898">
      <c r="A898" t="inlineStr">
        <is>
          <t>Rinso Laundry Disinfektan 450Ml</t>
        </is>
      </c>
      <c r="B898" t="inlineStr">
        <is>
          <t>None</t>
        </is>
      </c>
      <c r="C898" t="inlineStr">
        <is>
          <t>14%</t>
        </is>
      </c>
      <c r="D898" t="n">
        <v>21600</v>
      </c>
      <c r="E898" t="n">
        <v>25200</v>
      </c>
      <c r="F898" t="n">
        <v>21600</v>
      </c>
      <c r="G898" t="n">
        <v>25200</v>
      </c>
      <c r="H898" t="n">
        <v>21600</v>
      </c>
      <c r="I898" t="n">
        <v>25200</v>
      </c>
      <c r="J898" t="b">
        <v>1</v>
      </c>
      <c r="K898" t="inlineStr">
        <is>
          <t>Unilever Indonesia Official Shop</t>
        </is>
      </c>
      <c r="L898" t="inlineStr">
        <is>
          <t>KAB. BANYUASIN</t>
        </is>
      </c>
      <c r="M898" t="n">
        <v>6345302409</v>
      </c>
      <c r="N898" t="n">
        <v>14318452</v>
      </c>
      <c r="O898">
        <f>HYPERLINK("https://shopee.co.id/api/v4/item/get?itemid=6345302409&amp;shopid=14318452", "Rinso Laundry Disinfektan 450Ml")</f>
        <v/>
      </c>
      <c r="P898" t="n">
        <v>2</v>
      </c>
      <c r="Q898" t="n">
        <v>1</v>
      </c>
      <c r="R898" t="n">
        <v>4.931167016072677</v>
      </c>
      <c r="S898" t="n">
        <v>8</v>
      </c>
      <c r="T898" t="n">
        <v>2</v>
      </c>
      <c r="U898" t="n">
        <v>16</v>
      </c>
      <c r="V898" t="n">
        <v>131</v>
      </c>
      <c r="W898" t="n">
        <v>2706</v>
      </c>
    </row>
    <row r="899">
      <c r="A899" t="inlineStr">
        <is>
          <t>Ponds Age Miracle Serum Wajah Anti Aging +Glowing Serum With Retinol&amp;Niacinamide 30Ml Twin Pack</t>
        </is>
      </c>
      <c r="B899" t="inlineStr">
        <is>
          <t>Pond's</t>
        </is>
      </c>
      <c r="C899" t="inlineStr">
        <is>
          <t>23%</t>
        </is>
      </c>
      <c r="D899" t="n">
        <v>372400</v>
      </c>
      <c r="E899" t="n">
        <v>483200</v>
      </c>
      <c r="F899" t="n">
        <v>372400</v>
      </c>
      <c r="G899" t="n">
        <v>483200</v>
      </c>
      <c r="H899" t="n">
        <v>372400</v>
      </c>
      <c r="I899" t="n">
        <v>483200</v>
      </c>
      <c r="J899" t="b">
        <v>1</v>
      </c>
      <c r="K899" t="inlineStr">
        <is>
          <t>Unilever Indonesia Official Shop</t>
        </is>
      </c>
      <c r="L899" t="inlineStr">
        <is>
          <t>KOTA BEKASI</t>
        </is>
      </c>
      <c r="M899" t="n">
        <v>3558218105</v>
      </c>
      <c r="N899" t="n">
        <v>14318452</v>
      </c>
      <c r="O899">
        <f>HYPERLINK("https://shopee.co.id/api/v4/item/get?itemid=3558218105&amp;shopid=14318452", "Ponds Age Miracle Serum Wajah Anti Aging +Glowing Serum With Retinol&amp;Niacinamide 30Ml Twin Pack")</f>
        <v/>
      </c>
      <c r="P899" t="n">
        <v>70</v>
      </c>
      <c r="Q899" t="n">
        <v>609</v>
      </c>
      <c r="R899" t="n">
        <v>4.947331460674158</v>
      </c>
      <c r="S899" t="n">
        <v>1</v>
      </c>
      <c r="T899" t="n">
        <v>1</v>
      </c>
      <c r="U899" t="n">
        <v>5</v>
      </c>
      <c r="V899" t="n">
        <v>61</v>
      </c>
      <c r="W899" t="n">
        <v>1357</v>
      </c>
    </row>
    <row r="900">
      <c r="A900" t="inlineStr">
        <is>
          <t>Tresemme Shampoo Keratin Smooth 670 Mlx3 Rambut Lembut 48 Jam* with Hydrolyzed Keratin</t>
        </is>
      </c>
      <c r="B900" t="inlineStr">
        <is>
          <t>Tresemme</t>
        </is>
      </c>
      <c r="C900" t="inlineStr">
        <is>
          <t>22%</t>
        </is>
      </c>
      <c r="D900" t="n">
        <v>243800</v>
      </c>
      <c r="E900" t="n">
        <v>311000</v>
      </c>
      <c r="F900" t="n">
        <v>243800</v>
      </c>
      <c r="G900" t="n">
        <v>311000</v>
      </c>
      <c r="H900" t="n">
        <v>243800</v>
      </c>
      <c r="I900" t="n">
        <v>311000</v>
      </c>
      <c r="J900" t="b">
        <v>1</v>
      </c>
      <c r="K900" t="inlineStr">
        <is>
          <t>Unilever Indonesia Official Shop</t>
        </is>
      </c>
      <c r="L900" t="inlineStr">
        <is>
          <t>KOTA BEKASI</t>
        </is>
      </c>
      <c r="M900" t="n">
        <v>6531724508</v>
      </c>
      <c r="N900" t="n">
        <v>14318452</v>
      </c>
      <c r="O900">
        <f>HYPERLINK("https://shopee.co.id/api/v4/item/get?itemid=6531724508&amp;shopid=14318452", "Tresemme Shampoo Keratin Smooth 670 Mlx3 Rambut Lembut 48 Jam* with Hydrolyzed Keratin")</f>
        <v/>
      </c>
      <c r="P900" t="n">
        <v>47</v>
      </c>
      <c r="Q900" t="n">
        <v>528</v>
      </c>
      <c r="R900" t="n">
        <v>4.952161587526577</v>
      </c>
      <c r="S900" t="n">
        <v>6</v>
      </c>
      <c r="T900" t="n">
        <v>5</v>
      </c>
      <c r="U900" t="n">
        <v>13</v>
      </c>
      <c r="V900" t="n">
        <v>84</v>
      </c>
      <c r="W900" t="n">
        <v>2721</v>
      </c>
    </row>
    <row r="901">
      <c r="A901" t="inlineStr">
        <is>
          <t>Rexona Men Deodorant Pria Roll On Antiperspirant Invisible Dry 45ml Twin Pack</t>
        </is>
      </c>
      <c r="B901" t="inlineStr">
        <is>
          <t>Rexona</t>
        </is>
      </c>
      <c r="C901" t="inlineStr">
        <is>
          <t>1%</t>
        </is>
      </c>
      <c r="D901" t="n">
        <v>38800</v>
      </c>
      <c r="E901" t="n">
        <v>39100</v>
      </c>
      <c r="F901" t="n">
        <v>38800</v>
      </c>
      <c r="G901" t="n">
        <v>39100</v>
      </c>
      <c r="H901" t="n">
        <v>38800</v>
      </c>
      <c r="I901" t="n">
        <v>39100</v>
      </c>
      <c r="J901" t="b">
        <v>1</v>
      </c>
      <c r="K901" t="inlineStr">
        <is>
          <t>Unilever Indonesia Official Shop</t>
        </is>
      </c>
      <c r="L901" t="inlineStr">
        <is>
          <t>KOTA BEKASI</t>
        </is>
      </c>
      <c r="M901" t="n">
        <v>3231548679</v>
      </c>
      <c r="N901" t="n">
        <v>14318452</v>
      </c>
      <c r="O901">
        <f>HYPERLINK("https://shopee.co.id/api/v4/item/get?itemid=3231548679&amp;shopid=14318452", "Rexona Men Deodorant Pria Roll On Antiperspirant Invisible Dry 45ml Twin Pack")</f>
        <v/>
      </c>
      <c r="P901" t="n">
        <v>0</v>
      </c>
      <c r="Q901" t="n">
        <v>1861</v>
      </c>
      <c r="R901" t="n">
        <v>4.944908814589666</v>
      </c>
      <c r="S901" t="n">
        <v>11</v>
      </c>
      <c r="T901" t="n">
        <v>3</v>
      </c>
      <c r="U901" t="n">
        <v>16</v>
      </c>
      <c r="V901" t="n">
        <v>208</v>
      </c>
      <c r="W901" t="n">
        <v>5027</v>
      </c>
    </row>
    <row r="902">
      <c r="A902" t="inlineStr">
        <is>
          <t>LUX Botanicals Antibacterial Hand Wash Freesia &amp; Tea Refill 220ML Twin Pack</t>
        </is>
      </c>
      <c r="B902" t="inlineStr">
        <is>
          <t>None</t>
        </is>
      </c>
      <c r="C902" t="inlineStr">
        <is>
          <t>1%</t>
        </is>
      </c>
      <c r="D902" t="n">
        <v>28800</v>
      </c>
      <c r="E902" t="n">
        <v>29000</v>
      </c>
      <c r="F902" t="n">
        <v>28800</v>
      </c>
      <c r="G902" t="n">
        <v>29000</v>
      </c>
      <c r="H902" t="n">
        <v>28800</v>
      </c>
      <c r="I902" t="n">
        <v>29000</v>
      </c>
      <c r="J902" t="b">
        <v>1</v>
      </c>
      <c r="K902" t="inlineStr">
        <is>
          <t>Unilever Indonesia Official Shop</t>
        </is>
      </c>
      <c r="L902" t="inlineStr">
        <is>
          <t>KOTA SURABAYA</t>
        </is>
      </c>
      <c r="M902" t="n">
        <v>7096367367</v>
      </c>
      <c r="N902" t="n">
        <v>14318452</v>
      </c>
      <c r="O902">
        <f>HYPERLINK("https://shopee.co.id/api/v4/item/get?itemid=7096367367&amp;shopid=14318452", "LUX Botanicals Antibacterial Hand Wash Freesia &amp; Tea Refill 220ML Twin Pack")</f>
        <v/>
      </c>
      <c r="P902" t="n">
        <v>59</v>
      </c>
      <c r="Q902" t="n">
        <v>25</v>
      </c>
      <c r="R902" t="n">
        <v>4.952464788732394</v>
      </c>
      <c r="S902" t="n">
        <v>2</v>
      </c>
      <c r="T902" t="n">
        <v>1</v>
      </c>
      <c r="U902" t="n">
        <v>3</v>
      </c>
      <c r="V902" t="n">
        <v>37</v>
      </c>
      <c r="W902" t="n">
        <v>1093</v>
      </c>
    </row>
    <row r="903">
      <c r="A903" t="inlineStr">
        <is>
          <t>Sahaja Antibacterial Spray Higienis Untuk Sajadah &amp; Mukena 220Ml - Fabric Spray</t>
        </is>
      </c>
      <c r="B903" t="inlineStr">
        <is>
          <t>None</t>
        </is>
      </c>
      <c r="C903" t="inlineStr">
        <is>
          <t>24%</t>
        </is>
      </c>
      <c r="D903" t="n">
        <v>21400</v>
      </c>
      <c r="E903" t="n">
        <v>28000</v>
      </c>
      <c r="F903" t="n">
        <v>21400</v>
      </c>
      <c r="G903" t="n">
        <v>28000</v>
      </c>
      <c r="H903" t="n">
        <v>21400</v>
      </c>
      <c r="I903" t="n">
        <v>28000</v>
      </c>
      <c r="J903" t="b">
        <v>1</v>
      </c>
      <c r="K903" t="inlineStr">
        <is>
          <t>Unilever Indonesia Official Shop</t>
        </is>
      </c>
      <c r="L903" t="inlineStr">
        <is>
          <t>KOTA BEKASI</t>
        </is>
      </c>
      <c r="M903" t="n">
        <v>5133477318</v>
      </c>
      <c r="N903" t="n">
        <v>14318452</v>
      </c>
      <c r="O903">
        <f>HYPERLINK("https://shopee.co.id/api/v4/item/get?itemid=5133477318&amp;shopid=14318452", "Sahaja Antibacterial Spray Higienis Untuk Sajadah &amp; Mukena 220Ml - Fabric Spray")</f>
        <v/>
      </c>
      <c r="P903" t="n">
        <v>45</v>
      </c>
      <c r="Q903" t="n">
        <v>48</v>
      </c>
      <c r="R903" t="n">
        <v>4.871280276816609</v>
      </c>
      <c r="S903" t="n">
        <v>8</v>
      </c>
      <c r="T903" t="n">
        <v>5</v>
      </c>
      <c r="U903" t="n">
        <v>24</v>
      </c>
      <c r="V903" t="n">
        <v>94</v>
      </c>
      <c r="W903" t="n">
        <v>1315</v>
      </c>
    </row>
    <row r="904">
      <c r="A904" t="inlineStr">
        <is>
          <t>Citra Pearly Glow Face Moisturizer 20g</t>
        </is>
      </c>
      <c r="B904" t="inlineStr">
        <is>
          <t>None</t>
        </is>
      </c>
      <c r="C904" t="inlineStr">
        <is>
          <t>1%</t>
        </is>
      </c>
      <c r="D904" t="n">
        <v>26000</v>
      </c>
      <c r="E904" t="n">
        <v>26200</v>
      </c>
      <c r="F904" t="n">
        <v>26000</v>
      </c>
      <c r="G904" t="n">
        <v>26200</v>
      </c>
      <c r="H904" t="n">
        <v>26000</v>
      </c>
      <c r="I904" t="n">
        <v>26200</v>
      </c>
      <c r="J904" t="b">
        <v>1</v>
      </c>
      <c r="K904" t="inlineStr">
        <is>
          <t>Unilever Indonesia Official Shop</t>
        </is>
      </c>
      <c r="L904" t="inlineStr">
        <is>
          <t>KOTA BEKASI</t>
        </is>
      </c>
      <c r="M904" t="n">
        <v>7131996145</v>
      </c>
      <c r="N904" t="n">
        <v>14318452</v>
      </c>
      <c r="O904">
        <f>HYPERLINK("https://shopee.co.id/api/v4/item/get?itemid=7131996145&amp;shopid=14318452", "Citra Pearly Glow Face Moisturizer 20g")</f>
        <v/>
      </c>
      <c r="P904" t="n">
        <v>980</v>
      </c>
      <c r="Q904" t="n">
        <v>224</v>
      </c>
      <c r="R904" t="n">
        <v>4.890448476549127</v>
      </c>
      <c r="S904" t="n">
        <v>8</v>
      </c>
      <c r="T904" t="n">
        <v>3</v>
      </c>
      <c r="U904" t="n">
        <v>35</v>
      </c>
      <c r="V904" t="n">
        <v>209</v>
      </c>
      <c r="W904" t="n">
        <v>2666</v>
      </c>
    </row>
    <row r="905">
      <c r="A905" t="inlineStr">
        <is>
          <t>Citra Pearly Glow Uv Lotion 380Ml</t>
        </is>
      </c>
      <c r="B905" t="inlineStr">
        <is>
          <t>Citra</t>
        </is>
      </c>
      <c r="C905" t="inlineStr">
        <is>
          <t>2%</t>
        </is>
      </c>
      <c r="D905" t="n">
        <v>42800</v>
      </c>
      <c r="E905" t="n">
        <v>43800</v>
      </c>
      <c r="F905" t="n">
        <v>42800</v>
      </c>
      <c r="G905" t="n">
        <v>43800</v>
      </c>
      <c r="H905" t="n">
        <v>42800</v>
      </c>
      <c r="I905" t="n">
        <v>43800</v>
      </c>
      <c r="J905" t="b">
        <v>1</v>
      </c>
      <c r="K905" t="inlineStr">
        <is>
          <t>Unilever Indonesia Official Shop</t>
        </is>
      </c>
      <c r="L905" t="inlineStr">
        <is>
          <t>KOTA BEKASI</t>
        </is>
      </c>
      <c r="M905" t="n">
        <v>8123022461</v>
      </c>
      <c r="N905" t="n">
        <v>14318452</v>
      </c>
      <c r="O905">
        <f>HYPERLINK("https://shopee.co.id/api/v4/item/get?itemid=8123022461&amp;shopid=14318452", "Citra Pearly Glow Uv Lotion 380Ml")</f>
        <v/>
      </c>
      <c r="P905" t="n">
        <v>63</v>
      </c>
      <c r="Q905" t="n">
        <v>349</v>
      </c>
      <c r="R905" t="n">
        <v>4.894855850763143</v>
      </c>
      <c r="S905" t="n">
        <v>7</v>
      </c>
      <c r="T905" t="n">
        <v>5</v>
      </c>
      <c r="U905" t="n">
        <v>16</v>
      </c>
      <c r="V905" t="n">
        <v>114</v>
      </c>
      <c r="W905" t="n">
        <v>1628</v>
      </c>
    </row>
    <row r="906">
      <c r="A906" t="inlineStr">
        <is>
          <t>Tresemme Shampo Rambut Scalp Care 340mlx2 Anti Ketombe dan Rontok with Tea Tree Oil</t>
        </is>
      </c>
      <c r="B906" t="inlineStr">
        <is>
          <t>Tresemme</t>
        </is>
      </c>
      <c r="C906" t="inlineStr">
        <is>
          <t>16%</t>
        </is>
      </c>
      <c r="D906" t="n">
        <v>122300</v>
      </c>
      <c r="E906" t="n">
        <v>146400</v>
      </c>
      <c r="F906" t="n">
        <v>122300</v>
      </c>
      <c r="G906" t="n">
        <v>146400</v>
      </c>
      <c r="H906" t="n">
        <v>122300</v>
      </c>
      <c r="I906" t="n">
        <v>146400</v>
      </c>
      <c r="J906" t="b">
        <v>1</v>
      </c>
      <c r="K906" t="inlineStr">
        <is>
          <t>Unilever Indonesia Official Shop</t>
        </is>
      </c>
      <c r="L906" t="inlineStr">
        <is>
          <t>KOTA BEKASI</t>
        </is>
      </c>
      <c r="M906" t="n">
        <v>4331737706</v>
      </c>
      <c r="N906" t="n">
        <v>14318452</v>
      </c>
      <c r="O906">
        <f>HYPERLINK("https://shopee.co.id/api/v4/item/get?itemid=4331737706&amp;shopid=14318452", "Tresemme Shampo Rambut Scalp Care 340mlx2 Anti Ketombe dan Rontok with Tea Tree Oil")</f>
        <v/>
      </c>
      <c r="P906" t="n">
        <v>38</v>
      </c>
      <c r="Q906" t="n">
        <v>680</v>
      </c>
      <c r="R906" t="n">
        <v>4.883791278043862</v>
      </c>
      <c r="S906" t="n">
        <v>24</v>
      </c>
      <c r="T906" t="n">
        <v>21</v>
      </c>
      <c r="U906" t="n">
        <v>62</v>
      </c>
      <c r="V906" t="n">
        <v>196</v>
      </c>
      <c r="W906" t="n">
        <v>3669</v>
      </c>
    </row>
    <row r="907">
      <c r="A907" t="inlineStr">
        <is>
          <t>LUX Botanicals Antibacterial Hand Wash Gardenia &amp; Honey 220 ml</t>
        </is>
      </c>
      <c r="B907" t="inlineStr"/>
      <c r="C907" t="inlineStr">
        <is>
          <t>1%</t>
        </is>
      </c>
      <c r="D907" t="n">
        <v>15900</v>
      </c>
      <c r="E907" t="n">
        <v>16000</v>
      </c>
      <c r="F907" t="n">
        <v>15900</v>
      </c>
      <c r="G907" t="n">
        <v>16000</v>
      </c>
      <c r="H907" t="n">
        <v>15900</v>
      </c>
      <c r="I907" t="n">
        <v>16000</v>
      </c>
      <c r="J907" t="b">
        <v>1</v>
      </c>
      <c r="K907" t="inlineStr">
        <is>
          <t>Unilever Indonesia Official Shop</t>
        </is>
      </c>
      <c r="L907" t="inlineStr">
        <is>
          <t>KAB. BANYUASIN</t>
        </is>
      </c>
      <c r="M907" t="n">
        <v>9414553407</v>
      </c>
      <c r="N907" t="n">
        <v>14318452</v>
      </c>
      <c r="O907">
        <f>HYPERLINK("https://shopee.co.id/api/v4/item/get?itemid=9414553407&amp;shopid=14318452", "LUX Botanicals Antibacterial Hand Wash Gardenia &amp; Honey 220 ml")</f>
        <v/>
      </c>
      <c r="P907" t="n">
        <v>32</v>
      </c>
      <c r="Q907" t="n">
        <v>247</v>
      </c>
      <c r="R907" t="n">
        <v>4.897714907508161</v>
      </c>
      <c r="S907" t="n">
        <v>5</v>
      </c>
      <c r="T907" t="n">
        <v>2</v>
      </c>
      <c r="U907" t="n">
        <v>27</v>
      </c>
      <c r="V907" t="n">
        <v>108</v>
      </c>
      <c r="W907" t="n">
        <v>1696</v>
      </c>
    </row>
    <row r="908">
      <c r="A908" t="inlineStr">
        <is>
          <t>Vixal Pembersih Porselen Lebih Wangi Kuat 780ml (Twin Pack)</t>
        </is>
      </c>
      <c r="B908" t="inlineStr">
        <is>
          <t>Vixal</t>
        </is>
      </c>
      <c r="C908" t="inlineStr">
        <is>
          <t>40%</t>
        </is>
      </c>
      <c r="D908" t="n">
        <v>32800</v>
      </c>
      <c r="E908" t="n">
        <v>54500</v>
      </c>
      <c r="F908" t="n">
        <v>32800</v>
      </c>
      <c r="G908" t="n">
        <v>54500</v>
      </c>
      <c r="H908" t="n">
        <v>32800</v>
      </c>
      <c r="I908" t="n">
        <v>54500</v>
      </c>
      <c r="J908" t="b">
        <v>1</v>
      </c>
      <c r="K908" t="inlineStr">
        <is>
          <t>Unilever Indonesia Official Shop</t>
        </is>
      </c>
      <c r="L908" t="inlineStr">
        <is>
          <t>KOTA BEKASI</t>
        </is>
      </c>
      <c r="M908" t="n">
        <v>5831691724</v>
      </c>
      <c r="N908" t="n">
        <v>14318452</v>
      </c>
      <c r="O908">
        <f>HYPERLINK("https://shopee.co.id/api/v4/item/get?itemid=5831691724&amp;shopid=14318452", "Vixal Pembersih Porselen Lebih Wangi Kuat 780ml (Twin Pack)")</f>
        <v/>
      </c>
      <c r="P908" t="n">
        <v>556</v>
      </c>
      <c r="Q908" t="n">
        <v>1539</v>
      </c>
      <c r="R908" t="n">
        <v>4.902302243211334</v>
      </c>
      <c r="S908" t="n">
        <v>15</v>
      </c>
      <c r="T908" t="n">
        <v>11</v>
      </c>
      <c r="U908" t="n">
        <v>44</v>
      </c>
      <c r="V908" t="n">
        <v>157</v>
      </c>
      <c r="W908" t="n">
        <v>3163</v>
      </c>
    </row>
    <row r="909">
      <c r="A909" t="inlineStr">
        <is>
          <t>Vaseline Lip Therapy Original 7 gr</t>
        </is>
      </c>
      <c r="B909" t="inlineStr">
        <is>
          <t>Vaseline</t>
        </is>
      </c>
      <c r="C909" t="inlineStr">
        <is>
          <t>16%</t>
        </is>
      </c>
      <c r="D909" t="n">
        <v>36400</v>
      </c>
      <c r="E909" t="n">
        <v>43500</v>
      </c>
      <c r="F909" t="n">
        <v>36400</v>
      </c>
      <c r="G909" t="n">
        <v>43500</v>
      </c>
      <c r="H909" t="n">
        <v>36400</v>
      </c>
      <c r="I909" t="n">
        <v>43500</v>
      </c>
      <c r="J909" t="b">
        <v>1</v>
      </c>
      <c r="K909" t="inlineStr">
        <is>
          <t>Unilever Indonesia Official Shop</t>
        </is>
      </c>
      <c r="L909" t="inlineStr">
        <is>
          <t>KOTA SEMARANG</t>
        </is>
      </c>
      <c r="M909" t="n">
        <v>2523768189</v>
      </c>
      <c r="N909" t="n">
        <v>14318452</v>
      </c>
      <c r="O909">
        <f>HYPERLINK("https://shopee.co.id/api/v4/item/get?itemid=2523768189&amp;shopid=14318452", "Vaseline Lip Therapy Original 7 gr")</f>
        <v/>
      </c>
      <c r="P909" t="n">
        <v>121</v>
      </c>
      <c r="Q909" t="n">
        <v>147</v>
      </c>
      <c r="R909" t="n">
        <v>4.898202076475057</v>
      </c>
      <c r="S909" t="n">
        <v>16</v>
      </c>
      <c r="T909" t="n">
        <v>4</v>
      </c>
      <c r="U909" t="n">
        <v>42</v>
      </c>
      <c r="V909" t="n">
        <v>246</v>
      </c>
      <c r="W909" t="n">
        <v>3642</v>
      </c>
    </row>
    <row r="910">
      <c r="A910" t="inlineStr">
        <is>
          <t>[WENDY'S PICK] Ponds Bright Beauty Triple Glow Serum Mask 20g with GlutaBoostC-NIacinimde</t>
        </is>
      </c>
      <c r="B910" t="inlineStr"/>
      <c r="C910" t="inlineStr">
        <is>
          <t>9%</t>
        </is>
      </c>
      <c r="D910" t="n">
        <v>18900</v>
      </c>
      <c r="E910" t="n">
        <v>20800</v>
      </c>
      <c r="F910" t="n">
        <v>18900</v>
      </c>
      <c r="G910" t="n">
        <v>20800</v>
      </c>
      <c r="H910" t="n">
        <v>18900</v>
      </c>
      <c r="I910" t="n">
        <v>20800</v>
      </c>
      <c r="J910" t="b">
        <v>1</v>
      </c>
      <c r="K910" t="inlineStr">
        <is>
          <t>Unilever Indonesia Official Shop</t>
        </is>
      </c>
      <c r="L910" t="inlineStr">
        <is>
          <t>KOTA BALIKPAPAN</t>
        </is>
      </c>
      <c r="M910" t="n">
        <v>8235269354</v>
      </c>
      <c r="N910" t="n">
        <v>14318452</v>
      </c>
      <c r="O910">
        <f>HYPERLINK("https://shopee.co.id/api/v4/item/get?itemid=8235269354&amp;shopid=14318452", "[WENDY'S PICK] Ponds Bright Beauty Triple Glow Serum Mask 20g with GlutaBoostC-NIacinimde")</f>
        <v/>
      </c>
      <c r="P910" t="n">
        <v>42</v>
      </c>
      <c r="Q910" t="n">
        <v>103</v>
      </c>
      <c r="R910" t="n">
        <v>4.898346601347214</v>
      </c>
      <c r="S910" t="n">
        <v>2</v>
      </c>
      <c r="T910" t="n">
        <v>2</v>
      </c>
      <c r="U910" t="n">
        <v>24</v>
      </c>
      <c r="V910" t="n">
        <v>107</v>
      </c>
      <c r="W910" t="n">
        <v>1499</v>
      </c>
    </row>
    <row r="911">
      <c r="A911" t="inlineStr">
        <is>
          <t>Jawara Saos Sambal Pedas Hot 330 Ml - Saus Sambal, Sauce</t>
        </is>
      </c>
      <c r="B911" t="inlineStr">
        <is>
          <t>0</t>
        </is>
      </c>
      <c r="C911" t="inlineStr">
        <is>
          <t>16%</t>
        </is>
      </c>
      <c r="D911" t="n">
        <v>18600</v>
      </c>
      <c r="E911" t="n">
        <v>22100</v>
      </c>
      <c r="F911" t="n">
        <v>18600</v>
      </c>
      <c r="G911" t="n">
        <v>22100</v>
      </c>
      <c r="H911" t="n">
        <v>18600</v>
      </c>
      <c r="I911" t="n">
        <v>22100</v>
      </c>
      <c r="J911" t="b">
        <v>1</v>
      </c>
      <c r="K911" t="inlineStr">
        <is>
          <t>Unilever Indonesia Official Shop</t>
        </is>
      </c>
      <c r="L911" t="inlineStr">
        <is>
          <t>KOTA BEKASI</t>
        </is>
      </c>
      <c r="M911" t="n">
        <v>1480865229</v>
      </c>
      <c r="N911" t="n">
        <v>14318452</v>
      </c>
      <c r="O911">
        <f>HYPERLINK("https://shopee.co.id/api/v4/item/get?itemid=1480865229&amp;shopid=14318452", "Jawara Saos Sambal Pedas Hot 330 Ml - Saus Sambal, Sauce")</f>
        <v/>
      </c>
      <c r="P911" t="n">
        <v>41</v>
      </c>
      <c r="Q911" t="n">
        <v>314</v>
      </c>
      <c r="R911" t="n">
        <v>4.907475169890224</v>
      </c>
      <c r="S911" t="n">
        <v>14</v>
      </c>
      <c r="T911" t="n">
        <v>3</v>
      </c>
      <c r="U911" t="n">
        <v>15</v>
      </c>
      <c r="V911" t="n">
        <v>82</v>
      </c>
      <c r="W911" t="n">
        <v>1799</v>
      </c>
    </row>
    <row r="912">
      <c r="A912" t="inlineStr">
        <is>
          <t>Ponds Age Miracle Eye Serum Mask 4G Twin Pack</t>
        </is>
      </c>
      <c r="B912" t="inlineStr"/>
      <c r="C912" t="inlineStr">
        <is>
          <t>16%</t>
        </is>
      </c>
      <c r="D912" t="n">
        <v>40000</v>
      </c>
      <c r="E912" t="n">
        <v>47900</v>
      </c>
      <c r="F912" t="n">
        <v>40000</v>
      </c>
      <c r="G912" t="n">
        <v>47900</v>
      </c>
      <c r="H912" t="n">
        <v>40000</v>
      </c>
      <c r="I912" t="n">
        <v>47900</v>
      </c>
      <c r="J912" t="b">
        <v>1</v>
      </c>
      <c r="K912" t="inlineStr">
        <is>
          <t>Unilever Indonesia Official Shop</t>
        </is>
      </c>
      <c r="L912" t="inlineStr">
        <is>
          <t>KOTA BEKASI</t>
        </is>
      </c>
      <c r="M912" t="n">
        <v>6781076227</v>
      </c>
      <c r="N912" t="n">
        <v>14318452</v>
      </c>
      <c r="O912">
        <f>HYPERLINK("https://shopee.co.id/api/v4/item/get?itemid=6781076227&amp;shopid=14318452", "Ponds Age Miracle Eye Serum Mask 4G Twin Pack")</f>
        <v/>
      </c>
      <c r="P912" t="n">
        <v>29</v>
      </c>
      <c r="Q912" t="n">
        <v>367</v>
      </c>
      <c r="R912" t="n">
        <v>4.915478615071283</v>
      </c>
      <c r="S912" t="n">
        <v>3</v>
      </c>
      <c r="T912" t="n">
        <v>1</v>
      </c>
      <c r="U912" t="n">
        <v>7</v>
      </c>
      <c r="V912" t="n">
        <v>54</v>
      </c>
      <c r="W912" t="n">
        <v>917</v>
      </c>
    </row>
    <row r="913">
      <c r="A913" t="inlineStr">
        <is>
          <t>Pond's BB Magic Powder 50g Twin Pack</t>
        </is>
      </c>
      <c r="B913" t="inlineStr">
        <is>
          <t>Pond's</t>
        </is>
      </c>
      <c r="C913" t="inlineStr">
        <is>
          <t>10%</t>
        </is>
      </c>
      <c r="D913" t="n">
        <v>57500</v>
      </c>
      <c r="E913" t="n">
        <v>63700</v>
      </c>
      <c r="F913" t="n">
        <v>57500</v>
      </c>
      <c r="G913" t="n">
        <v>63700</v>
      </c>
      <c r="H913" t="n">
        <v>57500</v>
      </c>
      <c r="I913" t="n">
        <v>63700</v>
      </c>
      <c r="J913" t="b">
        <v>1</v>
      </c>
      <c r="K913" t="inlineStr">
        <is>
          <t>Unilever Indonesia Official Shop</t>
        </is>
      </c>
      <c r="L913" t="inlineStr">
        <is>
          <t>KOTA BEKASI</t>
        </is>
      </c>
      <c r="M913" t="n">
        <v>4931373837</v>
      </c>
      <c r="N913" t="n">
        <v>14318452</v>
      </c>
      <c r="O913">
        <f>HYPERLINK("https://shopee.co.id/api/v4/item/get?itemid=4931373837&amp;shopid=14318452", "Pond's BB Magic Powder 50g Twin Pack")</f>
        <v/>
      </c>
      <c r="P913" t="n">
        <v>110</v>
      </c>
      <c r="Q913" t="n">
        <v>625</v>
      </c>
      <c r="R913" t="n">
        <v>4.936305732484076</v>
      </c>
      <c r="S913" t="n">
        <v>1</v>
      </c>
      <c r="T913" t="n">
        <v>4</v>
      </c>
      <c r="U913" t="n">
        <v>6</v>
      </c>
      <c r="V913" t="n">
        <v>52</v>
      </c>
      <c r="W913" t="n">
        <v>1193</v>
      </c>
    </row>
    <row r="914">
      <c r="A914" t="inlineStr">
        <is>
          <t>Bango Bumbu Nasi Kuning Manado 35 gr</t>
        </is>
      </c>
      <c r="B914" t="inlineStr">
        <is>
          <t>Bango</t>
        </is>
      </c>
      <c r="C914" t="inlineStr">
        <is>
          <t>12%</t>
        </is>
      </c>
      <c r="D914" t="n">
        <v>5700</v>
      </c>
      <c r="E914" t="n">
        <v>6500</v>
      </c>
      <c r="F914" t="n">
        <v>5700</v>
      </c>
      <c r="G914" t="n">
        <v>6500</v>
      </c>
      <c r="H914" t="n">
        <v>5700</v>
      </c>
      <c r="I914" t="n">
        <v>6500</v>
      </c>
      <c r="J914" t="b">
        <v>1</v>
      </c>
      <c r="K914" t="inlineStr">
        <is>
          <t>Unilever Indonesia Official Shop</t>
        </is>
      </c>
      <c r="L914" t="inlineStr">
        <is>
          <t>KAB. BANYUASIN</t>
        </is>
      </c>
      <c r="M914" t="n">
        <v>4937670651</v>
      </c>
      <c r="N914" t="n">
        <v>14318452</v>
      </c>
      <c r="O914">
        <f>HYPERLINK("https://shopee.co.id/api/v4/item/get?itemid=4937670651&amp;shopid=14318452", "Bango Bumbu Nasi Kuning Manado 35 gr")</f>
        <v/>
      </c>
      <c r="P914" t="n">
        <v>77</v>
      </c>
      <c r="Q914" t="n">
        <v>165</v>
      </c>
      <c r="R914" t="n">
        <v>4.917755572636434</v>
      </c>
      <c r="S914" t="n">
        <v>3</v>
      </c>
      <c r="T914" t="n">
        <v>1</v>
      </c>
      <c r="U914" t="n">
        <v>7</v>
      </c>
      <c r="V914" t="n">
        <v>78</v>
      </c>
      <c r="W914" t="n">
        <v>1212</v>
      </c>
    </row>
    <row r="915">
      <c r="A915" t="inlineStr">
        <is>
          <t>Citra Face Cream Moisturizer Pelembab Wajah Green Tea Anti Acne 40 gr</t>
        </is>
      </c>
      <c r="B915" t="inlineStr">
        <is>
          <t>Citra</t>
        </is>
      </c>
      <c r="C915" t="inlineStr">
        <is>
          <t>1%</t>
        </is>
      </c>
      <c r="D915" t="n">
        <v>45300</v>
      </c>
      <c r="E915" t="n">
        <v>45700</v>
      </c>
      <c r="F915" t="n">
        <v>45300</v>
      </c>
      <c r="G915" t="n">
        <v>45700</v>
      </c>
      <c r="H915" t="n">
        <v>45300</v>
      </c>
      <c r="I915" t="n">
        <v>45700</v>
      </c>
      <c r="J915" t="b">
        <v>1</v>
      </c>
      <c r="K915" t="inlineStr">
        <is>
          <t>Unilever Indonesia Official Shop</t>
        </is>
      </c>
      <c r="L915" t="inlineStr">
        <is>
          <t>KOTA BEKASI</t>
        </is>
      </c>
      <c r="M915" t="n">
        <v>4860780302</v>
      </c>
      <c r="N915" t="n">
        <v>14318452</v>
      </c>
      <c r="O915">
        <f>HYPERLINK("https://shopee.co.id/api/v4/item/get?itemid=4860780302&amp;shopid=14318452", "Citra Face Cream Moisturizer Pelembab Wajah Green Tea Anti Acne 40 gr")</f>
        <v/>
      </c>
      <c r="P915" t="n">
        <v>518</v>
      </c>
      <c r="Q915" t="n">
        <v>928</v>
      </c>
      <c r="R915" t="n">
        <v>4.871506635441062</v>
      </c>
      <c r="S915" t="n">
        <v>16</v>
      </c>
      <c r="T915" t="n">
        <v>20</v>
      </c>
      <c r="U915" t="n">
        <v>79</v>
      </c>
      <c r="V915" t="n">
        <v>544</v>
      </c>
      <c r="W915" t="n">
        <v>5747</v>
      </c>
    </row>
    <row r="916">
      <c r="A916" t="inlineStr">
        <is>
          <t>Pond'S Clear Solution Facial Scrub 50G</t>
        </is>
      </c>
      <c r="B916" t="inlineStr">
        <is>
          <t>0</t>
        </is>
      </c>
      <c r="C916" t="inlineStr">
        <is>
          <t>9%</t>
        </is>
      </c>
      <c r="D916" t="n">
        <v>24100</v>
      </c>
      <c r="E916" t="n">
        <v>26400</v>
      </c>
      <c r="F916" t="n">
        <v>24100</v>
      </c>
      <c r="G916" t="n">
        <v>26400</v>
      </c>
      <c r="H916" t="n">
        <v>24100</v>
      </c>
      <c r="I916" t="n">
        <v>26400</v>
      </c>
      <c r="J916" t="b">
        <v>1</v>
      </c>
      <c r="K916" t="inlineStr">
        <is>
          <t>Unilever Indonesia Official Shop</t>
        </is>
      </c>
      <c r="L916" t="inlineStr">
        <is>
          <t>KOTA BEKASI</t>
        </is>
      </c>
      <c r="M916" t="n">
        <v>986575074</v>
      </c>
      <c r="N916" t="n">
        <v>14318452</v>
      </c>
      <c r="O916">
        <f>HYPERLINK("https://shopee.co.id/api/v4/item/get?itemid=986575074&amp;shopid=14318452", "Pond'S Clear Solution Facial Scrub 50G")</f>
        <v/>
      </c>
      <c r="P916" t="n">
        <v>129</v>
      </c>
      <c r="Q916" t="n">
        <v>191</v>
      </c>
      <c r="R916" t="n">
        <v>4.889894419306184</v>
      </c>
      <c r="S916" t="n">
        <v>14</v>
      </c>
      <c r="T916" t="n">
        <v>4</v>
      </c>
      <c r="U916" t="n">
        <v>26</v>
      </c>
      <c r="V916" t="n">
        <v>175</v>
      </c>
      <c r="W916" t="n">
        <v>2434</v>
      </c>
    </row>
    <row r="917">
      <c r="A917" t="inlineStr">
        <is>
          <t>CLEAR Shampoo Anti Bacterial Fresh Cool Lemon 160 ml</t>
        </is>
      </c>
      <c r="B917" t="inlineStr">
        <is>
          <t>0</t>
        </is>
      </c>
      <c r="C917" t="inlineStr">
        <is>
          <t>16%</t>
        </is>
      </c>
      <c r="D917" t="n">
        <v>30300</v>
      </c>
      <c r="E917" t="n">
        <v>36200</v>
      </c>
      <c r="F917" t="n">
        <v>30300</v>
      </c>
      <c r="G917" t="n">
        <v>36200</v>
      </c>
      <c r="H917" t="n">
        <v>30300</v>
      </c>
      <c r="I917" t="n">
        <v>36200</v>
      </c>
      <c r="J917" t="b">
        <v>1</v>
      </c>
      <c r="K917" t="inlineStr">
        <is>
          <t>Unilever Indonesia Official Shop</t>
        </is>
      </c>
      <c r="L917" t="inlineStr">
        <is>
          <t>KOTA BEKASI</t>
        </is>
      </c>
      <c r="M917" t="n">
        <v>1862500439</v>
      </c>
      <c r="N917" t="n">
        <v>14318452</v>
      </c>
      <c r="O917">
        <f>HYPERLINK("https://shopee.co.id/api/v4/item/get?itemid=1862500439&amp;shopid=14318452", "CLEAR Shampoo Anti Bacterial Fresh Cool Lemon 160 ml")</f>
        <v/>
      </c>
      <c r="P917" t="n">
        <v>58</v>
      </c>
      <c r="Q917" t="n">
        <v>185</v>
      </c>
      <c r="R917" t="n">
        <v>4.898750821827745</v>
      </c>
      <c r="S917" t="n">
        <v>14</v>
      </c>
      <c r="T917" t="n">
        <v>14</v>
      </c>
      <c r="U917" t="n">
        <v>27</v>
      </c>
      <c r="V917" t="n">
        <v>160</v>
      </c>
      <c r="W917" t="n">
        <v>2828</v>
      </c>
    </row>
    <row r="918">
      <c r="A918" t="inlineStr">
        <is>
          <t>LUX Botanicals Antibacterial Hand Wash Gardenia &amp; Honey Refill 220ML Twin Pack</t>
        </is>
      </c>
      <c r="B918" t="inlineStr">
        <is>
          <t>None</t>
        </is>
      </c>
      <c r="C918" t="inlineStr">
        <is>
          <t>1%</t>
        </is>
      </c>
      <c r="D918" t="n">
        <v>28800</v>
      </c>
      <c r="E918" t="n">
        <v>29000</v>
      </c>
      <c r="F918" t="n">
        <v>28800</v>
      </c>
      <c r="G918" t="n">
        <v>29000</v>
      </c>
      <c r="H918" t="n">
        <v>28800</v>
      </c>
      <c r="I918" t="n">
        <v>29000</v>
      </c>
      <c r="J918" t="b">
        <v>0</v>
      </c>
      <c r="K918" t="inlineStr">
        <is>
          <t>Unilever Indonesia Official Shop</t>
        </is>
      </c>
      <c r="L918" t="inlineStr">
        <is>
          <t>KAB. BANYUASIN</t>
        </is>
      </c>
      <c r="M918" t="n">
        <v>4296350784</v>
      </c>
      <c r="N918" t="n">
        <v>14318452</v>
      </c>
      <c r="O918">
        <f>HYPERLINK("https://shopee.co.id/api/v4/item/get?itemid=4296350784&amp;shopid=14318452", "LUX Botanicals Antibacterial Hand Wash Gardenia &amp; Honey Refill 220ML Twin Pack")</f>
        <v/>
      </c>
      <c r="P918" t="n">
        <v>21</v>
      </c>
      <c r="Q918" t="n">
        <v>122</v>
      </c>
      <c r="R918" t="n">
        <v>4.941964285714286</v>
      </c>
      <c r="S918" t="n">
        <v>2</v>
      </c>
      <c r="T918" t="n">
        <v>2</v>
      </c>
      <c r="U918" t="n">
        <v>10</v>
      </c>
      <c r="V918" t="n">
        <v>57</v>
      </c>
      <c r="W918" t="n">
        <v>1497</v>
      </c>
    </row>
    <row r="919">
      <c r="A919" t="inlineStr">
        <is>
          <t>Vixal Pembersih Porselen Biru 470 ml - Bersihkan Kerak Dan Bunuh Kuman</t>
        </is>
      </c>
      <c r="B919" t="inlineStr">
        <is>
          <t>0</t>
        </is>
      </c>
      <c r="C919" t="inlineStr">
        <is>
          <t>28%</t>
        </is>
      </c>
      <c r="D919" t="n">
        <v>13500</v>
      </c>
      <c r="E919" t="n">
        <v>18800</v>
      </c>
      <c r="F919" t="n">
        <v>13500</v>
      </c>
      <c r="G919" t="n">
        <v>18800</v>
      </c>
      <c r="H919" t="n">
        <v>13500</v>
      </c>
      <c r="I919" t="n">
        <v>18800</v>
      </c>
      <c r="J919" t="b">
        <v>1</v>
      </c>
      <c r="K919" t="inlineStr">
        <is>
          <t>Unilever Indonesia Official Shop</t>
        </is>
      </c>
      <c r="L919" t="inlineStr">
        <is>
          <t>KOTA BEKASI</t>
        </is>
      </c>
      <c r="M919" t="n">
        <v>1568726813</v>
      </c>
      <c r="N919" t="n">
        <v>14318452</v>
      </c>
      <c r="O919">
        <f>HYPERLINK("https://shopee.co.id/api/v4/item/get?itemid=1568726813&amp;shopid=14318452", "Vixal Pembersih Porselen Biru 470 ml - Bersihkan Kerak Dan Bunuh Kuman")</f>
        <v/>
      </c>
      <c r="P919" t="n">
        <v>276</v>
      </c>
      <c r="Q919" t="n">
        <v>474</v>
      </c>
      <c r="R919" t="n">
        <v>4.89246542680019</v>
      </c>
      <c r="S919" t="n">
        <v>8</v>
      </c>
      <c r="T919" t="n">
        <v>13</v>
      </c>
      <c r="U919" t="n">
        <v>51</v>
      </c>
      <c r="V919" t="n">
        <v>278</v>
      </c>
      <c r="W919" t="n">
        <v>3844</v>
      </c>
    </row>
    <row r="920">
      <c r="A920" t="inlineStr">
        <is>
          <t>Vaseline Lip Therapy Balm Stick Original 4.8 G</t>
        </is>
      </c>
      <c r="B920" t="inlineStr">
        <is>
          <t>None</t>
        </is>
      </c>
      <c r="C920" t="inlineStr">
        <is>
          <t>1%</t>
        </is>
      </c>
      <c r="D920" t="n">
        <v>28700</v>
      </c>
      <c r="E920" t="n">
        <v>28900</v>
      </c>
      <c r="F920" t="n">
        <v>28700</v>
      </c>
      <c r="G920" t="n">
        <v>28900</v>
      </c>
      <c r="H920" t="n">
        <v>28700</v>
      </c>
      <c r="I920" t="n">
        <v>28900</v>
      </c>
      <c r="J920" t="b">
        <v>0</v>
      </c>
      <c r="K920" t="inlineStr">
        <is>
          <t>Unilever Indonesia Official Shop</t>
        </is>
      </c>
      <c r="L920" t="inlineStr">
        <is>
          <t>KOTA BEKASI</t>
        </is>
      </c>
      <c r="M920" t="n">
        <v>4982359825</v>
      </c>
      <c r="N920" t="n">
        <v>14318452</v>
      </c>
      <c r="O920">
        <f>HYPERLINK("https://shopee.co.id/api/v4/item/get?itemid=4982359825&amp;shopid=14318452", "Vaseline Lip Therapy Balm Stick Original 4.8 G")</f>
        <v/>
      </c>
      <c r="P920" t="n">
        <v>224</v>
      </c>
      <c r="Q920" t="n">
        <v>114</v>
      </c>
      <c r="R920" t="n">
        <v>4.834823605917737</v>
      </c>
      <c r="S920" t="n">
        <v>53</v>
      </c>
      <c r="T920" t="n">
        <v>30</v>
      </c>
      <c r="U920" t="n">
        <v>134</v>
      </c>
      <c r="V920" t="n">
        <v>452</v>
      </c>
      <c r="W920" t="n">
        <v>5484</v>
      </c>
    </row>
    <row r="921">
      <c r="A921" t="inlineStr">
        <is>
          <t>Zwitsal Baby Bath Hair and Body 450ml Twinpack</t>
        </is>
      </c>
      <c r="B921" t="inlineStr"/>
      <c r="C921" t="inlineStr">
        <is>
          <t>14%</t>
        </is>
      </c>
      <c r="D921" t="n">
        <v>66000</v>
      </c>
      <c r="E921" t="n">
        <v>76500</v>
      </c>
      <c r="F921" t="n">
        <v>66000</v>
      </c>
      <c r="G921" t="n">
        <v>76500</v>
      </c>
      <c r="H921" t="n">
        <v>66000</v>
      </c>
      <c r="I921" t="n">
        <v>76500</v>
      </c>
      <c r="J921" t="b">
        <v>0</v>
      </c>
      <c r="K921" t="inlineStr">
        <is>
          <t>Unilever Indonesia Official Shop</t>
        </is>
      </c>
      <c r="L921" t="inlineStr">
        <is>
          <t>KOTA BEKASI</t>
        </is>
      </c>
      <c r="M921" t="n">
        <v>11655624281</v>
      </c>
      <c r="N921" t="n">
        <v>14318452</v>
      </c>
      <c r="O921">
        <f>HYPERLINK("https://shopee.co.id/api/v4/item/get?itemid=11655624281&amp;shopid=14318452", "Zwitsal Baby Bath Hair and Body 450ml Twinpack")</f>
        <v/>
      </c>
      <c r="P921" t="n">
        <v>82</v>
      </c>
      <c r="Q921" t="n">
        <v>215</v>
      </c>
      <c r="R921" t="n">
        <v>4.915254237288136</v>
      </c>
      <c r="S921" t="n">
        <v>4</v>
      </c>
      <c r="T921" t="n">
        <v>3</v>
      </c>
      <c r="U921" t="n">
        <v>3</v>
      </c>
      <c r="V921" t="n">
        <v>54</v>
      </c>
      <c r="W921" t="n">
        <v>939</v>
      </c>
    </row>
    <row r="922">
      <c r="A922" t="inlineStr">
        <is>
          <t>Dove Roll On Deodorant Powder Soft 40ml Multi Pack</t>
        </is>
      </c>
      <c r="B922" t="inlineStr">
        <is>
          <t>0</t>
        </is>
      </c>
      <c r="C922" t="inlineStr">
        <is>
          <t>22%</t>
        </is>
      </c>
      <c r="D922" t="n">
        <v>55100</v>
      </c>
      <c r="E922" t="n">
        <v>70800</v>
      </c>
      <c r="F922" t="n">
        <v>55100</v>
      </c>
      <c r="G922" t="n">
        <v>70800</v>
      </c>
      <c r="H922" t="n">
        <v>55100</v>
      </c>
      <c r="I922" t="n">
        <v>70800</v>
      </c>
      <c r="J922" t="b">
        <v>1</v>
      </c>
      <c r="K922" t="inlineStr">
        <is>
          <t>Unilever Indonesia Official Shop</t>
        </is>
      </c>
      <c r="L922" t="inlineStr">
        <is>
          <t>KOTA BEKASI</t>
        </is>
      </c>
      <c r="M922" t="n">
        <v>5131325237</v>
      </c>
      <c r="N922" t="n">
        <v>14318452</v>
      </c>
      <c r="O922">
        <f>HYPERLINK("https://shopee.co.id/api/v4/item/get?itemid=5131325237&amp;shopid=14318452", "Dove Roll On Deodorant Powder Soft 40ml Multi Pack")</f>
        <v/>
      </c>
      <c r="P922" t="n">
        <v>67</v>
      </c>
      <c r="Q922" t="n">
        <v>113</v>
      </c>
      <c r="R922" t="n">
        <v>4.933842239185751</v>
      </c>
      <c r="S922" t="n">
        <v>2</v>
      </c>
      <c r="T922" t="n">
        <v>0</v>
      </c>
      <c r="U922" t="n">
        <v>5</v>
      </c>
      <c r="V922" t="n">
        <v>34</v>
      </c>
      <c r="W922" t="n">
        <v>745</v>
      </c>
    </row>
    <row r="923">
      <c r="A923" t="inlineStr">
        <is>
          <t>Vaseline Lotion Healthy Bright Fresh &amp; Bright Cooling 100ml Twin Pack</t>
        </is>
      </c>
      <c r="B923" t="inlineStr">
        <is>
          <t>0</t>
        </is>
      </c>
      <c r="C923" t="inlineStr">
        <is>
          <t>9%</t>
        </is>
      </c>
      <c r="D923" t="n">
        <v>31900</v>
      </c>
      <c r="E923" t="n">
        <v>35100</v>
      </c>
      <c r="F923" t="n">
        <v>31900</v>
      </c>
      <c r="G923" t="n">
        <v>35100</v>
      </c>
      <c r="H923" t="n">
        <v>31900</v>
      </c>
      <c r="I923" t="n">
        <v>35100</v>
      </c>
      <c r="J923" t="b">
        <v>1</v>
      </c>
      <c r="K923" t="inlineStr">
        <is>
          <t>Unilever Indonesia Official Shop</t>
        </is>
      </c>
      <c r="L923" t="inlineStr">
        <is>
          <t>KOTA BEKASI</t>
        </is>
      </c>
      <c r="M923" t="n">
        <v>7631824919</v>
      </c>
      <c r="N923" t="n">
        <v>14318452</v>
      </c>
      <c r="O923">
        <f>HYPERLINK("https://shopee.co.id/api/v4/item/get?itemid=7631824919&amp;shopid=14318452", "Vaseline Lotion Healthy Bright Fresh &amp; Bright Cooling 100ml Twin Pack")</f>
        <v/>
      </c>
      <c r="P923" t="n">
        <v>42</v>
      </c>
      <c r="Q923" t="n">
        <v>305</v>
      </c>
      <c r="R923" t="n">
        <v>4.893132872815928</v>
      </c>
      <c r="S923" t="n">
        <v>9</v>
      </c>
      <c r="T923" t="n">
        <v>5</v>
      </c>
      <c r="U923" t="n">
        <v>27</v>
      </c>
      <c r="V923" t="n">
        <v>166</v>
      </c>
      <c r="W923" t="n">
        <v>2256</v>
      </c>
    </row>
    <row r="924">
      <c r="A924" t="inlineStr">
        <is>
          <t>Ponds Pure Bright Facial Foam with Activated Charcoal &amp; Japanese Green Tea 50g</t>
        </is>
      </c>
      <c r="B924" t="inlineStr">
        <is>
          <t>0</t>
        </is>
      </c>
      <c r="C924" t="inlineStr">
        <is>
          <t>14%</t>
        </is>
      </c>
      <c r="D924" t="n">
        <v>20700</v>
      </c>
      <c r="E924" t="n">
        <v>24000</v>
      </c>
      <c r="F924" t="n">
        <v>20700</v>
      </c>
      <c r="G924" t="n">
        <v>24000</v>
      </c>
      <c r="H924" t="n">
        <v>20700</v>
      </c>
      <c r="I924" t="n">
        <v>24000</v>
      </c>
      <c r="J924" t="b">
        <v>1</v>
      </c>
      <c r="K924" t="inlineStr">
        <is>
          <t>Unilever Indonesia Official Shop</t>
        </is>
      </c>
      <c r="L924" t="inlineStr">
        <is>
          <t>KOTA BEKASI</t>
        </is>
      </c>
      <c r="M924" t="n">
        <v>6001803520</v>
      </c>
      <c r="N924" t="n">
        <v>14318452</v>
      </c>
      <c r="O924">
        <f>HYPERLINK("https://shopee.co.id/api/v4/item/get?itemid=6001803520&amp;shopid=14318452", "Ponds Pure Bright Facial Foam with Activated Charcoal &amp; Japanese Green Tea 50g")</f>
        <v/>
      </c>
      <c r="P924" t="n">
        <v>670</v>
      </c>
      <c r="Q924" t="n">
        <v>169</v>
      </c>
      <c r="R924" t="n">
        <v>4.865483319076134</v>
      </c>
      <c r="S924" t="n">
        <v>18</v>
      </c>
      <c r="T924" t="n">
        <v>10</v>
      </c>
      <c r="U924" t="n">
        <v>86</v>
      </c>
      <c r="V924" t="n">
        <v>355</v>
      </c>
      <c r="W924" t="n">
        <v>4207</v>
      </c>
    </row>
    <row r="925">
      <c r="A925" t="inlineStr">
        <is>
          <t>Buavita Orange 250ml Twin Pack</t>
        </is>
      </c>
      <c r="B925" t="inlineStr">
        <is>
          <t>0</t>
        </is>
      </c>
      <c r="C925" t="inlineStr">
        <is>
          <t>25%</t>
        </is>
      </c>
      <c r="D925" t="n">
        <v>10900</v>
      </c>
      <c r="E925" t="n">
        <v>14500</v>
      </c>
      <c r="F925" t="n">
        <v>10900</v>
      </c>
      <c r="G925" t="n">
        <v>14500</v>
      </c>
      <c r="H925" t="n">
        <v>10900</v>
      </c>
      <c r="I925" t="n">
        <v>14500</v>
      </c>
      <c r="J925" t="b">
        <v>1</v>
      </c>
      <c r="K925" t="inlineStr">
        <is>
          <t>Unilever Indonesia Official Shop</t>
        </is>
      </c>
      <c r="L925" t="inlineStr">
        <is>
          <t>KOTA SEMARANG</t>
        </is>
      </c>
      <c r="M925" t="n">
        <v>3147300740</v>
      </c>
      <c r="N925" t="n">
        <v>14318452</v>
      </c>
      <c r="O925">
        <f>HYPERLINK("https://shopee.co.id/api/v4/item/get?itemid=3147300740&amp;shopid=14318452", "Buavita Orange 250ml Twin Pack")</f>
        <v/>
      </c>
      <c r="P925" t="n">
        <v>92</v>
      </c>
      <c r="Q925" t="n">
        <v>95</v>
      </c>
      <c r="R925" t="n">
        <v>4.910677618069816</v>
      </c>
      <c r="S925" t="n">
        <v>3</v>
      </c>
      <c r="T925" t="n">
        <v>2</v>
      </c>
      <c r="U925" t="n">
        <v>9</v>
      </c>
      <c r="V925" t="n">
        <v>51</v>
      </c>
      <c r="W925" t="n">
        <v>909</v>
      </c>
    </row>
    <row r="926">
      <c r="A926" t="inlineStr">
        <is>
          <t>Lifebuoy Sabun Mandi Cair Yoghurt Care Pump 500ml</t>
        </is>
      </c>
      <c r="B926" t="inlineStr">
        <is>
          <t>None</t>
        </is>
      </c>
      <c r="C926" t="inlineStr">
        <is>
          <t>17%</t>
        </is>
      </c>
      <c r="D926" t="n">
        <v>62600</v>
      </c>
      <c r="E926" t="n">
        <v>75000</v>
      </c>
      <c r="F926" t="n">
        <v>62600</v>
      </c>
      <c r="G926" t="n">
        <v>75000</v>
      </c>
      <c r="H926" t="n">
        <v>62600</v>
      </c>
      <c r="I926" t="n">
        <v>75000</v>
      </c>
      <c r="J926" t="b">
        <v>1</v>
      </c>
      <c r="K926" t="inlineStr">
        <is>
          <t>Unilever Indonesia Official Shop</t>
        </is>
      </c>
      <c r="L926" t="inlineStr">
        <is>
          <t>KOTA BEKASI</t>
        </is>
      </c>
      <c r="M926" t="n">
        <v>6331856275</v>
      </c>
      <c r="N926" t="n">
        <v>14318452</v>
      </c>
      <c r="O926">
        <f>HYPERLINK("https://shopee.co.id/api/v4/item/get?itemid=6331856275&amp;shopid=14318452", "Lifebuoy Sabun Mandi Cair Yoghurt Care Pump 500ml")</f>
        <v/>
      </c>
      <c r="P926" t="n">
        <v>91</v>
      </c>
      <c r="Q926" t="n">
        <v>280</v>
      </c>
      <c r="R926" t="n">
        <v>4.881879580399483</v>
      </c>
      <c r="S926" t="n">
        <v>39</v>
      </c>
      <c r="T926" t="n">
        <v>29</v>
      </c>
      <c r="U926" t="n">
        <v>110</v>
      </c>
      <c r="V926" t="n">
        <v>374</v>
      </c>
      <c r="W926" t="n">
        <v>6412</v>
      </c>
    </row>
    <row r="927">
      <c r="A927" t="inlineStr">
        <is>
          <t>Buavita Orange 250 ml + Buavita Mango 250 ml</t>
        </is>
      </c>
      <c r="B927" t="inlineStr">
        <is>
          <t>0</t>
        </is>
      </c>
      <c r="C927" t="inlineStr">
        <is>
          <t>25%</t>
        </is>
      </c>
      <c r="D927" t="n">
        <v>10900</v>
      </c>
      <c r="E927" t="n">
        <v>14500</v>
      </c>
      <c r="F927" t="n">
        <v>10900</v>
      </c>
      <c r="G927" t="n">
        <v>14500</v>
      </c>
      <c r="H927" t="n">
        <v>10900</v>
      </c>
      <c r="I927" t="n">
        <v>14500</v>
      </c>
      <c r="J927" t="b">
        <v>1</v>
      </c>
      <c r="K927" t="inlineStr">
        <is>
          <t>Unilever Indonesia Official Shop</t>
        </is>
      </c>
      <c r="L927" t="inlineStr">
        <is>
          <t>KOTA SEMARANG</t>
        </is>
      </c>
      <c r="M927" t="n">
        <v>4049873973</v>
      </c>
      <c r="N927" t="n">
        <v>14318452</v>
      </c>
      <c r="O927">
        <f>HYPERLINK("https://shopee.co.id/api/v4/item/get?itemid=4049873973&amp;shopid=14318452", "Buavita Orange 250 ml + Buavita Mango 250 ml")</f>
        <v/>
      </c>
      <c r="P927" t="n">
        <v>72</v>
      </c>
      <c r="Q927" t="n">
        <v>185</v>
      </c>
      <c r="R927" t="n">
        <v>4.901435406698565</v>
      </c>
      <c r="S927" t="n">
        <v>3</v>
      </c>
      <c r="T927" t="n">
        <v>0</v>
      </c>
      <c r="U927" t="n">
        <v>9</v>
      </c>
      <c r="V927" t="n">
        <v>73</v>
      </c>
      <c r="W927" t="n">
        <v>960</v>
      </c>
    </row>
    <row r="928">
      <c r="A928" t="inlineStr">
        <is>
          <t>Zwitsal Baby Powder Classic Soft Floral 300gr Twin Pack</t>
        </is>
      </c>
      <c r="B928" t="inlineStr">
        <is>
          <t>Zwitsal</t>
        </is>
      </c>
      <c r="C928" t="inlineStr">
        <is>
          <t>19%</t>
        </is>
      </c>
      <c r="D928" t="n">
        <v>35200</v>
      </c>
      <c r="E928" t="n">
        <v>43500</v>
      </c>
      <c r="F928" t="n">
        <v>35200</v>
      </c>
      <c r="G928" t="n">
        <v>43500</v>
      </c>
      <c r="H928" t="n">
        <v>35200</v>
      </c>
      <c r="I928" t="n">
        <v>43500</v>
      </c>
      <c r="J928" t="b">
        <v>1</v>
      </c>
      <c r="K928" t="inlineStr">
        <is>
          <t>Unilever Indonesia Official Shop</t>
        </is>
      </c>
      <c r="L928" t="inlineStr">
        <is>
          <t>KOTA BALIKPAPAN</t>
        </is>
      </c>
      <c r="M928" t="n">
        <v>4631761813</v>
      </c>
      <c r="N928" t="n">
        <v>14318452</v>
      </c>
      <c r="O928">
        <f>HYPERLINK("https://shopee.co.id/api/v4/item/get?itemid=4631761813&amp;shopid=14318452", "Zwitsal Baby Powder Classic Soft Floral 300gr Twin Pack")</f>
        <v/>
      </c>
      <c r="P928" t="n">
        <v>65</v>
      </c>
      <c r="Q928" t="n">
        <v>3</v>
      </c>
      <c r="R928" t="n">
        <v>4.927184466019417</v>
      </c>
      <c r="S928" t="n">
        <v>2</v>
      </c>
      <c r="T928" t="n">
        <v>3</v>
      </c>
      <c r="U928" t="n">
        <v>7</v>
      </c>
      <c r="V928" t="n">
        <v>48</v>
      </c>
      <c r="W928" t="n">
        <v>971</v>
      </c>
    </row>
    <row r="929">
      <c r="A929" t="inlineStr">
        <is>
          <t>St Ives Softening Coconut &amp; Orchid Hand Cream 30 ml</t>
        </is>
      </c>
      <c r="B929" t="inlineStr"/>
      <c r="C929" t="inlineStr">
        <is>
          <t>8%</t>
        </is>
      </c>
      <c r="D929" t="n">
        <v>55500</v>
      </c>
      <c r="E929" t="n">
        <v>60000</v>
      </c>
      <c r="F929" t="n">
        <v>55500</v>
      </c>
      <c r="G929" t="n">
        <v>60000</v>
      </c>
      <c r="H929" t="n">
        <v>55500</v>
      </c>
      <c r="I929" t="n">
        <v>60000</v>
      </c>
      <c r="J929" t="b">
        <v>1</v>
      </c>
      <c r="K929" t="inlineStr">
        <is>
          <t>Unilever Indonesia Official Shop</t>
        </is>
      </c>
      <c r="L929" t="inlineStr">
        <is>
          <t>KOTA BEKASI</t>
        </is>
      </c>
      <c r="M929" t="n">
        <v>6250171266</v>
      </c>
      <c r="N929" t="n">
        <v>14318452</v>
      </c>
      <c r="O929">
        <f>HYPERLINK("https://shopee.co.id/api/v4/item/get?itemid=6250171266&amp;shopid=14318452", "St Ives Softening Coconut &amp; Orchid Hand Cream 30 ml")</f>
        <v/>
      </c>
      <c r="P929" t="n">
        <v>28</v>
      </c>
      <c r="Q929" t="n">
        <v>62</v>
      </c>
      <c r="R929" t="n">
        <v>4.917892156862745</v>
      </c>
      <c r="S929" t="n">
        <v>3</v>
      </c>
      <c r="T929" t="n">
        <v>0</v>
      </c>
      <c r="U929" t="n">
        <v>10</v>
      </c>
      <c r="V929" t="n">
        <v>35</v>
      </c>
      <c r="W929" t="n">
        <v>768</v>
      </c>
    </row>
    <row r="930">
      <c r="A930" t="inlineStr">
        <is>
          <t>Clear Shampoo Anti Ketombe Super Fresh Apple 70 Ml</t>
        </is>
      </c>
      <c r="B930" t="inlineStr"/>
      <c r="C930" t="inlineStr">
        <is>
          <t>15%</t>
        </is>
      </c>
      <c r="D930" t="n">
        <v>14400</v>
      </c>
      <c r="E930" t="n">
        <v>16900</v>
      </c>
      <c r="F930" t="n">
        <v>14400</v>
      </c>
      <c r="G930" t="n">
        <v>16900</v>
      </c>
      <c r="H930" t="n">
        <v>14400</v>
      </c>
      <c r="I930" t="n">
        <v>16900</v>
      </c>
      <c r="J930" t="b">
        <v>1</v>
      </c>
      <c r="K930" t="inlineStr">
        <is>
          <t>Unilever Indonesia Official Shop</t>
        </is>
      </c>
      <c r="L930" t="inlineStr">
        <is>
          <t>KAB. DELI SERDANG</t>
        </is>
      </c>
      <c r="M930" t="n">
        <v>8414335037</v>
      </c>
      <c r="N930" t="n">
        <v>14318452</v>
      </c>
      <c r="O930">
        <f>HYPERLINK("https://shopee.co.id/api/v4/item/get?itemid=8414335037&amp;shopid=14318452", "Clear Shampoo Anti Ketombe Super Fresh Apple 70 Ml")</f>
        <v/>
      </c>
      <c r="P930" t="n">
        <v>229</v>
      </c>
      <c r="Q930" t="n">
        <v>267</v>
      </c>
      <c r="R930" t="n">
        <v>4.882535460992908</v>
      </c>
      <c r="S930" t="n">
        <v>8</v>
      </c>
      <c r="T930" t="n">
        <v>5</v>
      </c>
      <c r="U930" t="n">
        <v>26</v>
      </c>
      <c r="V930" t="n">
        <v>166</v>
      </c>
      <c r="W930" t="n">
        <v>2051</v>
      </c>
    </row>
    <row r="931">
      <c r="A931" t="inlineStr">
        <is>
          <t>Vaseline Daily Sun Cream 50ml</t>
        </is>
      </c>
      <c r="B931" t="inlineStr"/>
      <c r="C931" t="inlineStr">
        <is>
          <t>21%</t>
        </is>
      </c>
      <c r="D931" t="n">
        <v>101900</v>
      </c>
      <c r="E931" t="n">
        <v>129000</v>
      </c>
      <c r="F931" t="n">
        <v>101900</v>
      </c>
      <c r="G931" t="n">
        <v>129000</v>
      </c>
      <c r="H931" t="n">
        <v>101900</v>
      </c>
      <c r="I931" t="n">
        <v>129000</v>
      </c>
      <c r="J931" t="b">
        <v>1</v>
      </c>
      <c r="K931" t="inlineStr">
        <is>
          <t>Unilever Indonesia Official Shop</t>
        </is>
      </c>
      <c r="L931" t="inlineStr">
        <is>
          <t>KOTA BEKASI</t>
        </is>
      </c>
      <c r="M931" t="n">
        <v>5471799514</v>
      </c>
      <c r="N931" t="n">
        <v>14318452</v>
      </c>
      <c r="O931">
        <f>HYPERLINK("https://shopee.co.id/api/v4/item/get?itemid=5471799514&amp;shopid=14318452", "Vaseline Daily Sun Cream 50ml")</f>
        <v/>
      </c>
      <c r="P931" t="n">
        <v>151</v>
      </c>
      <c r="Q931" t="n">
        <v>178</v>
      </c>
      <c r="R931" t="n">
        <v>4.908150064683053</v>
      </c>
      <c r="S931" t="n">
        <v>6</v>
      </c>
      <c r="T931" t="n">
        <v>1</v>
      </c>
      <c r="U931" t="n">
        <v>15</v>
      </c>
      <c r="V931" t="n">
        <v>85</v>
      </c>
      <c r="W931" t="n">
        <v>1439</v>
      </c>
    </row>
    <row r="932">
      <c r="A932" t="inlineStr">
        <is>
          <t>Pond's Instabright Tone Up Facial Foam 100 gr</t>
        </is>
      </c>
      <c r="B932" t="inlineStr">
        <is>
          <t>Pond's</t>
        </is>
      </c>
      <c r="C932" t="inlineStr">
        <is>
          <t>15%</t>
        </is>
      </c>
      <c r="D932" t="n">
        <v>34200</v>
      </c>
      <c r="E932" t="n">
        <v>40400</v>
      </c>
      <c r="F932" t="n">
        <v>34200</v>
      </c>
      <c r="G932" t="n">
        <v>40400</v>
      </c>
      <c r="H932" t="n">
        <v>34200</v>
      </c>
      <c r="I932" t="n">
        <v>40400</v>
      </c>
      <c r="J932" t="b">
        <v>1</v>
      </c>
      <c r="K932" t="inlineStr">
        <is>
          <t>Unilever Indonesia Official Shop</t>
        </is>
      </c>
      <c r="L932" t="inlineStr">
        <is>
          <t>KOTA BEKASI</t>
        </is>
      </c>
      <c r="M932" t="n">
        <v>7852498968</v>
      </c>
      <c r="N932" t="n">
        <v>14318452</v>
      </c>
      <c r="O932">
        <f>HYPERLINK("https://shopee.co.id/api/v4/item/get?itemid=7852498968&amp;shopid=14318452", "Pond's Instabright Tone Up Facial Foam 100 gr")</f>
        <v/>
      </c>
      <c r="P932" t="n">
        <v>57</v>
      </c>
      <c r="Q932" t="n">
        <v>219</v>
      </c>
      <c r="R932" t="n">
        <v>4.906570223025919</v>
      </c>
      <c r="S932" t="n">
        <v>12</v>
      </c>
      <c r="T932" t="n">
        <v>2</v>
      </c>
      <c r="U932" t="n">
        <v>12</v>
      </c>
      <c r="V932" t="n">
        <v>80</v>
      </c>
      <c r="W932" t="n">
        <v>1554</v>
      </c>
    </row>
    <row r="933">
      <c r="A933" t="inlineStr">
        <is>
          <t>St Ives Revitalizing Acai, Blueberry &amp; Chia Seed Oil Hand Cream 30 ml</t>
        </is>
      </c>
      <c r="B933" t="inlineStr"/>
      <c r="C933" t="inlineStr">
        <is>
          <t>1%</t>
        </is>
      </c>
      <c r="D933" t="n">
        <v>59400</v>
      </c>
      <c r="E933" t="n">
        <v>60000</v>
      </c>
      <c r="F933" t="n">
        <v>59400</v>
      </c>
      <c r="G933" t="n">
        <v>60000</v>
      </c>
      <c r="H933" t="n">
        <v>59400</v>
      </c>
      <c r="I933" t="n">
        <v>60000</v>
      </c>
      <c r="J933" t="b">
        <v>1</v>
      </c>
      <c r="K933" t="inlineStr">
        <is>
          <t>Unilever Indonesia Official Shop</t>
        </is>
      </c>
      <c r="L933" t="inlineStr">
        <is>
          <t>KOTA SURABAYA</t>
        </is>
      </c>
      <c r="M933" t="n">
        <v>5950171298</v>
      </c>
      <c r="N933" t="n">
        <v>14318452</v>
      </c>
      <c r="O933">
        <f>HYPERLINK("https://shopee.co.id/api/v4/item/get?itemid=5950171298&amp;shopid=14318452", "St Ives Revitalizing Acai, Blueberry &amp; Chia Seed Oil Hand Cream 30 ml")</f>
        <v/>
      </c>
      <c r="P933" t="n">
        <v>15</v>
      </c>
      <c r="Q933" t="n">
        <v>32</v>
      </c>
      <c r="R933" t="n">
        <v>4.910353535353535</v>
      </c>
      <c r="S933" t="n">
        <v>3</v>
      </c>
      <c r="T933" t="n">
        <v>1</v>
      </c>
      <c r="U933" t="n">
        <v>9</v>
      </c>
      <c r="V933" t="n">
        <v>38</v>
      </c>
      <c r="W933" t="n">
        <v>741</v>
      </c>
    </row>
    <row r="934">
      <c r="A934" t="inlineStr">
        <is>
          <t>Sunsilk Hijab Shampoo Anti Ketombe &amp; Tidak Lepek 300ML dengan Pomegranate, Ginger, &amp; Mint</t>
        </is>
      </c>
      <c r="B934" t="inlineStr">
        <is>
          <t>0</t>
        </is>
      </c>
      <c r="C934" t="inlineStr">
        <is>
          <t>13%</t>
        </is>
      </c>
      <c r="D934" t="n">
        <v>45200</v>
      </c>
      <c r="E934" t="n">
        <v>51900</v>
      </c>
      <c r="F934" t="n">
        <v>45200</v>
      </c>
      <c r="G934" t="n">
        <v>51900</v>
      </c>
      <c r="H934" t="n">
        <v>45200</v>
      </c>
      <c r="I934" t="n">
        <v>51900</v>
      </c>
      <c r="J934" t="b">
        <v>1</v>
      </c>
      <c r="K934" t="inlineStr">
        <is>
          <t>Unilever Indonesia Official Shop</t>
        </is>
      </c>
      <c r="L934" t="inlineStr">
        <is>
          <t>KOTA BEKASI</t>
        </is>
      </c>
      <c r="M934" t="n">
        <v>1862500436</v>
      </c>
      <c r="N934" t="n">
        <v>14318452</v>
      </c>
      <c r="O934">
        <f>HYPERLINK("https://shopee.co.id/api/v4/item/get?itemid=1862500436&amp;shopid=14318452", "Sunsilk Hijab Shampoo Anti Ketombe &amp; Tidak Lepek 300ML dengan Pomegranate, Ginger, &amp; Mint")</f>
        <v/>
      </c>
      <c r="P934" t="n">
        <v>56</v>
      </c>
      <c r="Q934" t="n">
        <v>159</v>
      </c>
      <c r="R934" t="n">
        <v>4.896894409937889</v>
      </c>
      <c r="S934" t="n">
        <v>13</v>
      </c>
      <c r="T934" t="n">
        <v>8</v>
      </c>
      <c r="U934" t="n">
        <v>29</v>
      </c>
      <c r="V934" t="n">
        <v>122</v>
      </c>
      <c r="W934" t="n">
        <v>2245</v>
      </c>
    </row>
    <row r="935">
      <c r="A935" t="inlineStr">
        <is>
          <t>Rinso Deterjen Cair Anti Noda 750ml Twin Pack</t>
        </is>
      </c>
      <c r="B935" t="inlineStr">
        <is>
          <t>0</t>
        </is>
      </c>
      <c r="C935" t="inlineStr">
        <is>
          <t>22%</t>
        </is>
      </c>
      <c r="D935" t="n">
        <v>49900</v>
      </c>
      <c r="E935" t="n">
        <v>63600</v>
      </c>
      <c r="F935" t="n">
        <v>49900</v>
      </c>
      <c r="G935" t="n">
        <v>63600</v>
      </c>
      <c r="H935" t="n">
        <v>49900</v>
      </c>
      <c r="I935" t="n">
        <v>63600</v>
      </c>
      <c r="J935" t="b">
        <v>1</v>
      </c>
      <c r="K935" t="inlineStr">
        <is>
          <t>Unilever Indonesia Official Shop</t>
        </is>
      </c>
      <c r="L935" t="inlineStr">
        <is>
          <t>KOTA BEKASI</t>
        </is>
      </c>
      <c r="M935" t="n">
        <v>6331752297</v>
      </c>
      <c r="N935" t="n">
        <v>14318452</v>
      </c>
      <c r="O935">
        <f>HYPERLINK("https://shopee.co.id/api/v4/item/get?itemid=6331752297&amp;shopid=14318452", "Rinso Deterjen Cair Anti Noda 750ml Twin Pack")</f>
        <v/>
      </c>
      <c r="P935" t="n">
        <v>19</v>
      </c>
      <c r="Q935" t="n">
        <v>210</v>
      </c>
      <c r="R935" t="n">
        <v>4.924107142857143</v>
      </c>
      <c r="S935" t="n">
        <v>3</v>
      </c>
      <c r="T935" t="n">
        <v>2</v>
      </c>
      <c r="U935" t="n">
        <v>3</v>
      </c>
      <c r="V935" t="n">
        <v>27</v>
      </c>
      <c r="W935" t="n">
        <v>637</v>
      </c>
    </row>
    <row r="936">
      <c r="A936" t="inlineStr">
        <is>
          <t>Ponds Facial Foam Acne Solution 50gr Anti Bakteri with Niacinamide &amp; Salicylic Acid</t>
        </is>
      </c>
      <c r="B936" t="inlineStr">
        <is>
          <t>Pond's</t>
        </is>
      </c>
      <c r="C936" t="inlineStr">
        <is>
          <t>9%</t>
        </is>
      </c>
      <c r="D936" t="n">
        <v>24100</v>
      </c>
      <c r="E936" t="n">
        <v>26400</v>
      </c>
      <c r="F936" t="n">
        <v>24100</v>
      </c>
      <c r="G936" t="n">
        <v>26400</v>
      </c>
      <c r="H936" t="n">
        <v>24100</v>
      </c>
      <c r="I936" t="n">
        <v>26400</v>
      </c>
      <c r="J936" t="b">
        <v>1</v>
      </c>
      <c r="K936" t="inlineStr">
        <is>
          <t>Unilever Indonesia Official Shop</t>
        </is>
      </c>
      <c r="L936" t="inlineStr">
        <is>
          <t>KOTA BEKASI</t>
        </is>
      </c>
      <c r="M936" t="n">
        <v>986559102</v>
      </c>
      <c r="N936" t="n">
        <v>14318452</v>
      </c>
      <c r="O936">
        <f>HYPERLINK("https://shopee.co.id/api/v4/item/get?itemid=986559102&amp;shopid=14318452", "Ponds Facial Foam Acne Solution 50gr Anti Bakteri with Niacinamide &amp; Salicylic Acid")</f>
        <v/>
      </c>
      <c r="P936" t="n">
        <v>242</v>
      </c>
      <c r="Q936" t="n">
        <v>335</v>
      </c>
      <c r="R936" t="n">
        <v>4.87190275829827</v>
      </c>
      <c r="S936" t="n">
        <v>21</v>
      </c>
      <c r="T936" t="n">
        <v>23</v>
      </c>
      <c r="U936" t="n">
        <v>100</v>
      </c>
      <c r="V936" t="n">
        <v>470</v>
      </c>
      <c r="W936" t="n">
        <v>5818</v>
      </c>
    </row>
    <row r="937">
      <c r="A937" t="inlineStr">
        <is>
          <t>Tresemme Shampoo Scalp Care 170ml Twin Pack</t>
        </is>
      </c>
      <c r="B937" t="inlineStr">
        <is>
          <t>Tresemme</t>
        </is>
      </c>
      <c r="C937" t="inlineStr">
        <is>
          <t>13%</t>
        </is>
      </c>
      <c r="D937" t="n">
        <v>64600</v>
      </c>
      <c r="E937" t="n">
        <v>74200</v>
      </c>
      <c r="F937" t="n">
        <v>64600</v>
      </c>
      <c r="G937" t="n">
        <v>74200</v>
      </c>
      <c r="H937" t="n">
        <v>64600</v>
      </c>
      <c r="I937" t="n">
        <v>74200</v>
      </c>
      <c r="J937" t="b">
        <v>1</v>
      </c>
      <c r="K937" t="inlineStr">
        <is>
          <t>Unilever Indonesia Official Shop</t>
        </is>
      </c>
      <c r="L937" t="inlineStr">
        <is>
          <t>KOTA BEKASI</t>
        </is>
      </c>
      <c r="M937" t="n">
        <v>5331737125</v>
      </c>
      <c r="N937" t="n">
        <v>14318452</v>
      </c>
      <c r="O937">
        <f>HYPERLINK("https://shopee.co.id/api/v4/item/get?itemid=5331737125&amp;shopid=14318452", "Tresemme Shampoo Scalp Care 170ml Twin Pack")</f>
        <v/>
      </c>
      <c r="P937" t="n">
        <v>68</v>
      </c>
      <c r="Q937" t="n">
        <v>568</v>
      </c>
      <c r="R937" t="n">
        <v>4.843768996960486</v>
      </c>
      <c r="S937" t="n">
        <v>14</v>
      </c>
      <c r="T937" t="n">
        <v>9</v>
      </c>
      <c r="U937" t="n">
        <v>31</v>
      </c>
      <c r="V937" t="n">
        <v>116</v>
      </c>
      <c r="W937" t="n">
        <v>1476</v>
      </c>
    </row>
    <row r="938">
      <c r="A938" t="inlineStr">
        <is>
          <t>Ponds Oil Control Facial Foam 50G</t>
        </is>
      </c>
      <c r="B938" t="inlineStr">
        <is>
          <t>Pond's</t>
        </is>
      </c>
      <c r="C938" t="inlineStr">
        <is>
          <t>5%</t>
        </is>
      </c>
      <c r="D938" t="n">
        <v>25000</v>
      </c>
      <c r="E938" t="n">
        <v>26400</v>
      </c>
      <c r="F938" t="n">
        <v>25000</v>
      </c>
      <c r="G938" t="n">
        <v>26400</v>
      </c>
      <c r="H938" t="n">
        <v>25000</v>
      </c>
      <c r="I938" t="n">
        <v>26400</v>
      </c>
      <c r="J938" t="b">
        <v>1</v>
      </c>
      <c r="K938" t="inlineStr">
        <is>
          <t>Unilever Indonesia Official Shop</t>
        </is>
      </c>
      <c r="L938" t="inlineStr">
        <is>
          <t>KOTA BEKASI</t>
        </is>
      </c>
      <c r="M938" t="n">
        <v>1040515599</v>
      </c>
      <c r="N938" t="n">
        <v>14318452</v>
      </c>
      <c r="O938">
        <f>HYPERLINK("https://shopee.co.id/api/v4/item/get?itemid=1040515599&amp;shopid=14318452", "Ponds Oil Control Facial Foam 50G")</f>
        <v/>
      </c>
      <c r="P938" t="n">
        <v>29</v>
      </c>
      <c r="Q938" t="n">
        <v>243</v>
      </c>
      <c r="R938" t="n">
        <v>4.899686520376176</v>
      </c>
      <c r="S938" t="n">
        <v>9</v>
      </c>
      <c r="T938" t="n">
        <v>4</v>
      </c>
      <c r="U938" t="n">
        <v>19</v>
      </c>
      <c r="V938" t="n">
        <v>106</v>
      </c>
      <c r="W938" t="n">
        <v>1776</v>
      </c>
    </row>
    <row r="939">
      <c r="A939" t="inlineStr">
        <is>
          <t>Rexona Women Deodorant Roll On Antiperspirant Free Spirit 72 Jam Kesegaran 45Ml</t>
        </is>
      </c>
      <c r="B939" t="inlineStr"/>
      <c r="C939" t="inlineStr">
        <is>
          <t>1%</t>
        </is>
      </c>
      <c r="D939" t="n">
        <v>19500</v>
      </c>
      <c r="E939" t="n">
        <v>19600</v>
      </c>
      <c r="F939" t="n">
        <v>19500</v>
      </c>
      <c r="G939" t="n">
        <v>19600</v>
      </c>
      <c r="H939" t="n">
        <v>19500</v>
      </c>
      <c r="I939" t="n">
        <v>19600</v>
      </c>
      <c r="J939" t="b">
        <v>1</v>
      </c>
      <c r="K939" t="inlineStr">
        <is>
          <t>Unilever Indonesia Official Shop</t>
        </is>
      </c>
      <c r="L939" t="inlineStr">
        <is>
          <t>KOTA BEKASI</t>
        </is>
      </c>
      <c r="M939" t="n">
        <v>7431996171</v>
      </c>
      <c r="N939" t="n">
        <v>14318452</v>
      </c>
      <c r="O939">
        <f>HYPERLINK("https://shopee.co.id/api/v4/item/get?itemid=7431996171&amp;shopid=14318452", "Rexona Women Deodorant Roll On Antiperspirant Free Spirit 72 Jam Kesegaran 45Ml")</f>
        <v/>
      </c>
      <c r="P939" t="n">
        <v>713</v>
      </c>
      <c r="Q939" t="n">
        <v>2412</v>
      </c>
      <c r="R939" t="n">
        <v>4.917147806004619</v>
      </c>
      <c r="S939" t="n">
        <v>11</v>
      </c>
      <c r="T939" t="n">
        <v>11</v>
      </c>
      <c r="U939" t="n">
        <v>24</v>
      </c>
      <c r="V939" t="n">
        <v>162</v>
      </c>
      <c r="W939" t="n">
        <v>3256</v>
      </c>
    </row>
    <row r="940">
      <c r="A940" t="inlineStr">
        <is>
          <t>Lux Soft Rose Sabun Cair Refill 250ml</t>
        </is>
      </c>
      <c r="B940" t="inlineStr">
        <is>
          <t>0</t>
        </is>
      </c>
      <c r="C940" t="inlineStr">
        <is>
          <t>36%</t>
        </is>
      </c>
      <c r="D940" t="n">
        <v>16800</v>
      </c>
      <c r="E940" t="n">
        <v>26300</v>
      </c>
      <c r="F940" t="n">
        <v>16800</v>
      </c>
      <c r="G940" t="n">
        <v>26300</v>
      </c>
      <c r="H940" t="n">
        <v>16800</v>
      </c>
      <c r="I940" t="n">
        <v>26300</v>
      </c>
      <c r="J940" t="b">
        <v>1</v>
      </c>
      <c r="K940" t="inlineStr">
        <is>
          <t>Unilever Indonesia Official Shop</t>
        </is>
      </c>
      <c r="L940" t="inlineStr">
        <is>
          <t>KOTA BEKASI</t>
        </is>
      </c>
      <c r="M940" t="n">
        <v>224777329</v>
      </c>
      <c r="N940" t="n">
        <v>14318452</v>
      </c>
      <c r="O940">
        <f>HYPERLINK("https://shopee.co.id/api/v4/item/get?itemid=224777329&amp;shopid=14318452", "Lux Soft Rose Sabun Cair Refill 250ml")</f>
        <v/>
      </c>
      <c r="P940" t="n">
        <v>96</v>
      </c>
      <c r="Q940" t="n">
        <v>248</v>
      </c>
      <c r="R940" t="n">
        <v>4.892561983471074</v>
      </c>
      <c r="S940" t="n">
        <v>5</v>
      </c>
      <c r="T940" t="n">
        <v>2</v>
      </c>
      <c r="U940" t="n">
        <v>14</v>
      </c>
      <c r="V940" t="n">
        <v>89</v>
      </c>
      <c r="W940" t="n">
        <v>1221</v>
      </c>
    </row>
    <row r="941">
      <c r="A941" t="inlineStr">
        <is>
          <t>Multipack Sunsilk Shampoo Black Shine Activ-Infusion 650Ml</t>
        </is>
      </c>
      <c r="B941" t="inlineStr">
        <is>
          <t>Sunsilk</t>
        </is>
      </c>
      <c r="C941" t="inlineStr">
        <is>
          <t>21%</t>
        </is>
      </c>
      <c r="D941" t="n">
        <v>200300</v>
      </c>
      <c r="E941" t="n">
        <v>252900</v>
      </c>
      <c r="F941" t="n">
        <v>200300</v>
      </c>
      <c r="G941" t="n">
        <v>252900</v>
      </c>
      <c r="H941" t="n">
        <v>200300</v>
      </c>
      <c r="I941" t="n">
        <v>252900</v>
      </c>
      <c r="J941" t="b">
        <v>1</v>
      </c>
      <c r="K941" t="inlineStr">
        <is>
          <t>Unilever Indonesia Official Shop</t>
        </is>
      </c>
      <c r="L941" t="inlineStr">
        <is>
          <t>KOTA BEKASI</t>
        </is>
      </c>
      <c r="M941" t="n">
        <v>6831722132</v>
      </c>
      <c r="N941" t="n">
        <v>14318452</v>
      </c>
      <c r="O941">
        <f>HYPERLINK("https://shopee.co.id/api/v4/item/get?itemid=6831722132&amp;shopid=14318452", "Multipack Sunsilk Shampoo Black Shine Activ-Infusion 650Ml")</f>
        <v/>
      </c>
      <c r="P941" t="n">
        <v>38</v>
      </c>
      <c r="Q941" t="n">
        <v>91</v>
      </c>
      <c r="R941" t="n">
        <v>4.897652582159624</v>
      </c>
      <c r="S941" t="n">
        <v>6</v>
      </c>
      <c r="T941" t="n">
        <v>7</v>
      </c>
      <c r="U941" t="n">
        <v>9</v>
      </c>
      <c r="V941" t="n">
        <v>49</v>
      </c>
      <c r="W941" t="n">
        <v>995</v>
      </c>
    </row>
    <row r="942">
      <c r="A942" t="inlineStr">
        <is>
          <t>Lifebuoy Hand Sanitizer Spray Tangan Dan Serbaguna 100 ml - 2 Pcs</t>
        </is>
      </c>
      <c r="B942" t="inlineStr">
        <is>
          <t>Lifebuoy</t>
        </is>
      </c>
      <c r="C942" t="inlineStr">
        <is>
          <t>1%</t>
        </is>
      </c>
      <c r="D942" t="n">
        <v>54500</v>
      </c>
      <c r="E942" t="n">
        <v>55000</v>
      </c>
      <c r="F942" t="n">
        <v>54500</v>
      </c>
      <c r="G942" t="n">
        <v>55000</v>
      </c>
      <c r="H942" t="n">
        <v>54500</v>
      </c>
      <c r="I942" t="n">
        <v>55000</v>
      </c>
      <c r="J942" t="b">
        <v>1</v>
      </c>
      <c r="K942" t="inlineStr">
        <is>
          <t>Unilever Indonesia Official Shop</t>
        </is>
      </c>
      <c r="L942" t="inlineStr">
        <is>
          <t>KOTA SEMARANG</t>
        </is>
      </c>
      <c r="M942" t="n">
        <v>8730741049</v>
      </c>
      <c r="N942" t="n">
        <v>14318452</v>
      </c>
      <c r="O942">
        <f>HYPERLINK("https://shopee.co.id/api/v4/item/get?itemid=8730741049&amp;shopid=14318452", "Lifebuoy Hand Sanitizer Spray Tangan Dan Serbaguna 100 ml - 2 Pcs")</f>
        <v/>
      </c>
      <c r="P942" t="n">
        <v>14</v>
      </c>
      <c r="Q942" t="n">
        <v>140</v>
      </c>
      <c r="R942" t="n">
        <v>4.947257383966245</v>
      </c>
      <c r="S942" t="n">
        <v>1</v>
      </c>
      <c r="T942" t="n">
        <v>0</v>
      </c>
      <c r="U942" t="n">
        <v>2</v>
      </c>
      <c r="V942" t="n">
        <v>17</v>
      </c>
      <c r="W942" t="n">
        <v>454</v>
      </c>
    </row>
    <row r="943">
      <c r="A943" t="inlineStr">
        <is>
          <t>Clear Shampo Complete Soft Care 160ML - TwinPack</t>
        </is>
      </c>
      <c r="B943" t="inlineStr">
        <is>
          <t>0</t>
        </is>
      </c>
      <c r="C943" t="inlineStr">
        <is>
          <t>15%</t>
        </is>
      </c>
      <c r="D943" t="n">
        <v>60300</v>
      </c>
      <c r="E943" t="n">
        <v>70600</v>
      </c>
      <c r="F943" t="n">
        <v>60300</v>
      </c>
      <c r="G943" t="n">
        <v>70600</v>
      </c>
      <c r="H943" t="n">
        <v>60300</v>
      </c>
      <c r="I943" t="n">
        <v>70600</v>
      </c>
      <c r="J943" t="b">
        <v>1</v>
      </c>
      <c r="K943" t="inlineStr">
        <is>
          <t>Unilever Indonesia Official Shop</t>
        </is>
      </c>
      <c r="L943" t="inlineStr">
        <is>
          <t>KOTA SEMARANG</t>
        </is>
      </c>
      <c r="M943" t="n">
        <v>6830962815</v>
      </c>
      <c r="N943" t="n">
        <v>14318452</v>
      </c>
      <c r="O943">
        <f>HYPERLINK("https://shopee.co.id/api/v4/item/get?itemid=6830962815&amp;shopid=14318452", "Clear Shampo Complete Soft Care 160ML - TwinPack")</f>
        <v/>
      </c>
      <c r="P943" t="n">
        <v>9</v>
      </c>
      <c r="Q943" t="n">
        <v>156</v>
      </c>
      <c r="R943" t="n">
        <v>4.93485342019544</v>
      </c>
      <c r="S943" t="n">
        <v>3</v>
      </c>
      <c r="T943" t="n">
        <v>0</v>
      </c>
      <c r="U943" t="n">
        <v>3</v>
      </c>
      <c r="V943" t="n">
        <v>22</v>
      </c>
      <c r="W943" t="n">
        <v>586</v>
      </c>
    </row>
    <row r="944">
      <c r="A944" t="inlineStr">
        <is>
          <t>Molto Pewangi Blue 780 ml - Twin Pack</t>
        </is>
      </c>
      <c r="B944" t="inlineStr">
        <is>
          <t>Molto</t>
        </is>
      </c>
      <c r="C944" t="inlineStr">
        <is>
          <t>10%</t>
        </is>
      </c>
      <c r="D944" t="n">
        <v>29900</v>
      </c>
      <c r="E944" t="n">
        <v>33300</v>
      </c>
      <c r="F944" t="n">
        <v>29900</v>
      </c>
      <c r="G944" t="n">
        <v>33300</v>
      </c>
      <c r="H944" t="n">
        <v>29900</v>
      </c>
      <c r="I944" t="n">
        <v>33300</v>
      </c>
      <c r="J944" t="b">
        <v>1</v>
      </c>
      <c r="K944" t="inlineStr">
        <is>
          <t>Unilever Indonesia Official Shop</t>
        </is>
      </c>
      <c r="L944" t="inlineStr">
        <is>
          <t>KOTA BEKASI</t>
        </is>
      </c>
      <c r="M944" t="n">
        <v>5331403253</v>
      </c>
      <c r="N944" t="n">
        <v>14318452</v>
      </c>
      <c r="O944">
        <f>HYPERLINK("https://shopee.co.id/api/v4/item/get?itemid=5331403253&amp;shopid=14318452", "Molto Pewangi Blue 780 ml - Twin Pack")</f>
        <v/>
      </c>
      <c r="P944" t="n">
        <v>127</v>
      </c>
      <c r="Q944" t="n">
        <v>326</v>
      </c>
      <c r="R944" t="n">
        <v>4.881895881895882</v>
      </c>
      <c r="S944" t="n">
        <v>20</v>
      </c>
      <c r="T944" t="n">
        <v>14</v>
      </c>
      <c r="U944" t="n">
        <v>42</v>
      </c>
      <c r="V944" t="n">
        <v>105</v>
      </c>
      <c r="W944" t="n">
        <v>2396</v>
      </c>
    </row>
    <row r="945">
      <c r="A945" t="inlineStr">
        <is>
          <t xml:space="preserve">Citra Cocoa Gentle Face Scrub 90gr
</t>
        </is>
      </c>
      <c r="B945" t="inlineStr"/>
      <c r="C945" t="inlineStr">
        <is>
          <t>3%</t>
        </is>
      </c>
      <c r="D945" t="n">
        <v>35800</v>
      </c>
      <c r="E945" t="n">
        <v>36800</v>
      </c>
      <c r="F945" t="n">
        <v>35800</v>
      </c>
      <c r="G945" t="n">
        <v>36800</v>
      </c>
      <c r="H945" t="n">
        <v>35800</v>
      </c>
      <c r="I945" t="n">
        <v>36800</v>
      </c>
      <c r="J945" t="b">
        <v>1</v>
      </c>
      <c r="K945" t="inlineStr">
        <is>
          <t>Unilever Indonesia Official Shop</t>
        </is>
      </c>
      <c r="L945" t="inlineStr">
        <is>
          <t>KOTA BEKASI</t>
        </is>
      </c>
      <c r="M945" t="n">
        <v>7678247187</v>
      </c>
      <c r="N945" t="n">
        <v>14318452</v>
      </c>
      <c r="O945">
        <f>HYPERLINK("https://shopee.co.id/api/v4/item/get?itemid=7678247187&amp;shopid=14318452", "Citra Cocoa Gentle Face Scrub 90gr
")</f>
        <v/>
      </c>
      <c r="P945" t="n">
        <v>52</v>
      </c>
      <c r="Q945" t="n">
        <v>221</v>
      </c>
      <c r="R945" t="n">
        <v>4.900549115314216</v>
      </c>
      <c r="S945" t="n">
        <v>8</v>
      </c>
      <c r="T945" t="n">
        <v>2</v>
      </c>
      <c r="U945" t="n">
        <v>11</v>
      </c>
      <c r="V945" t="n">
        <v>107</v>
      </c>
      <c r="W945" t="n">
        <v>1512</v>
      </c>
    </row>
    <row r="946">
      <c r="A946" t="inlineStr">
        <is>
          <t>Vaseline UV Protect Sun Stick 15 g</t>
        </is>
      </c>
      <c r="B946" t="inlineStr">
        <is>
          <t>None</t>
        </is>
      </c>
      <c r="C946" t="inlineStr">
        <is>
          <t>8%</t>
        </is>
      </c>
      <c r="D946" t="n">
        <v>137700</v>
      </c>
      <c r="E946" t="n">
        <v>149000</v>
      </c>
      <c r="F946" t="n">
        <v>137700</v>
      </c>
      <c r="G946" t="n">
        <v>149000</v>
      </c>
      <c r="H946" t="n">
        <v>137700</v>
      </c>
      <c r="I946" t="n">
        <v>149000</v>
      </c>
      <c r="J946" t="b">
        <v>1</v>
      </c>
      <c r="K946" t="inlineStr">
        <is>
          <t>Unilever Indonesia Official Shop</t>
        </is>
      </c>
      <c r="L946" t="inlineStr">
        <is>
          <t>KOTA BEKASI</t>
        </is>
      </c>
      <c r="M946" t="n">
        <v>5771797963</v>
      </c>
      <c r="N946" t="n">
        <v>14318452</v>
      </c>
      <c r="O946">
        <f>HYPERLINK("https://shopee.co.id/api/v4/item/get?itemid=5771797963&amp;shopid=14318452", "Vaseline UV Protect Sun Stick 15 g")</f>
        <v/>
      </c>
      <c r="P946" t="n">
        <v>48</v>
      </c>
      <c r="Q946" t="n">
        <v>94</v>
      </c>
      <c r="R946" t="n">
        <v>4.927669345579793</v>
      </c>
      <c r="S946" t="n">
        <v>1</v>
      </c>
      <c r="T946" t="n">
        <v>3</v>
      </c>
      <c r="U946" t="n">
        <v>7</v>
      </c>
      <c r="V946" t="n">
        <v>36</v>
      </c>
      <c r="W946" t="n">
        <v>824</v>
      </c>
    </row>
    <row r="947">
      <c r="A947" t="inlineStr">
        <is>
          <t>Wipol Sabun Karbol Pembersih Lantai Karbol Cemara Perlindungan Dari Kuman 750 ml Twin Pack</t>
        </is>
      </c>
      <c r="B947" t="inlineStr">
        <is>
          <t>Wipol</t>
        </is>
      </c>
      <c r="C947" t="inlineStr">
        <is>
          <t>18%</t>
        </is>
      </c>
      <c r="D947" t="n">
        <v>54000</v>
      </c>
      <c r="E947" t="n">
        <v>65800</v>
      </c>
      <c r="F947" t="n">
        <v>54000</v>
      </c>
      <c r="G947" t="n">
        <v>65800</v>
      </c>
      <c r="H947" t="n">
        <v>54000</v>
      </c>
      <c r="I947" t="n">
        <v>65800</v>
      </c>
      <c r="J947" t="b">
        <v>1</v>
      </c>
      <c r="K947" t="inlineStr">
        <is>
          <t>Unilever Indonesia Official Shop</t>
        </is>
      </c>
      <c r="L947" t="inlineStr">
        <is>
          <t>KOTA BEKASI</t>
        </is>
      </c>
      <c r="M947" t="n">
        <v>7337716556</v>
      </c>
      <c r="N947" t="n">
        <v>14318452</v>
      </c>
      <c r="O947">
        <f>HYPERLINK("https://shopee.co.id/api/v4/item/get?itemid=7337716556&amp;shopid=14318452", "Wipol Sabun Karbol Pembersih Lantai Karbol Cemara Perlindungan Dari Kuman 750 ml Twin Pack")</f>
        <v/>
      </c>
      <c r="P947" t="n">
        <v>14</v>
      </c>
      <c r="Q947" t="n">
        <v>226</v>
      </c>
      <c r="R947" t="n">
        <v>4.92942942942943</v>
      </c>
      <c r="S947" t="n">
        <v>4</v>
      </c>
      <c r="T947" t="n">
        <v>1</v>
      </c>
      <c r="U947" t="n">
        <v>4</v>
      </c>
      <c r="V947" t="n">
        <v>20</v>
      </c>
      <c r="W947" t="n">
        <v>637</v>
      </c>
    </row>
    <row r="948">
      <c r="A948" t="inlineStr">
        <is>
          <t>Royco Bumbu Nasi Goreng Soto 17 gr</t>
        </is>
      </c>
      <c r="B948" t="inlineStr">
        <is>
          <t>0</t>
        </is>
      </c>
      <c r="C948" t="inlineStr">
        <is>
          <t>4%</t>
        </is>
      </c>
      <c r="D948" t="n">
        <v>2400</v>
      </c>
      <c r="E948" t="n">
        <v>2500</v>
      </c>
      <c r="F948" t="n">
        <v>2400</v>
      </c>
      <c r="G948" t="n">
        <v>2500</v>
      </c>
      <c r="H948" t="n">
        <v>2400</v>
      </c>
      <c r="I948" t="n">
        <v>2500</v>
      </c>
      <c r="J948" t="b">
        <v>1</v>
      </c>
      <c r="K948" t="inlineStr">
        <is>
          <t>Unilever Indonesia Official Shop</t>
        </is>
      </c>
      <c r="L948" t="inlineStr">
        <is>
          <t>KOTA MAKASSAR</t>
        </is>
      </c>
      <c r="M948" t="n">
        <v>5657906387</v>
      </c>
      <c r="N948" t="n">
        <v>14318452</v>
      </c>
      <c r="O948">
        <f>HYPERLINK("https://shopee.co.id/api/v4/item/get?itemid=5657906387&amp;shopid=14318452", "Royco Bumbu Nasi Goreng Soto 17 gr")</f>
        <v/>
      </c>
      <c r="P948" t="n">
        <v>43</v>
      </c>
      <c r="Q948" t="n">
        <v>24</v>
      </c>
      <c r="R948" t="n">
        <v>4.929577464788732</v>
      </c>
      <c r="S948" t="n">
        <v>1</v>
      </c>
      <c r="T948" t="n">
        <v>0</v>
      </c>
      <c r="U948" t="n">
        <v>4</v>
      </c>
      <c r="V948" t="n">
        <v>27</v>
      </c>
      <c r="W948" t="n">
        <v>466</v>
      </c>
    </row>
    <row r="949">
      <c r="A949" t="inlineStr">
        <is>
          <t>MOLTO ANTI KUSUT Velvet Bloom Pouch 720mL Twin Pack</t>
        </is>
      </c>
      <c r="B949" t="inlineStr">
        <is>
          <t>None</t>
        </is>
      </c>
      <c r="C949" t="inlineStr">
        <is>
          <t>16%</t>
        </is>
      </c>
      <c r="D949" t="n">
        <v>33500</v>
      </c>
      <c r="E949" t="n">
        <v>39800</v>
      </c>
      <c r="F949" t="n">
        <v>33500</v>
      </c>
      <c r="G949" t="n">
        <v>39800</v>
      </c>
      <c r="H949" t="n">
        <v>33500</v>
      </c>
      <c r="I949" t="n">
        <v>39800</v>
      </c>
      <c r="J949" t="b">
        <v>1</v>
      </c>
      <c r="K949" t="inlineStr">
        <is>
          <t>Unilever Indonesia Official Shop</t>
        </is>
      </c>
      <c r="L949" t="inlineStr">
        <is>
          <t>KOTA BEKASI</t>
        </is>
      </c>
      <c r="M949" t="n">
        <v>11135983462</v>
      </c>
      <c r="N949" t="n">
        <v>14318452</v>
      </c>
      <c r="O949">
        <f>HYPERLINK("https://shopee.co.id/api/v4/item/get?itemid=11135983462&amp;shopid=14318452", "MOLTO ANTI KUSUT Velvet Bloom Pouch 720mL Twin Pack")</f>
        <v/>
      </c>
      <c r="P949" t="n">
        <v>931</v>
      </c>
      <c r="Q949" t="n">
        <v>3277</v>
      </c>
      <c r="R949" t="n">
        <v>4.942679331804782</v>
      </c>
      <c r="S949" t="n">
        <v>10</v>
      </c>
      <c r="T949" t="n">
        <v>4</v>
      </c>
      <c r="U949" t="n">
        <v>16</v>
      </c>
      <c r="V949" t="n">
        <v>98</v>
      </c>
      <c r="W949" t="n">
        <v>2927</v>
      </c>
    </row>
    <row r="950">
      <c r="A950" t="inlineStr">
        <is>
          <t>Lux Magical Orchid Sabun Cair Refill 250ml</t>
        </is>
      </c>
      <c r="B950" t="inlineStr">
        <is>
          <t>0</t>
        </is>
      </c>
      <c r="C950" t="inlineStr">
        <is>
          <t>32%</t>
        </is>
      </c>
      <c r="D950" t="n">
        <v>17800</v>
      </c>
      <c r="E950" t="n">
        <v>26300</v>
      </c>
      <c r="F950" t="n">
        <v>17800</v>
      </c>
      <c r="G950" t="n">
        <v>26300</v>
      </c>
      <c r="H950" t="n">
        <v>17800</v>
      </c>
      <c r="I950" t="n">
        <v>26300</v>
      </c>
      <c r="J950" t="b">
        <v>1</v>
      </c>
      <c r="K950" t="inlineStr">
        <is>
          <t>Unilever Indonesia Official Shop</t>
        </is>
      </c>
      <c r="L950" t="inlineStr">
        <is>
          <t>KOTA BEKASI</t>
        </is>
      </c>
      <c r="M950" t="n">
        <v>224778712</v>
      </c>
      <c r="N950" t="n">
        <v>14318452</v>
      </c>
      <c r="O950">
        <f>HYPERLINK("https://shopee.co.id/api/v4/item/get?itemid=224778712&amp;shopid=14318452", "Lux Magical Orchid Sabun Cair Refill 250ml")</f>
        <v/>
      </c>
      <c r="P950" t="n">
        <v>62</v>
      </c>
      <c r="Q950" t="n">
        <v>178</v>
      </c>
      <c r="R950" t="n">
        <v>4.888888888888889</v>
      </c>
      <c r="S950" t="n">
        <v>8</v>
      </c>
      <c r="T950" t="n">
        <v>1</v>
      </c>
      <c r="U950" t="n">
        <v>20</v>
      </c>
      <c r="V950" t="n">
        <v>96</v>
      </c>
      <c r="W950" t="n">
        <v>1414</v>
      </c>
    </row>
    <row r="951">
      <c r="A951" t="inlineStr">
        <is>
          <t>Dove Roll On Deodorant Silk Dry 40 ml - Twin Pack</t>
        </is>
      </c>
      <c r="B951" t="inlineStr">
        <is>
          <t>0</t>
        </is>
      </c>
      <c r="C951" t="inlineStr">
        <is>
          <t>19%</t>
        </is>
      </c>
      <c r="D951" t="n">
        <v>38100</v>
      </c>
      <c r="E951" t="n">
        <v>47200</v>
      </c>
      <c r="F951" t="n">
        <v>38100</v>
      </c>
      <c r="G951" t="n">
        <v>47200</v>
      </c>
      <c r="H951" t="n">
        <v>38100</v>
      </c>
      <c r="I951" t="n">
        <v>47200</v>
      </c>
      <c r="J951" t="b">
        <v>1</v>
      </c>
      <c r="K951" t="inlineStr">
        <is>
          <t>Unilever Indonesia Official Shop</t>
        </is>
      </c>
      <c r="L951" t="inlineStr">
        <is>
          <t>KOTA BEKASI</t>
        </is>
      </c>
      <c r="M951" t="n">
        <v>4231043298</v>
      </c>
      <c r="N951" t="n">
        <v>14318452</v>
      </c>
      <c r="O951">
        <f>HYPERLINK("https://shopee.co.id/api/v4/item/get?itemid=4231043298&amp;shopid=14318452", "Dove Roll On Deodorant Silk Dry 40 ml - Twin Pack")</f>
        <v/>
      </c>
      <c r="P951" t="n">
        <v>55</v>
      </c>
      <c r="Q951" t="n">
        <v>165</v>
      </c>
      <c r="R951" t="n">
        <v>4.924342105263158</v>
      </c>
      <c r="S951" t="n">
        <v>4</v>
      </c>
      <c r="T951" t="n">
        <v>2</v>
      </c>
      <c r="U951" t="n">
        <v>3</v>
      </c>
      <c r="V951" t="n">
        <v>18</v>
      </c>
      <c r="W951" t="n">
        <v>581</v>
      </c>
    </row>
    <row r="952">
      <c r="A952" t="inlineStr">
        <is>
          <t>Citra Fresh Glow Multifunction Gel Aloe Bright UV 180 ml + Sheet Mask Sakura + Aloe Vera 25 gr</t>
        </is>
      </c>
      <c r="B952" t="inlineStr">
        <is>
          <t>0</t>
        </is>
      </c>
      <c r="C952" t="inlineStr">
        <is>
          <t>1%</t>
        </is>
      </c>
      <c r="D952" t="n">
        <v>42100</v>
      </c>
      <c r="E952" t="n">
        <v>42500</v>
      </c>
      <c r="F952" t="n">
        <v>42100</v>
      </c>
      <c r="G952" t="n">
        <v>42500</v>
      </c>
      <c r="H952" t="n">
        <v>42100</v>
      </c>
      <c r="I952" t="n">
        <v>42500</v>
      </c>
      <c r="J952" t="b">
        <v>1</v>
      </c>
      <c r="K952" t="inlineStr">
        <is>
          <t>Unilever Indonesia Official Shop</t>
        </is>
      </c>
      <c r="L952" t="inlineStr">
        <is>
          <t>KOTA SEMARANG</t>
        </is>
      </c>
      <c r="M952" t="n">
        <v>7831883213</v>
      </c>
      <c r="N952" t="n">
        <v>14318452</v>
      </c>
      <c r="O952">
        <f>HYPERLINK("https://shopee.co.id/api/v4/item/get?itemid=7831883213&amp;shopid=14318452", "Citra Fresh Glow Multifunction Gel Aloe Bright UV 180 ml + Sheet Mask Sakura + Aloe Vera 25 gr")</f>
        <v/>
      </c>
      <c r="P952" t="n">
        <v>3</v>
      </c>
      <c r="Q952" t="n">
        <v>432</v>
      </c>
      <c r="R952" t="n">
        <v>4.898529411764706</v>
      </c>
      <c r="S952" t="n">
        <v>1</v>
      </c>
      <c r="T952" t="n">
        <v>0</v>
      </c>
      <c r="U952" t="n">
        <v>7</v>
      </c>
      <c r="V952" t="n">
        <v>51</v>
      </c>
      <c r="W952" t="n">
        <v>621</v>
      </c>
    </row>
    <row r="953">
      <c r="A953" t="inlineStr">
        <is>
          <t>Simple Facial Wash Toner Soothing 200 ml</t>
        </is>
      </c>
      <c r="B953" t="inlineStr">
        <is>
          <t>0</t>
        </is>
      </c>
      <c r="C953" t="inlineStr">
        <is>
          <t>1%</t>
        </is>
      </c>
      <c r="D953" t="n">
        <v>77800</v>
      </c>
      <c r="E953" t="n">
        <v>78500</v>
      </c>
      <c r="F953" t="n">
        <v>77800</v>
      </c>
      <c r="G953" t="n">
        <v>78500</v>
      </c>
      <c r="H953" t="n">
        <v>77800</v>
      </c>
      <c r="I953" t="n">
        <v>78500</v>
      </c>
      <c r="J953" t="b">
        <v>1</v>
      </c>
      <c r="K953" t="inlineStr">
        <is>
          <t>Unilever Indonesia Official Shop</t>
        </is>
      </c>
      <c r="L953" t="inlineStr">
        <is>
          <t>KOTA BEKASI</t>
        </is>
      </c>
      <c r="M953" t="n">
        <v>2583041625</v>
      </c>
      <c r="N953" t="n">
        <v>14318452</v>
      </c>
      <c r="O953">
        <f>HYPERLINK("https://shopee.co.id/api/v4/item/get?itemid=2583041625&amp;shopid=14318452", "Simple Facial Wash Toner Soothing 200 ml")</f>
        <v/>
      </c>
      <c r="P953" t="n">
        <v>389</v>
      </c>
      <c r="Q953" t="n">
        <v>712</v>
      </c>
      <c r="R953" t="n">
        <v>4.847634421954552</v>
      </c>
      <c r="S953" t="n">
        <v>59</v>
      </c>
      <c r="T953" t="n">
        <v>43</v>
      </c>
      <c r="U953" t="n">
        <v>120</v>
      </c>
      <c r="V953" t="n">
        <v>634</v>
      </c>
      <c r="W953" t="n">
        <v>7201</v>
      </c>
    </row>
    <row r="954">
      <c r="A954" t="inlineStr">
        <is>
          <t>Vaseline Lotion Healthy Bright UV Extra Brightening 200ml</t>
        </is>
      </c>
      <c r="B954" t="inlineStr">
        <is>
          <t>0</t>
        </is>
      </c>
      <c r="C954" t="inlineStr">
        <is>
          <t>10%</t>
        </is>
      </c>
      <c r="D954" t="n">
        <v>29100</v>
      </c>
      <c r="E954" t="n">
        <v>32400</v>
      </c>
      <c r="F954" t="n">
        <v>29100</v>
      </c>
      <c r="G954" t="n">
        <v>32400</v>
      </c>
      <c r="H954" t="n">
        <v>29100</v>
      </c>
      <c r="I954" t="n">
        <v>32400</v>
      </c>
      <c r="J954" t="b">
        <v>1</v>
      </c>
      <c r="K954" t="inlineStr">
        <is>
          <t>Unilever Indonesia Official Shop</t>
        </is>
      </c>
      <c r="L954" t="inlineStr">
        <is>
          <t>KOTA BEKASI</t>
        </is>
      </c>
      <c r="M954" t="n">
        <v>6460792568</v>
      </c>
      <c r="N954" t="n">
        <v>14318452</v>
      </c>
      <c r="O954">
        <f>HYPERLINK("https://shopee.co.id/api/v4/item/get?itemid=6460792568&amp;shopid=14318452", "Vaseline Lotion Healthy Bright UV Extra Brightening 200ml")</f>
        <v/>
      </c>
      <c r="P954" t="n">
        <v>2057</v>
      </c>
      <c r="Q954" t="n">
        <v>2464</v>
      </c>
      <c r="R954" t="n">
        <v>4.862258630778233</v>
      </c>
      <c r="S954" t="n">
        <v>51</v>
      </c>
      <c r="T954" t="n">
        <v>34</v>
      </c>
      <c r="U954" t="n">
        <v>128</v>
      </c>
      <c r="V954" t="n">
        <v>618</v>
      </c>
      <c r="W954" t="n">
        <v>7715</v>
      </c>
    </row>
    <row r="955">
      <c r="A955" t="inlineStr">
        <is>
          <t>Ponds Bright Beauty Daily Facial Scrub 50 G</t>
        </is>
      </c>
      <c r="B955" t="inlineStr"/>
      <c r="C955" t="inlineStr">
        <is>
          <t>5%</t>
        </is>
      </c>
      <c r="D955" t="n">
        <v>24100</v>
      </c>
      <c r="E955" t="n">
        <v>25400</v>
      </c>
      <c r="F955" t="n">
        <v>24100</v>
      </c>
      <c r="G955" t="n">
        <v>25400</v>
      </c>
      <c r="H955" t="n">
        <v>24100</v>
      </c>
      <c r="I955" t="n">
        <v>25400</v>
      </c>
      <c r="J955" t="b">
        <v>1</v>
      </c>
      <c r="K955" t="inlineStr">
        <is>
          <t>Unilever Indonesia Official Shop</t>
        </is>
      </c>
      <c r="L955" t="inlineStr">
        <is>
          <t>KOTA BEKASI</t>
        </is>
      </c>
      <c r="M955" t="n">
        <v>8414335009</v>
      </c>
      <c r="N955" t="n">
        <v>14318452</v>
      </c>
      <c r="O955">
        <f>HYPERLINK("https://shopee.co.id/api/v4/item/get?itemid=8414335009&amp;shopid=14318452", "Ponds Bright Beauty Daily Facial Scrub 50 G")</f>
        <v/>
      </c>
      <c r="P955" t="n">
        <v>165</v>
      </c>
      <c r="Q955" t="n">
        <v>179</v>
      </c>
      <c r="R955" t="n">
        <v>4.897002305918524</v>
      </c>
      <c r="S955" t="n">
        <v>6</v>
      </c>
      <c r="T955" t="n">
        <v>2</v>
      </c>
      <c r="U955" t="n">
        <v>11</v>
      </c>
      <c r="V955" t="n">
        <v>82</v>
      </c>
      <c r="W955" t="n">
        <v>1200</v>
      </c>
    </row>
    <row r="956">
      <c r="A956" t="inlineStr">
        <is>
          <t>Pond's Bright Beauty Instabright Tone Up Milk Cream 40gr Twin Pack</t>
        </is>
      </c>
      <c r="B956" t="inlineStr">
        <is>
          <t>Pond's</t>
        </is>
      </c>
      <c r="C956" t="inlineStr">
        <is>
          <t>16%</t>
        </is>
      </c>
      <c r="D956" t="n">
        <v>97600</v>
      </c>
      <c r="E956" t="n">
        <v>115800</v>
      </c>
      <c r="F956" t="n">
        <v>97600</v>
      </c>
      <c r="G956" t="n">
        <v>115800</v>
      </c>
      <c r="H956" t="n">
        <v>97600</v>
      </c>
      <c r="I956" t="n">
        <v>115800</v>
      </c>
      <c r="J956" t="b">
        <v>1</v>
      </c>
      <c r="K956" t="inlineStr">
        <is>
          <t>Unilever Indonesia Official Shop</t>
        </is>
      </c>
      <c r="L956" t="inlineStr">
        <is>
          <t>KOTA BEKASI</t>
        </is>
      </c>
      <c r="M956" t="n">
        <v>3731479369</v>
      </c>
      <c r="N956" t="n">
        <v>14318452</v>
      </c>
      <c r="O956">
        <f>HYPERLINK("https://shopee.co.id/api/v4/item/get?itemid=3731479369&amp;shopid=14318452", "Pond's Bright Beauty Instabright Tone Up Milk Cream 40gr Twin Pack")</f>
        <v/>
      </c>
      <c r="P956" t="n">
        <v>114</v>
      </c>
      <c r="Q956" t="n">
        <v>253</v>
      </c>
      <c r="R956" t="n">
        <v>4.903769045709703</v>
      </c>
      <c r="S956" t="n">
        <v>4</v>
      </c>
      <c r="T956" t="n">
        <v>4</v>
      </c>
      <c r="U956" t="n">
        <v>16</v>
      </c>
      <c r="V956" t="n">
        <v>60</v>
      </c>
      <c r="W956" t="n">
        <v>1163</v>
      </c>
    </row>
    <row r="957">
      <c r="A957" t="inlineStr">
        <is>
          <t>Tresemme Shampoo Anti Hair Fall 340ml Twin Pack</t>
        </is>
      </c>
      <c r="B957" t="inlineStr">
        <is>
          <t>0</t>
        </is>
      </c>
      <c r="C957" t="inlineStr">
        <is>
          <t>17%</t>
        </is>
      </c>
      <c r="D957" t="n">
        <v>119600</v>
      </c>
      <c r="E957" t="n">
        <v>143500</v>
      </c>
      <c r="F957" t="n">
        <v>119600</v>
      </c>
      <c r="G957" t="n">
        <v>143500</v>
      </c>
      <c r="H957" t="n">
        <v>119600</v>
      </c>
      <c r="I957" t="n">
        <v>143500</v>
      </c>
      <c r="J957" t="b">
        <v>1</v>
      </c>
      <c r="K957" t="inlineStr">
        <is>
          <t>Unilever Indonesia Official Shop</t>
        </is>
      </c>
      <c r="L957" t="inlineStr">
        <is>
          <t>KOTA BEKASI</t>
        </is>
      </c>
      <c r="M957" t="n">
        <v>5131735785</v>
      </c>
      <c r="N957" t="n">
        <v>14318452</v>
      </c>
      <c r="O957">
        <f>HYPERLINK("https://shopee.co.id/api/v4/item/get?itemid=5131735785&amp;shopid=14318452", "Tresemme Shampoo Anti Hair Fall 340ml Twin Pack")</f>
        <v/>
      </c>
      <c r="P957" t="n">
        <v>18</v>
      </c>
      <c r="Q957" t="n">
        <v>265</v>
      </c>
      <c r="R957" t="n">
        <v>4.894308943089431</v>
      </c>
      <c r="S957" t="n">
        <v>15</v>
      </c>
      <c r="T957" t="n">
        <v>6</v>
      </c>
      <c r="U957" t="n">
        <v>18</v>
      </c>
      <c r="V957" t="n">
        <v>74</v>
      </c>
      <c r="W957" t="n">
        <v>1611</v>
      </c>
    </row>
    <row r="958">
      <c r="A958" t="inlineStr">
        <is>
          <t>Tresemme Shampoo For Bleached Hair Color Radiance &amp; Repair 250ml</t>
        </is>
      </c>
      <c r="B958" t="inlineStr"/>
      <c r="C958" t="inlineStr">
        <is>
          <t>16%</t>
        </is>
      </c>
      <c r="D958" t="n">
        <v>86700</v>
      </c>
      <c r="E958" t="n">
        <v>102800</v>
      </c>
      <c r="F958" t="n">
        <v>86700</v>
      </c>
      <c r="G958" t="n">
        <v>102800</v>
      </c>
      <c r="H958" t="n">
        <v>86700</v>
      </c>
      <c r="I958" t="n">
        <v>102800</v>
      </c>
      <c r="J958" t="b">
        <v>1</v>
      </c>
      <c r="K958" t="inlineStr">
        <is>
          <t>Unilever Indonesia Official Shop</t>
        </is>
      </c>
      <c r="L958" t="inlineStr">
        <is>
          <t>KOTA SURABAYA</t>
        </is>
      </c>
      <c r="M958" t="n">
        <v>5115713110</v>
      </c>
      <c r="N958" t="n">
        <v>14318452</v>
      </c>
      <c r="O958">
        <f>HYPERLINK("https://shopee.co.id/api/v4/item/get?itemid=5115713110&amp;shopid=14318452", "Tresemme Shampoo For Bleached Hair Color Radiance &amp; Repair 250ml")</f>
        <v/>
      </c>
      <c r="P958" t="n">
        <v>88</v>
      </c>
      <c r="Q958" t="n">
        <v>92</v>
      </c>
      <c r="R958" t="n">
        <v>4.881241565452092</v>
      </c>
      <c r="S958" t="n">
        <v>13</v>
      </c>
      <c r="T958" t="n">
        <v>11</v>
      </c>
      <c r="U958" t="n">
        <v>32</v>
      </c>
      <c r="V958" t="n">
        <v>118</v>
      </c>
      <c r="W958" t="n">
        <v>2054</v>
      </c>
    </row>
    <row r="959">
      <c r="A959" t="inlineStr">
        <is>
          <t>LUX Botanicals Antibacterial Hand Wash Freesia &amp; Tea 400 ml</t>
        </is>
      </c>
      <c r="B959" t="inlineStr"/>
      <c r="C959" t="inlineStr">
        <is>
          <t>2%</t>
        </is>
      </c>
      <c r="D959" t="n">
        <v>39600</v>
      </c>
      <c r="E959" t="n">
        <v>40500</v>
      </c>
      <c r="F959" t="n">
        <v>39600</v>
      </c>
      <c r="G959" t="n">
        <v>40500</v>
      </c>
      <c r="H959" t="n">
        <v>39600</v>
      </c>
      <c r="I959" t="n">
        <v>40500</v>
      </c>
      <c r="J959" t="b">
        <v>1</v>
      </c>
      <c r="K959" t="inlineStr">
        <is>
          <t>Unilever Indonesia Official Shop</t>
        </is>
      </c>
      <c r="L959" t="inlineStr">
        <is>
          <t>KOTA BEKASI</t>
        </is>
      </c>
      <c r="M959" t="n">
        <v>8814561374</v>
      </c>
      <c r="N959" t="n">
        <v>14318452</v>
      </c>
      <c r="O959">
        <f>HYPERLINK("https://shopee.co.id/api/v4/item/get?itemid=8814561374&amp;shopid=14318452", "LUX Botanicals Antibacterial Hand Wash Freesia &amp; Tea 400 ml")</f>
        <v/>
      </c>
      <c r="P959" t="n">
        <v>13</v>
      </c>
      <c r="Q959" t="n">
        <v>134</v>
      </c>
      <c r="R959" t="n">
        <v>4.925872093023256</v>
      </c>
      <c r="S959" t="n">
        <v>4</v>
      </c>
      <c r="T959" t="n">
        <v>1</v>
      </c>
      <c r="U959" t="n">
        <v>1</v>
      </c>
      <c r="V959" t="n">
        <v>30</v>
      </c>
      <c r="W959" t="n">
        <v>652</v>
      </c>
    </row>
    <row r="960">
      <c r="A960" t="inlineStr">
        <is>
          <t>LUX Botanicals Gardenia &amp; Honey Body Mist</t>
        </is>
      </c>
      <c r="B960" t="inlineStr"/>
      <c r="C960" t="inlineStr">
        <is>
          <t>9%</t>
        </is>
      </c>
      <c r="D960" t="n">
        <v>36500</v>
      </c>
      <c r="E960" t="n">
        <v>40000</v>
      </c>
      <c r="F960" t="n">
        <v>36500</v>
      </c>
      <c r="G960" t="n">
        <v>40000</v>
      </c>
      <c r="H960" t="n">
        <v>36500</v>
      </c>
      <c r="I960" t="n">
        <v>40000</v>
      </c>
      <c r="J960" t="b">
        <v>0</v>
      </c>
      <c r="K960" t="inlineStr">
        <is>
          <t>Unilever Indonesia Official Shop</t>
        </is>
      </c>
      <c r="L960" t="inlineStr">
        <is>
          <t>KOTA SEMARANG</t>
        </is>
      </c>
      <c r="M960" t="n">
        <v>4479195742</v>
      </c>
      <c r="N960" t="n">
        <v>14318452</v>
      </c>
      <c r="O960">
        <f>HYPERLINK("https://shopee.co.id/api/v4/item/get?itemid=4479195742&amp;shopid=14318452", "LUX Botanicals Gardenia &amp; Honey Body Mist")</f>
        <v/>
      </c>
      <c r="P960" t="n">
        <v>109</v>
      </c>
      <c r="Q960" t="n">
        <v>76</v>
      </c>
      <c r="R960" t="n">
        <v>4.87625594923321</v>
      </c>
      <c r="S960" t="n">
        <v>10</v>
      </c>
      <c r="T960" t="n">
        <v>5</v>
      </c>
      <c r="U960" t="n">
        <v>34</v>
      </c>
      <c r="V960" t="n">
        <v>111</v>
      </c>
      <c r="W960" t="n">
        <v>1731</v>
      </c>
    </row>
    <row r="961">
      <c r="A961" t="inlineStr">
        <is>
          <t>Pond's BB Magic Powder 50g Multi Pack</t>
        </is>
      </c>
      <c r="B961" t="inlineStr">
        <is>
          <t>Pond's</t>
        </is>
      </c>
      <c r="C961" t="inlineStr">
        <is>
          <t>13%</t>
        </is>
      </c>
      <c r="D961" t="n">
        <v>83400</v>
      </c>
      <c r="E961" t="n">
        <v>95500</v>
      </c>
      <c r="F961" t="n">
        <v>83400</v>
      </c>
      <c r="G961" t="n">
        <v>95500</v>
      </c>
      <c r="H961" t="n">
        <v>83400</v>
      </c>
      <c r="I961" t="n">
        <v>95500</v>
      </c>
      <c r="J961" t="b">
        <v>1</v>
      </c>
      <c r="K961" t="inlineStr">
        <is>
          <t>Unilever Indonesia Official Shop</t>
        </is>
      </c>
      <c r="L961" t="inlineStr">
        <is>
          <t>KOTA BEKASI</t>
        </is>
      </c>
      <c r="M961" t="n">
        <v>5131374896</v>
      </c>
      <c r="N961" t="n">
        <v>14318452</v>
      </c>
      <c r="O961">
        <f>HYPERLINK("https://shopee.co.id/api/v4/item/get?itemid=5131374896&amp;shopid=14318452", "Pond's BB Magic Powder 50g Multi Pack")</f>
        <v/>
      </c>
      <c r="P961" t="n">
        <v>34</v>
      </c>
      <c r="Q961" t="n">
        <v>415</v>
      </c>
      <c r="R961" t="n">
        <v>4.92948717948718</v>
      </c>
      <c r="S961" t="n">
        <v>1</v>
      </c>
      <c r="T961" t="n">
        <v>0</v>
      </c>
      <c r="U961" t="n">
        <v>1</v>
      </c>
      <c r="V961" t="n">
        <v>27</v>
      </c>
      <c r="W961" t="n">
        <v>439</v>
      </c>
    </row>
    <row r="962">
      <c r="A962" t="inlineStr">
        <is>
          <t xml:space="preserve">Close Up Everfresh 110 g </t>
        </is>
      </c>
      <c r="B962" t="inlineStr"/>
      <c r="C962" t="inlineStr">
        <is>
          <t>15%</t>
        </is>
      </c>
      <c r="D962" t="n">
        <v>13800</v>
      </c>
      <c r="E962" t="n">
        <v>16300</v>
      </c>
      <c r="F962" t="n">
        <v>13800</v>
      </c>
      <c r="G962" t="n">
        <v>16300</v>
      </c>
      <c r="H962" t="n">
        <v>13800</v>
      </c>
      <c r="I962" t="n">
        <v>16300</v>
      </c>
      <c r="J962" t="b">
        <v>0</v>
      </c>
      <c r="K962" t="inlineStr">
        <is>
          <t>Unilever Indonesia Official Shop</t>
        </is>
      </c>
      <c r="L962" t="inlineStr">
        <is>
          <t>KAB. BANYUASIN</t>
        </is>
      </c>
      <c r="M962" t="n">
        <v>3072115740</v>
      </c>
      <c r="N962" t="n">
        <v>14318452</v>
      </c>
      <c r="O962">
        <f>HYPERLINK("https://shopee.co.id/api/v4/item/get?itemid=3072115740&amp;shopid=14318452", "Close Up Everfresh 110 g ")</f>
        <v/>
      </c>
      <c r="P962" t="n">
        <v>34</v>
      </c>
      <c r="Q962" t="n">
        <v>66</v>
      </c>
      <c r="R962" t="n">
        <v>4.92534174553102</v>
      </c>
      <c r="S962" t="n">
        <v>3</v>
      </c>
      <c r="T962" t="n">
        <v>0</v>
      </c>
      <c r="U962" t="n">
        <v>6</v>
      </c>
      <c r="V962" t="n">
        <v>47</v>
      </c>
      <c r="W962" t="n">
        <v>895</v>
      </c>
    </row>
    <row r="963">
      <c r="A963" t="inlineStr">
        <is>
          <t>Molto Pelembut Dan Pewangi Pakaian Flower Shower 780ml Twin Pack</t>
        </is>
      </c>
      <c r="B963" t="inlineStr">
        <is>
          <t>Molto</t>
        </is>
      </c>
      <c r="C963" t="inlineStr">
        <is>
          <t>10%</t>
        </is>
      </c>
      <c r="D963" t="n">
        <v>29200</v>
      </c>
      <c r="E963" t="n">
        <v>32300</v>
      </c>
      <c r="F963" t="n">
        <v>29200</v>
      </c>
      <c r="G963" t="n">
        <v>32300</v>
      </c>
      <c r="H963" t="n">
        <v>29200</v>
      </c>
      <c r="I963" t="n">
        <v>32300</v>
      </c>
      <c r="J963" t="b">
        <v>1</v>
      </c>
      <c r="K963" t="inlineStr">
        <is>
          <t>Unilever Indonesia Official Shop</t>
        </is>
      </c>
      <c r="L963" t="inlineStr">
        <is>
          <t>KOTA BEKASI</t>
        </is>
      </c>
      <c r="M963" t="n">
        <v>4131400633</v>
      </c>
      <c r="N963" t="n">
        <v>14318452</v>
      </c>
      <c r="O963">
        <f>HYPERLINK("https://shopee.co.id/api/v4/item/get?itemid=4131400633&amp;shopid=14318452", "Molto Pelembut Dan Pewangi Pakaian Flower Shower 780ml Twin Pack")</f>
        <v/>
      </c>
      <c r="P963" t="n">
        <v>65</v>
      </c>
      <c r="Q963" t="n">
        <v>627</v>
      </c>
      <c r="R963" t="n">
        <v>4.824120603015075</v>
      </c>
      <c r="S963" t="n">
        <v>31</v>
      </c>
      <c r="T963" t="n">
        <v>13</v>
      </c>
      <c r="U963" t="n">
        <v>34</v>
      </c>
      <c r="V963" t="n">
        <v>88</v>
      </c>
      <c r="W963" t="n">
        <v>1626</v>
      </c>
    </row>
    <row r="964">
      <c r="A964" t="inlineStr">
        <is>
          <t>Lifebuoy Sabun Cuci Tangan Total 10 Refill 180 Ml - Multipack</t>
        </is>
      </c>
      <c r="B964" t="inlineStr">
        <is>
          <t>Lifebuoy</t>
        </is>
      </c>
      <c r="C964" t="inlineStr">
        <is>
          <t>18%</t>
        </is>
      </c>
      <c r="D964" t="n">
        <v>33800</v>
      </c>
      <c r="E964" t="n">
        <v>41400</v>
      </c>
      <c r="F964" t="n">
        <v>33800</v>
      </c>
      <c r="G964" t="n">
        <v>41400</v>
      </c>
      <c r="H964" t="n">
        <v>33800</v>
      </c>
      <c r="I964" t="n">
        <v>41400</v>
      </c>
      <c r="J964" t="b">
        <v>0</v>
      </c>
      <c r="K964" t="inlineStr">
        <is>
          <t>Unilever Indonesia Official Shop</t>
        </is>
      </c>
      <c r="L964" t="inlineStr">
        <is>
          <t>KOTA BEKASI</t>
        </is>
      </c>
      <c r="M964" t="n">
        <v>2919951634</v>
      </c>
      <c r="N964" t="n">
        <v>14318452</v>
      </c>
      <c r="O964">
        <f>HYPERLINK("https://shopee.co.id/api/v4/item/get?itemid=2919951634&amp;shopid=14318452", "Lifebuoy Sabun Cuci Tangan Total 10 Refill 180 Ml - Multipack")</f>
        <v/>
      </c>
      <c r="P964" t="n">
        <v>70</v>
      </c>
      <c r="Q964" t="n">
        <v>186</v>
      </c>
      <c r="R964" t="n">
        <v>4.903508771929824</v>
      </c>
      <c r="S964" t="n">
        <v>3</v>
      </c>
      <c r="T964" t="n">
        <v>2</v>
      </c>
      <c r="U964" t="n">
        <v>8</v>
      </c>
      <c r="V964" t="n">
        <v>21</v>
      </c>
      <c r="W964" t="n">
        <v>536</v>
      </c>
    </row>
    <row r="965">
      <c r="A965" t="inlineStr">
        <is>
          <t>St. Ives Energizing Coconut &amp; Coffee Scrub 170 gr</t>
        </is>
      </c>
      <c r="B965" t="inlineStr">
        <is>
          <t>0</t>
        </is>
      </c>
      <c r="C965" t="inlineStr">
        <is>
          <t>1%</t>
        </is>
      </c>
      <c r="D965" t="n">
        <v>71800</v>
      </c>
      <c r="E965" t="n">
        <v>72500</v>
      </c>
      <c r="F965" t="n">
        <v>71800</v>
      </c>
      <c r="G965" t="n">
        <v>72500</v>
      </c>
      <c r="H965" t="n">
        <v>71800</v>
      </c>
      <c r="I965" t="n">
        <v>72500</v>
      </c>
      <c r="J965" t="b">
        <v>1</v>
      </c>
      <c r="K965" t="inlineStr">
        <is>
          <t>Unilever Indonesia Official Shop</t>
        </is>
      </c>
      <c r="L965" t="inlineStr">
        <is>
          <t>KOTA BEKASI</t>
        </is>
      </c>
      <c r="M965" t="n">
        <v>4660939336</v>
      </c>
      <c r="N965" t="n">
        <v>14318452</v>
      </c>
      <c r="O965">
        <f>HYPERLINK("https://shopee.co.id/api/v4/item/get?itemid=4660939336&amp;shopid=14318452", "St. Ives Energizing Coconut &amp; Coffee Scrub 170 gr")</f>
        <v/>
      </c>
      <c r="P965" t="n">
        <v>51</v>
      </c>
      <c r="Q965" t="n">
        <v>158</v>
      </c>
      <c r="R965" t="n">
        <v>4.881176470588235</v>
      </c>
      <c r="S965" t="n">
        <v>6</v>
      </c>
      <c r="T965" t="n">
        <v>3</v>
      </c>
      <c r="U965" t="n">
        <v>8</v>
      </c>
      <c r="V965" t="n">
        <v>52</v>
      </c>
      <c r="W965" t="n">
        <v>781</v>
      </c>
    </row>
    <row r="966">
      <c r="A966" t="inlineStr">
        <is>
          <t>Clear Men 3-In-1 Shampo Active Clean Bottle 280ml - 2 Pcs</t>
        </is>
      </c>
      <c r="B966" t="inlineStr">
        <is>
          <t>Clear</t>
        </is>
      </c>
      <c r="C966" t="inlineStr">
        <is>
          <t>15%</t>
        </is>
      </c>
      <c r="D966" t="n">
        <v>68900</v>
      </c>
      <c r="E966" t="n">
        <v>80900</v>
      </c>
      <c r="F966" t="n">
        <v>68900</v>
      </c>
      <c r="G966" t="n">
        <v>80900</v>
      </c>
      <c r="H966" t="n">
        <v>68900</v>
      </c>
      <c r="I966" t="n">
        <v>80900</v>
      </c>
      <c r="J966" t="b">
        <v>0</v>
      </c>
      <c r="K966" t="inlineStr">
        <is>
          <t>Unilever Indonesia Official Shop</t>
        </is>
      </c>
      <c r="L966" t="inlineStr">
        <is>
          <t>KOTA BEKASI</t>
        </is>
      </c>
      <c r="M966" t="n">
        <v>6085512078</v>
      </c>
      <c r="N966" t="n">
        <v>14318452</v>
      </c>
      <c r="O966">
        <f>HYPERLINK("https://shopee.co.id/api/v4/item/get?itemid=6085512078&amp;shopid=14318452", "Clear Men 3-In-1 Shampo Active Clean Bottle 280ml - 2 Pcs")</f>
        <v/>
      </c>
      <c r="P966" t="n">
        <v>66</v>
      </c>
      <c r="Q966" t="n">
        <v>912</v>
      </c>
      <c r="R966" t="n">
        <v>4.930843706777317</v>
      </c>
      <c r="S966" t="n">
        <v>2</v>
      </c>
      <c r="T966" t="n">
        <v>0</v>
      </c>
      <c r="U966" t="n">
        <v>4</v>
      </c>
      <c r="V966" t="n">
        <v>34</v>
      </c>
      <c r="W966" t="n">
        <v>683</v>
      </c>
    </row>
    <row r="967">
      <c r="A967" t="inlineStr">
        <is>
          <t>Buavita Mango 1000 ml - Twin Pack</t>
        </is>
      </c>
      <c r="B967" t="inlineStr">
        <is>
          <t>0</t>
        </is>
      </c>
      <c r="C967" t="inlineStr">
        <is>
          <t>31%</t>
        </is>
      </c>
      <c r="D967" t="n">
        <v>37500</v>
      </c>
      <c r="E967" t="n">
        <v>54400</v>
      </c>
      <c r="F967" t="n">
        <v>37500</v>
      </c>
      <c r="G967" t="n">
        <v>54400</v>
      </c>
      <c r="H967" t="n">
        <v>37500</v>
      </c>
      <c r="I967" t="n">
        <v>54400</v>
      </c>
      <c r="J967" t="b">
        <v>1</v>
      </c>
      <c r="K967" t="inlineStr">
        <is>
          <t>Unilever Indonesia Official Shop</t>
        </is>
      </c>
      <c r="L967" t="inlineStr">
        <is>
          <t>KOTA SEMARANG</t>
        </is>
      </c>
      <c r="M967" t="n">
        <v>6031884421</v>
      </c>
      <c r="N967" t="n">
        <v>14318452</v>
      </c>
      <c r="O967">
        <f>HYPERLINK("https://shopee.co.id/api/v4/item/get?itemid=6031884421&amp;shopid=14318452", "Buavita Mango 1000 ml - Twin Pack")</f>
        <v/>
      </c>
      <c r="P967" t="n">
        <v>57</v>
      </c>
      <c r="Q967" t="n">
        <v>64</v>
      </c>
      <c r="R967" t="n">
        <v>4.862924281984334</v>
      </c>
      <c r="S967" t="n">
        <v>11</v>
      </c>
      <c r="T967" t="n">
        <v>7</v>
      </c>
      <c r="U967" t="n">
        <v>7</v>
      </c>
      <c r="V967" t="n">
        <v>26</v>
      </c>
      <c r="W967" t="n">
        <v>715</v>
      </c>
    </row>
    <row r="968">
      <c r="A968" t="inlineStr">
        <is>
          <t>Citra Hand and Body Lotion Sun Protected Glow SPF 20 230 mL Twin Pack</t>
        </is>
      </c>
      <c r="B968" t="inlineStr">
        <is>
          <t>None</t>
        </is>
      </c>
      <c r="C968" t="inlineStr">
        <is>
          <t>1%</t>
        </is>
      </c>
      <c r="D968" t="n">
        <v>60300</v>
      </c>
      <c r="E968" t="n">
        <v>60900</v>
      </c>
      <c r="F968" t="n">
        <v>60300</v>
      </c>
      <c r="G968" t="n">
        <v>60900</v>
      </c>
      <c r="H968" t="n">
        <v>60300</v>
      </c>
      <c r="I968" t="n">
        <v>60900</v>
      </c>
      <c r="J968" t="b">
        <v>1</v>
      </c>
      <c r="K968" t="inlineStr">
        <is>
          <t>Unilever Indonesia Official Shop</t>
        </is>
      </c>
      <c r="L968" t="inlineStr">
        <is>
          <t>KOTA BEKASI</t>
        </is>
      </c>
      <c r="M968" t="n">
        <v>5132143566</v>
      </c>
      <c r="N968" t="n">
        <v>14318452</v>
      </c>
      <c r="O968">
        <f>HYPERLINK("https://shopee.co.id/api/v4/item/get?itemid=5132143566&amp;shopid=14318452", "Citra Hand and Body Lotion Sun Protected Glow SPF 20 230 mL Twin Pack")</f>
        <v/>
      </c>
      <c r="P968" t="n">
        <v>47</v>
      </c>
      <c r="Q968" t="n">
        <v>152</v>
      </c>
      <c r="R968" t="n">
        <v>4.90929203539823</v>
      </c>
      <c r="S968" t="n">
        <v>3</v>
      </c>
      <c r="T968" t="n">
        <v>3</v>
      </c>
      <c r="U968" t="n">
        <v>6</v>
      </c>
      <c r="V968" t="n">
        <v>49</v>
      </c>
      <c r="W968" t="n">
        <v>843</v>
      </c>
    </row>
    <row r="969">
      <c r="A969" t="inlineStr">
        <is>
          <t>Sunsilk Hijab Recharge Shampoo Refresh &amp; Hair Fall Solution 340ml Multi Pack</t>
        </is>
      </c>
      <c r="B969" t="inlineStr">
        <is>
          <t>Sunsilk</t>
        </is>
      </c>
      <c r="C969" t="inlineStr">
        <is>
          <t>13%</t>
        </is>
      </c>
      <c r="D969" t="n">
        <v>132600</v>
      </c>
      <c r="E969" t="n">
        <v>152100</v>
      </c>
      <c r="F969" t="n">
        <v>132600</v>
      </c>
      <c r="G969" t="n">
        <v>152100</v>
      </c>
      <c r="H969" t="n">
        <v>132600</v>
      </c>
      <c r="I969" t="n">
        <v>152100</v>
      </c>
      <c r="J969" t="b">
        <v>1</v>
      </c>
      <c r="K969" t="inlineStr">
        <is>
          <t>Unilever Indonesia Official Shop</t>
        </is>
      </c>
      <c r="L969" t="inlineStr">
        <is>
          <t>KOTA BEKASI</t>
        </is>
      </c>
      <c r="M969" t="n">
        <v>4931729449</v>
      </c>
      <c r="N969" t="n">
        <v>14318452</v>
      </c>
      <c r="O969">
        <f>HYPERLINK("https://shopee.co.id/api/v4/item/get?itemid=4931729449&amp;shopid=14318452", "Sunsilk Hijab Recharge Shampoo Refresh &amp; Hair Fall Solution 340ml Multi Pack")</f>
        <v/>
      </c>
      <c r="P969" t="n">
        <v>29</v>
      </c>
      <c r="Q969" t="n">
        <v>122</v>
      </c>
      <c r="R969" t="n">
        <v>4.951492537313433</v>
      </c>
      <c r="S969" t="n">
        <v>3</v>
      </c>
      <c r="T969" t="n">
        <v>0</v>
      </c>
      <c r="U969" t="n">
        <v>3</v>
      </c>
      <c r="V969" t="n">
        <v>12</v>
      </c>
      <c r="W969" t="n">
        <v>519</v>
      </c>
    </row>
    <row r="970">
      <c r="A970" t="inlineStr">
        <is>
          <t>Vixal Pembersih Kamar Mandi Kuat Harum 470Ml Twinpack</t>
        </is>
      </c>
      <c r="B970" t="inlineStr">
        <is>
          <t>0</t>
        </is>
      </c>
      <c r="C970" t="inlineStr">
        <is>
          <t>32%</t>
        </is>
      </c>
      <c r="D970" t="n">
        <v>24900</v>
      </c>
      <c r="E970" t="n">
        <v>36600</v>
      </c>
      <c r="F970" t="n">
        <v>24900</v>
      </c>
      <c r="G970" t="n">
        <v>36600</v>
      </c>
      <c r="H970" t="n">
        <v>24900</v>
      </c>
      <c r="I970" t="n">
        <v>36600</v>
      </c>
      <c r="J970" t="b">
        <v>1</v>
      </c>
      <c r="K970" t="inlineStr">
        <is>
          <t>Unilever Indonesia Official Shop</t>
        </is>
      </c>
      <c r="L970" t="inlineStr">
        <is>
          <t>KOTA SURABAYA</t>
        </is>
      </c>
      <c r="M970" t="n">
        <v>5258516136</v>
      </c>
      <c r="N970" t="n">
        <v>14318452</v>
      </c>
      <c r="O970">
        <f>HYPERLINK("https://shopee.co.id/api/v4/item/get?itemid=5258516136&amp;shopid=14318452", "Vixal Pembersih Kamar Mandi Kuat Harum 470Ml Twinpack")</f>
        <v/>
      </c>
      <c r="P970" t="n">
        <v>26</v>
      </c>
      <c r="Q970" t="n">
        <v>88</v>
      </c>
      <c r="R970" t="n">
        <v>4.9125</v>
      </c>
      <c r="S970" t="n">
        <v>1</v>
      </c>
      <c r="T970" t="n">
        <v>1</v>
      </c>
      <c r="U970" t="n">
        <v>6</v>
      </c>
      <c r="V970" t="n">
        <v>30</v>
      </c>
      <c r="W970" t="n">
        <v>522</v>
      </c>
    </row>
    <row r="971">
      <c r="A971" t="inlineStr">
        <is>
          <t>Sunsilk Shampoo Soft &amp; Smooth 900ml - Shampo Rambut Halus, Shampo Pelembut Rambut</t>
        </is>
      </c>
      <c r="B971" t="inlineStr"/>
      <c r="C971" t="inlineStr">
        <is>
          <t>15%</t>
        </is>
      </c>
      <c r="D971" t="n">
        <v>78200</v>
      </c>
      <c r="E971" t="n">
        <v>92000</v>
      </c>
      <c r="F971" t="n">
        <v>78200</v>
      </c>
      <c r="G971" t="n">
        <v>92000</v>
      </c>
      <c r="H971" t="n">
        <v>78200</v>
      </c>
      <c r="I971" t="n">
        <v>92000</v>
      </c>
      <c r="J971" t="b">
        <v>1</v>
      </c>
      <c r="K971" t="inlineStr">
        <is>
          <t>Unilever Indonesia Official Shop</t>
        </is>
      </c>
      <c r="L971" t="inlineStr">
        <is>
          <t>KOTA BEKASI</t>
        </is>
      </c>
      <c r="M971" t="n">
        <v>12207198487</v>
      </c>
      <c r="N971" t="n">
        <v>14318452</v>
      </c>
      <c r="O971">
        <f>HYPERLINK("https://shopee.co.id/api/v4/item/get?itemid=12207198487&amp;shopid=14318452", "Sunsilk Shampoo Soft &amp; Smooth 900ml - Shampo Rambut Halus, Shampo Pelembut Rambut")</f>
        <v/>
      </c>
      <c r="P971" t="n">
        <v>2116</v>
      </c>
      <c r="Q971" t="n">
        <v>2025</v>
      </c>
      <c r="R971" t="n">
        <v>4.937526561835954</v>
      </c>
      <c r="S971" t="n">
        <v>6</v>
      </c>
      <c r="T971" t="n">
        <v>5</v>
      </c>
      <c r="U971" t="n">
        <v>12</v>
      </c>
      <c r="V971" t="n">
        <v>84</v>
      </c>
      <c r="W971" t="n">
        <v>2246</v>
      </c>
    </row>
    <row r="972">
      <c r="A972" t="inlineStr">
        <is>
          <t>Pond's Men Bright Boost Face Moisturizer Twin Pack 2 x 20 mL</t>
        </is>
      </c>
      <c r="B972" t="inlineStr">
        <is>
          <t>0</t>
        </is>
      </c>
      <c r="C972" t="inlineStr">
        <is>
          <t>14%</t>
        </is>
      </c>
      <c r="D972" t="n">
        <v>59700</v>
      </c>
      <c r="E972" t="n">
        <v>69600</v>
      </c>
      <c r="F972" t="n">
        <v>59700</v>
      </c>
      <c r="G972" t="n">
        <v>69600</v>
      </c>
      <c r="H972" t="n">
        <v>59700</v>
      </c>
      <c r="I972" t="n">
        <v>69600</v>
      </c>
      <c r="J972" t="b">
        <v>1</v>
      </c>
      <c r="K972" t="inlineStr">
        <is>
          <t>Unilever Indonesia Official Shop</t>
        </is>
      </c>
      <c r="L972" t="inlineStr">
        <is>
          <t>KOTA BEKASI</t>
        </is>
      </c>
      <c r="M972" t="n">
        <v>4531376425</v>
      </c>
      <c r="N972" t="n">
        <v>14318452</v>
      </c>
      <c r="O972">
        <f>HYPERLINK("https://shopee.co.id/api/v4/item/get?itemid=4531376425&amp;shopid=14318452", "Pond's Men Bright Boost Face Moisturizer Twin Pack 2 x 20 mL")</f>
        <v/>
      </c>
      <c r="P972" t="n">
        <v>267</v>
      </c>
      <c r="Q972" t="n">
        <v>386</v>
      </c>
      <c r="R972" t="n">
        <v>4.881568926123381</v>
      </c>
      <c r="S972" t="n">
        <v>21</v>
      </c>
      <c r="T972" t="n">
        <v>9</v>
      </c>
      <c r="U972" t="n">
        <v>21</v>
      </c>
      <c r="V972" t="n">
        <v>158</v>
      </c>
      <c r="W972" t="n">
        <v>2417</v>
      </c>
    </row>
    <row r="973">
      <c r="A973" t="inlineStr">
        <is>
          <t>Vaseline Healthy Bright Body Lotion Perawatan Kulit Perfect10 Aha &amp; Retinol 400Ml x2</t>
        </is>
      </c>
      <c r="B973" t="inlineStr">
        <is>
          <t>Vaseline</t>
        </is>
      </c>
      <c r="C973" t="inlineStr">
        <is>
          <t>13%</t>
        </is>
      </c>
      <c r="D973" t="n">
        <v>139400</v>
      </c>
      <c r="E973" t="n">
        <v>160100</v>
      </c>
      <c r="F973" t="n">
        <v>139400</v>
      </c>
      <c r="G973" t="n">
        <v>160100</v>
      </c>
      <c r="H973" t="n">
        <v>139400</v>
      </c>
      <c r="I973" t="n">
        <v>160100</v>
      </c>
      <c r="J973" t="b">
        <v>1</v>
      </c>
      <c r="K973" t="inlineStr">
        <is>
          <t>Unilever Indonesia Official Shop</t>
        </is>
      </c>
      <c r="L973" t="inlineStr">
        <is>
          <t>KOTA BEKASI</t>
        </is>
      </c>
      <c r="M973" t="n">
        <v>3231890496</v>
      </c>
      <c r="N973" t="n">
        <v>14318452</v>
      </c>
      <c r="O973">
        <f>HYPERLINK("https://shopee.co.id/api/v4/item/get?itemid=3231890496&amp;shopid=14318452", "Vaseline Healthy Bright Body Lotion Perawatan Kulit Perfect10 Aha &amp; Retinol 400Ml x2")</f>
        <v/>
      </c>
      <c r="P973" t="n">
        <v>196</v>
      </c>
      <c r="Q973" t="n">
        <v>1585</v>
      </c>
      <c r="R973" t="n">
        <v>4.862857142857143</v>
      </c>
      <c r="S973" t="n">
        <v>18</v>
      </c>
      <c r="T973" t="n">
        <v>11</v>
      </c>
      <c r="U973" t="n">
        <v>33</v>
      </c>
      <c r="V973" t="n">
        <v>148</v>
      </c>
      <c r="W973" t="n">
        <v>2067</v>
      </c>
    </row>
    <row r="974">
      <c r="A974" t="inlineStr">
        <is>
          <t>Lifebuoy Shampoo Anti Hair fall 340ml Twin Pack</t>
        </is>
      </c>
      <c r="B974" t="inlineStr">
        <is>
          <t>0</t>
        </is>
      </c>
      <c r="C974" t="inlineStr">
        <is>
          <t>1%</t>
        </is>
      </c>
      <c r="D974" t="n">
        <v>88500</v>
      </c>
      <c r="E974" t="n">
        <v>89300</v>
      </c>
      <c r="F974" t="n">
        <v>88500</v>
      </c>
      <c r="G974" t="n">
        <v>89300</v>
      </c>
      <c r="H974" t="n">
        <v>88500</v>
      </c>
      <c r="I974" t="n">
        <v>89300</v>
      </c>
      <c r="J974" t="b">
        <v>1</v>
      </c>
      <c r="K974" t="inlineStr">
        <is>
          <t>Unilever Indonesia Official Shop</t>
        </is>
      </c>
      <c r="L974" t="inlineStr">
        <is>
          <t>KOTA BEKASI</t>
        </is>
      </c>
      <c r="M974" t="n">
        <v>7731340173</v>
      </c>
      <c r="N974" t="n">
        <v>14318452</v>
      </c>
      <c r="O974">
        <f>HYPERLINK("https://shopee.co.id/api/v4/item/get?itemid=7731340173&amp;shopid=14318452", "Lifebuoy Shampoo Anti Hair fall 340ml Twin Pack")</f>
        <v/>
      </c>
      <c r="P974" t="n">
        <v>15</v>
      </c>
      <c r="Q974" t="n">
        <v>131</v>
      </c>
      <c r="R974" t="n">
        <v>4.92042042042042</v>
      </c>
      <c r="S974" t="n">
        <v>3</v>
      </c>
      <c r="T974" t="n">
        <v>2</v>
      </c>
      <c r="U974" t="n">
        <v>4</v>
      </c>
      <c r="V974" t="n">
        <v>30</v>
      </c>
      <c r="W974" t="n">
        <v>631</v>
      </c>
    </row>
    <row r="975">
      <c r="A975" t="inlineStr">
        <is>
          <t>Ponds Vitamin Micellar Water (Makeup Remover) Hydrating Aloe 100Ml Twinpack</t>
        </is>
      </c>
      <c r="B975" t="inlineStr">
        <is>
          <t>0</t>
        </is>
      </c>
      <c r="C975" t="inlineStr">
        <is>
          <t>26%</t>
        </is>
      </c>
      <c r="D975" t="n">
        <v>42100</v>
      </c>
      <c r="E975" t="n">
        <v>57000</v>
      </c>
      <c r="F975" t="n">
        <v>42100</v>
      </c>
      <c r="G975" t="n">
        <v>57000</v>
      </c>
      <c r="H975" t="n">
        <v>42100</v>
      </c>
      <c r="I975" t="n">
        <v>57000</v>
      </c>
      <c r="J975" t="b">
        <v>1</v>
      </c>
      <c r="K975" t="inlineStr">
        <is>
          <t>Unilever Indonesia Official Shop</t>
        </is>
      </c>
      <c r="L975" t="inlineStr">
        <is>
          <t>KOTA BEKASI</t>
        </is>
      </c>
      <c r="M975" t="n">
        <v>6732152986</v>
      </c>
      <c r="N975" t="n">
        <v>14318452</v>
      </c>
      <c r="O975">
        <f>HYPERLINK("https://shopee.co.id/api/v4/item/get?itemid=6732152986&amp;shopid=14318452", "Ponds Vitamin Micellar Water (Makeup Remover) Hydrating Aloe 100Ml Twinpack")</f>
        <v/>
      </c>
      <c r="P975" t="n">
        <v>92</v>
      </c>
      <c r="Q975" t="n">
        <v>205</v>
      </c>
      <c r="R975" t="n">
        <v>4.851764705882353</v>
      </c>
      <c r="S975" t="n">
        <v>5</v>
      </c>
      <c r="T975" t="n">
        <v>8</v>
      </c>
      <c r="U975" t="n">
        <v>21</v>
      </c>
      <c r="V975" t="n">
        <v>44</v>
      </c>
      <c r="W975" t="n">
        <v>773</v>
      </c>
    </row>
    <row r="976">
      <c r="A976" t="inlineStr">
        <is>
          <t>Citra Hand Body Lotion Pearly Glow UV 380ml Multi Pack</t>
        </is>
      </c>
      <c r="B976" t="inlineStr">
        <is>
          <t>Citra</t>
        </is>
      </c>
      <c r="C976" t="inlineStr">
        <is>
          <t>1%</t>
        </is>
      </c>
      <c r="D976" t="n">
        <v>119400</v>
      </c>
      <c r="E976" t="n">
        <v>120600</v>
      </c>
      <c r="F976" t="n">
        <v>119400</v>
      </c>
      <c r="G976" t="n">
        <v>120600</v>
      </c>
      <c r="H976" t="n">
        <v>119400</v>
      </c>
      <c r="I976" t="n">
        <v>120600</v>
      </c>
      <c r="J976" t="b">
        <v>1</v>
      </c>
      <c r="K976" t="inlineStr">
        <is>
          <t>Unilever Indonesia Official Shop</t>
        </is>
      </c>
      <c r="L976" t="inlineStr">
        <is>
          <t>KOTA BEKASI</t>
        </is>
      </c>
      <c r="M976" t="n">
        <v>3731045265</v>
      </c>
      <c r="N976" t="n">
        <v>14318452</v>
      </c>
      <c r="O976">
        <f>HYPERLINK("https://shopee.co.id/api/v4/item/get?itemid=3731045265&amp;shopid=14318452", "Citra Hand Body Lotion Pearly Glow UV 380ml Multi Pack")</f>
        <v/>
      </c>
      <c r="P976" t="n">
        <v>91</v>
      </c>
      <c r="Q976" t="n">
        <v>722</v>
      </c>
      <c r="R976" t="n">
        <v>4.889370932754881</v>
      </c>
      <c r="S976" t="n">
        <v>7</v>
      </c>
      <c r="T976" t="n">
        <v>1</v>
      </c>
      <c r="U976" t="n">
        <v>8</v>
      </c>
      <c r="V976" t="n">
        <v>55</v>
      </c>
      <c r="W976" t="n">
        <v>851</v>
      </c>
    </row>
    <row r="977">
      <c r="A977" t="inlineStr">
        <is>
          <t>Pepsodent Nanosoft Sikat Gigi Sensitive isi 1 x2</t>
        </is>
      </c>
      <c r="B977" t="inlineStr">
        <is>
          <t>Pepsodent</t>
        </is>
      </c>
      <c r="C977" t="inlineStr">
        <is>
          <t>20%</t>
        </is>
      </c>
      <c r="D977" t="n">
        <v>23500</v>
      </c>
      <c r="E977" t="n">
        <v>29500</v>
      </c>
      <c r="F977" t="n">
        <v>23500</v>
      </c>
      <c r="G977" t="n">
        <v>29500</v>
      </c>
      <c r="H977" t="n">
        <v>23500</v>
      </c>
      <c r="I977" t="n">
        <v>29500</v>
      </c>
      <c r="J977" t="b">
        <v>1</v>
      </c>
      <c r="K977" t="inlineStr">
        <is>
          <t>Unilever Indonesia Official Shop</t>
        </is>
      </c>
      <c r="L977" t="inlineStr">
        <is>
          <t>KOTA SEMARANG</t>
        </is>
      </c>
      <c r="M977" t="n">
        <v>5032148908</v>
      </c>
      <c r="N977" t="n">
        <v>14318452</v>
      </c>
      <c r="O977">
        <f>HYPERLINK("https://shopee.co.id/api/v4/item/get?itemid=5032148908&amp;shopid=14318452", "Pepsodent Nanosoft Sikat Gigi Sensitive isi 1 x2")</f>
        <v/>
      </c>
      <c r="P977" t="n">
        <v>32</v>
      </c>
      <c r="Q977" t="n">
        <v>213</v>
      </c>
      <c r="R977" t="n">
        <v>4.900709219858156</v>
      </c>
      <c r="S977" t="n">
        <v>7</v>
      </c>
      <c r="T977" t="n">
        <v>1</v>
      </c>
      <c r="U977" t="n">
        <v>1</v>
      </c>
      <c r="V977" t="n">
        <v>37</v>
      </c>
      <c r="W977" t="n">
        <v>659</v>
      </c>
    </row>
    <row r="978">
      <c r="A978" t="inlineStr">
        <is>
          <t>DOVE SABUN MANDI CAIR BOTOL PUMP SENSITIVE SKIN 550ML</t>
        </is>
      </c>
      <c r="B978" t="inlineStr"/>
      <c r="C978" t="inlineStr">
        <is>
          <t>1%</t>
        </is>
      </c>
      <c r="D978" t="n">
        <v>84200</v>
      </c>
      <c r="E978" t="n">
        <v>85000</v>
      </c>
      <c r="F978" t="n">
        <v>84200</v>
      </c>
      <c r="G978" t="n">
        <v>85000</v>
      </c>
      <c r="H978" t="n">
        <v>84200</v>
      </c>
      <c r="I978" t="n">
        <v>85000</v>
      </c>
      <c r="J978" t="b">
        <v>1</v>
      </c>
      <c r="K978" t="inlineStr">
        <is>
          <t>Unilever Indonesia Official Shop</t>
        </is>
      </c>
      <c r="L978" t="inlineStr">
        <is>
          <t>KOTA BEKASI</t>
        </is>
      </c>
      <c r="M978" t="n">
        <v>6050171295</v>
      </c>
      <c r="N978" t="n">
        <v>14318452</v>
      </c>
      <c r="O978">
        <f>HYPERLINK("https://shopee.co.id/api/v4/item/get?itemid=6050171295&amp;shopid=14318452", "DOVE SABUN MANDI CAIR BOTOL PUMP SENSITIVE SKIN 550ML")</f>
        <v/>
      </c>
      <c r="P978" t="n">
        <v>264</v>
      </c>
      <c r="Q978" t="n">
        <v>320</v>
      </c>
      <c r="R978" t="n">
        <v>4.809650455927052</v>
      </c>
      <c r="S978" t="n">
        <v>30</v>
      </c>
      <c r="T978" t="n">
        <v>23</v>
      </c>
      <c r="U978" t="n">
        <v>70</v>
      </c>
      <c r="V978" t="n">
        <v>185</v>
      </c>
      <c r="W978" t="n">
        <v>2328</v>
      </c>
    </row>
    <row r="979">
      <c r="A979" t="inlineStr">
        <is>
          <t>Citra Volcanic Clay Face Cleanser 90gr</t>
        </is>
      </c>
      <c r="B979" t="inlineStr"/>
      <c r="C979" t="inlineStr">
        <is>
          <t>35%</t>
        </is>
      </c>
      <c r="D979" t="n">
        <v>24000</v>
      </c>
      <c r="E979" t="n">
        <v>36800</v>
      </c>
      <c r="F979" t="n">
        <v>24000</v>
      </c>
      <c r="G979" t="n">
        <v>36800</v>
      </c>
      <c r="H979" t="n">
        <v>24000</v>
      </c>
      <c r="I979" t="n">
        <v>36800</v>
      </c>
      <c r="J979" t="b">
        <v>1</v>
      </c>
      <c r="K979" t="inlineStr">
        <is>
          <t>Unilever Indonesia Official Shop</t>
        </is>
      </c>
      <c r="L979" t="inlineStr">
        <is>
          <t>KAB. BANYUASIN</t>
        </is>
      </c>
      <c r="M979" t="n">
        <v>6978265060</v>
      </c>
      <c r="N979" t="n">
        <v>14318452</v>
      </c>
      <c r="O979">
        <f>HYPERLINK("https://shopee.co.id/api/v4/item/get?itemid=6978265060&amp;shopid=14318452", "Citra Volcanic Clay Face Cleanser 90gr")</f>
        <v/>
      </c>
      <c r="P979" t="n">
        <v>15</v>
      </c>
      <c r="Q979" t="n">
        <v>45</v>
      </c>
      <c r="R979" t="n">
        <v>4.888492417484389</v>
      </c>
      <c r="S979" t="n">
        <v>4</v>
      </c>
      <c r="T979" t="n">
        <v>2</v>
      </c>
      <c r="U979" t="n">
        <v>16</v>
      </c>
      <c r="V979" t="n">
        <v>71</v>
      </c>
      <c r="W979" t="n">
        <v>1028</v>
      </c>
    </row>
    <row r="980">
      <c r="A980" t="inlineStr">
        <is>
          <t xml:space="preserve">Glow &amp; Lovely Brightening Facial Foam dengan Multivitamin 1x50G </t>
        </is>
      </c>
      <c r="B980" t="inlineStr"/>
      <c r="C980" t="inlineStr">
        <is>
          <t>14%</t>
        </is>
      </c>
      <c r="D980" t="n">
        <v>16200</v>
      </c>
      <c r="E980" t="n">
        <v>18800</v>
      </c>
      <c r="F980" t="n">
        <v>16200</v>
      </c>
      <c r="G980" t="n">
        <v>18800</v>
      </c>
      <c r="H980" t="n">
        <v>16200</v>
      </c>
      <c r="I980" t="n">
        <v>18800</v>
      </c>
      <c r="J980" t="b">
        <v>1</v>
      </c>
      <c r="K980" t="inlineStr">
        <is>
          <t>Unilever Indonesia Official Shop</t>
        </is>
      </c>
      <c r="L980" t="inlineStr">
        <is>
          <t>KOTA BEKASI</t>
        </is>
      </c>
      <c r="M980" t="n">
        <v>7363823441</v>
      </c>
      <c r="N980" t="n">
        <v>14318452</v>
      </c>
      <c r="O980">
        <f>HYPERLINK("https://shopee.co.id/api/v4/item/get?itemid=7363823441&amp;shopid=14318452", "Glow &amp; Lovely Brightening Facial Foam dengan Multivitamin 1x50G ")</f>
        <v/>
      </c>
      <c r="P980" t="n">
        <v>542</v>
      </c>
      <c r="Q980" t="n">
        <v>626</v>
      </c>
      <c r="R980" t="n">
        <v>4.874074074074074</v>
      </c>
      <c r="S980" t="n">
        <v>6</v>
      </c>
      <c r="T980" t="n">
        <v>3</v>
      </c>
      <c r="U980" t="n">
        <v>20</v>
      </c>
      <c r="V980" t="n">
        <v>165</v>
      </c>
      <c r="W980" t="n">
        <v>1696</v>
      </c>
    </row>
    <row r="981">
      <c r="A981" t="inlineStr">
        <is>
          <t>Pepsodent Sensitive Mineral Expert Pasta Gigi Sensitivity Treatment Pasta Gigi Sensitive 105G</t>
        </is>
      </c>
      <c r="B981" t="inlineStr">
        <is>
          <t>None</t>
        </is>
      </c>
      <c r="C981" t="inlineStr">
        <is>
          <t>28%</t>
        </is>
      </c>
      <c r="D981" t="n">
        <v>30300</v>
      </c>
      <c r="E981" t="n">
        <v>42300</v>
      </c>
      <c r="F981" t="n">
        <v>30300</v>
      </c>
      <c r="G981" t="n">
        <v>42300</v>
      </c>
      <c r="H981" t="n">
        <v>30300</v>
      </c>
      <c r="I981" t="n">
        <v>42300</v>
      </c>
      <c r="J981" t="b">
        <v>1</v>
      </c>
      <c r="K981" t="inlineStr">
        <is>
          <t>Unilever Indonesia Official Shop</t>
        </is>
      </c>
      <c r="L981" t="inlineStr">
        <is>
          <t>KOTA BEKASI</t>
        </is>
      </c>
      <c r="M981" t="n">
        <v>8311842352</v>
      </c>
      <c r="N981" t="n">
        <v>14318452</v>
      </c>
      <c r="O981">
        <f>HYPERLINK("https://shopee.co.id/api/v4/item/get?itemid=8311842352&amp;shopid=14318452", "Pepsodent Sensitive Mineral Expert Pasta Gigi Sensitivity Treatment Pasta Gigi Sensitive 105G")</f>
        <v/>
      </c>
      <c r="P981" t="n">
        <v>471</v>
      </c>
      <c r="Q981" t="n">
        <v>205</v>
      </c>
      <c r="R981" t="n">
        <v>4.915910964550701</v>
      </c>
      <c r="S981" t="n">
        <v>1</v>
      </c>
      <c r="T981" t="n">
        <v>4</v>
      </c>
      <c r="U981" t="n">
        <v>4</v>
      </c>
      <c r="V981" t="n">
        <v>78</v>
      </c>
      <c r="W981" t="n">
        <v>1126</v>
      </c>
    </row>
    <row r="982">
      <c r="A982" t="inlineStr">
        <is>
          <t>Lifebuoy Body Wash Refill Total 10 Antibakteri 400ml Multi Pack</t>
        </is>
      </c>
      <c r="B982" t="inlineStr">
        <is>
          <t>Lifebuoy</t>
        </is>
      </c>
      <c r="C982" t="inlineStr">
        <is>
          <t>28%</t>
        </is>
      </c>
      <c r="D982" t="n">
        <v>67500</v>
      </c>
      <c r="E982" t="n">
        <v>94200</v>
      </c>
      <c r="F982" t="n">
        <v>67500</v>
      </c>
      <c r="G982" t="n">
        <v>94200</v>
      </c>
      <c r="H982" t="n">
        <v>67500</v>
      </c>
      <c r="I982" t="n">
        <v>94200</v>
      </c>
      <c r="J982" t="b">
        <v>1</v>
      </c>
      <c r="K982" t="inlineStr">
        <is>
          <t>Unilever Indonesia Official Shop</t>
        </is>
      </c>
      <c r="L982" t="inlineStr">
        <is>
          <t>KOTA BEKASI</t>
        </is>
      </c>
      <c r="M982" t="n">
        <v>6931332840</v>
      </c>
      <c r="N982" t="n">
        <v>14318452</v>
      </c>
      <c r="O982">
        <f>HYPERLINK("https://shopee.co.id/api/v4/item/get?itemid=6931332840&amp;shopid=14318452", "Lifebuoy Body Wash Refill Total 10 Antibakteri 400ml Multi Pack")</f>
        <v/>
      </c>
      <c r="P982" t="n">
        <v>137</v>
      </c>
      <c r="Q982" t="n">
        <v>10</v>
      </c>
      <c r="R982" t="n">
        <v>4.894175553732568</v>
      </c>
      <c r="S982" t="n">
        <v>13</v>
      </c>
      <c r="T982" t="n">
        <v>5</v>
      </c>
      <c r="U982" t="n">
        <v>11</v>
      </c>
      <c r="V982" t="n">
        <v>46</v>
      </c>
      <c r="W982" t="n">
        <v>1147</v>
      </c>
    </row>
    <row r="983">
      <c r="A983" t="inlineStr">
        <is>
          <t>Pond's Men Pore Vacuum Foam+Scrub 90 ml - Pembersih Wajah Pria Anti Minyak</t>
        </is>
      </c>
      <c r="B983" t="inlineStr">
        <is>
          <t>Pond's</t>
        </is>
      </c>
      <c r="C983" t="inlineStr">
        <is>
          <t>14%</t>
        </is>
      </c>
      <c r="D983" t="n">
        <v>40600</v>
      </c>
      <c r="E983" t="n">
        <v>47300</v>
      </c>
      <c r="F983" t="n">
        <v>40600</v>
      </c>
      <c r="G983" t="n">
        <v>47300</v>
      </c>
      <c r="H983" t="n">
        <v>40600</v>
      </c>
      <c r="I983" t="n">
        <v>47300</v>
      </c>
      <c r="J983" t="b">
        <v>1</v>
      </c>
      <c r="K983" t="inlineStr">
        <is>
          <t>Unilever Indonesia Official Shop</t>
        </is>
      </c>
      <c r="L983" t="inlineStr">
        <is>
          <t>KOTA BEKASI</t>
        </is>
      </c>
      <c r="M983" t="n">
        <v>5456058513</v>
      </c>
      <c r="N983" t="n">
        <v>14318452</v>
      </c>
      <c r="O983">
        <f>HYPERLINK("https://shopee.co.id/api/v4/item/get?itemid=5456058513&amp;shopid=14318452", "Pond's Men Pore Vacuum Foam+Scrub 90 ml - Pembersih Wajah Pria Anti Minyak")</f>
        <v/>
      </c>
      <c r="P983" t="n">
        <v>101</v>
      </c>
      <c r="Q983" t="n">
        <v>250</v>
      </c>
      <c r="R983" t="n">
        <v>4.890495867768595</v>
      </c>
      <c r="S983" t="n">
        <v>7</v>
      </c>
      <c r="T983" t="n">
        <v>3</v>
      </c>
      <c r="U983" t="n">
        <v>14</v>
      </c>
      <c r="V983" t="n">
        <v>94</v>
      </c>
      <c r="W983" t="n">
        <v>1334</v>
      </c>
    </row>
    <row r="984">
      <c r="A984" t="inlineStr">
        <is>
          <t>Dove Shampo Perawatan Rambut Berkilau 290 Ml Twin Pack</t>
        </is>
      </c>
      <c r="B984" t="inlineStr">
        <is>
          <t>0</t>
        </is>
      </c>
      <c r="C984" t="inlineStr">
        <is>
          <t>1%</t>
        </is>
      </c>
      <c r="D984" t="n">
        <v>97700</v>
      </c>
      <c r="E984" t="n">
        <v>98600</v>
      </c>
      <c r="F984" t="n">
        <v>97700</v>
      </c>
      <c r="G984" t="n">
        <v>98600</v>
      </c>
      <c r="H984" t="n">
        <v>97700</v>
      </c>
      <c r="I984" t="n">
        <v>98600</v>
      </c>
      <c r="J984" t="b">
        <v>1</v>
      </c>
      <c r="K984" t="inlineStr">
        <is>
          <t>Unilever Indonesia Official Shop</t>
        </is>
      </c>
      <c r="L984" t="inlineStr">
        <is>
          <t>KOTA BEKASI</t>
        </is>
      </c>
      <c r="M984" t="n">
        <v>5731163978</v>
      </c>
      <c r="N984" t="n">
        <v>14318452</v>
      </c>
      <c r="O984">
        <f>HYPERLINK("https://shopee.co.id/api/v4/item/get?itemid=5731163978&amp;shopid=14318452", "Dove Shampo Perawatan Rambut Berkilau 290 Ml Twin Pack")</f>
        <v/>
      </c>
      <c r="P984" t="n">
        <v>61</v>
      </c>
      <c r="Q984" t="n">
        <v>247</v>
      </c>
      <c r="R984" t="n">
        <v>4.891451831750339</v>
      </c>
      <c r="S984" t="n">
        <v>8</v>
      </c>
      <c r="T984" t="n">
        <v>13</v>
      </c>
      <c r="U984" t="n">
        <v>24</v>
      </c>
      <c r="V984" t="n">
        <v>41</v>
      </c>
      <c r="W984" t="n">
        <v>1390</v>
      </c>
    </row>
    <row r="985">
      <c r="A985" t="inlineStr">
        <is>
          <t>Dove Shampoo Perawatan Rambut Rontok Berkurang 99% dengan Nutri Serum dan Dynazinc 70ml</t>
        </is>
      </c>
      <c r="B985" t="inlineStr"/>
      <c r="C985" t="inlineStr">
        <is>
          <t>1%</t>
        </is>
      </c>
      <c r="D985" t="n">
        <v>18800</v>
      </c>
      <c r="E985" t="n">
        <v>18900</v>
      </c>
      <c r="F985" t="n">
        <v>18800</v>
      </c>
      <c r="G985" t="n">
        <v>18900</v>
      </c>
      <c r="H985" t="n">
        <v>18800</v>
      </c>
      <c r="I985" t="n">
        <v>18900</v>
      </c>
      <c r="J985" t="b">
        <v>1</v>
      </c>
      <c r="K985" t="inlineStr">
        <is>
          <t>Unilever Indonesia Official Shop</t>
        </is>
      </c>
      <c r="L985" t="inlineStr">
        <is>
          <t>KOTA BEKASI</t>
        </is>
      </c>
      <c r="M985" t="n">
        <v>10401735413</v>
      </c>
      <c r="N985" t="n">
        <v>14318452</v>
      </c>
      <c r="O985">
        <f>HYPERLINK("https://shopee.co.id/api/v4/item/get?itemid=10401735413&amp;shopid=14318452", "Dove Shampoo Perawatan Rambut Rontok Berkurang 99% dengan Nutri Serum dan Dynazinc 70ml")</f>
        <v/>
      </c>
      <c r="P985" t="n">
        <v>308</v>
      </c>
      <c r="Q985" t="n">
        <v>627</v>
      </c>
      <c r="R985" t="n">
        <v>4.864754098360656</v>
      </c>
      <c r="S985" t="n">
        <v>10</v>
      </c>
      <c r="T985" t="n">
        <v>10</v>
      </c>
      <c r="U985" t="n">
        <v>37</v>
      </c>
      <c r="V985" t="n">
        <v>189</v>
      </c>
      <c r="W985" t="n">
        <v>2195</v>
      </c>
    </row>
    <row r="986">
      <c r="A986" t="inlineStr">
        <is>
          <t>Sunsilk Shampoo Soft &amp; Smooth Activ-Infusion with Argan Oil 320ml x3</t>
        </is>
      </c>
      <c r="B986" t="inlineStr">
        <is>
          <t>Sunsilk</t>
        </is>
      </c>
      <c r="C986" t="inlineStr">
        <is>
          <t>13%</t>
        </is>
      </c>
      <c r="D986" t="n">
        <v>124400</v>
      </c>
      <c r="E986" t="n">
        <v>143400</v>
      </c>
      <c r="F986" t="n">
        <v>124400</v>
      </c>
      <c r="G986" t="n">
        <v>143400</v>
      </c>
      <c r="H986" t="n">
        <v>124400</v>
      </c>
      <c r="I986" t="n">
        <v>143400</v>
      </c>
      <c r="J986" t="b">
        <v>1</v>
      </c>
      <c r="K986" t="inlineStr">
        <is>
          <t>Unilever Indonesia Official Shop</t>
        </is>
      </c>
      <c r="L986" t="inlineStr">
        <is>
          <t>KOTA BEKASI</t>
        </is>
      </c>
      <c r="M986" t="n">
        <v>7431739188</v>
      </c>
      <c r="N986" t="n">
        <v>14318452</v>
      </c>
      <c r="O986">
        <f>HYPERLINK("https://shopee.co.id/api/v4/item/get?itemid=7431739188&amp;shopid=14318452", "Sunsilk Shampoo Soft &amp; Smooth Activ-Infusion with Argan Oil 320ml x3")</f>
        <v/>
      </c>
      <c r="P986" t="n">
        <v>13</v>
      </c>
      <c r="Q986" t="n">
        <v>95</v>
      </c>
      <c r="R986" t="n">
        <v>4.759425493716337</v>
      </c>
      <c r="S986" t="n">
        <v>18</v>
      </c>
      <c r="T986" t="n">
        <v>5</v>
      </c>
      <c r="U986" t="n">
        <v>13</v>
      </c>
      <c r="V986" t="n">
        <v>21</v>
      </c>
      <c r="W986" t="n">
        <v>500</v>
      </c>
    </row>
    <row r="987">
      <c r="A987" t="inlineStr">
        <is>
          <t>Citra Glow Recipe Juicy Sheet Mask Activated Charcoal + Pomegranate 25g Twinpack</t>
        </is>
      </c>
      <c r="B987" t="inlineStr">
        <is>
          <t>0</t>
        </is>
      </c>
      <c r="C987" t="inlineStr">
        <is>
          <t>1%</t>
        </is>
      </c>
      <c r="D987" t="n">
        <v>35500</v>
      </c>
      <c r="E987" t="n">
        <v>35800</v>
      </c>
      <c r="F987" t="n">
        <v>35500</v>
      </c>
      <c r="G987" t="n">
        <v>35800</v>
      </c>
      <c r="H987" t="n">
        <v>35500</v>
      </c>
      <c r="I987" t="n">
        <v>35800</v>
      </c>
      <c r="J987" t="b">
        <v>1</v>
      </c>
      <c r="K987" t="inlineStr">
        <is>
          <t>Unilever Indonesia Official Shop</t>
        </is>
      </c>
      <c r="L987" t="inlineStr">
        <is>
          <t>KOTA BEKASI</t>
        </is>
      </c>
      <c r="M987" t="n">
        <v>3531066462</v>
      </c>
      <c r="N987" t="n">
        <v>14318452</v>
      </c>
      <c r="O987">
        <f>HYPERLINK("https://shopee.co.id/api/v4/item/get?itemid=3531066462&amp;shopid=14318452", "Citra Glow Recipe Juicy Sheet Mask Activated Charcoal + Pomegranate 25g Twinpack")</f>
        <v/>
      </c>
      <c r="P987" t="n">
        <v>9</v>
      </c>
      <c r="Q987" t="n">
        <v>110</v>
      </c>
      <c r="R987" t="n">
        <v>4.963157894736842</v>
      </c>
      <c r="S987" t="n">
        <v>0</v>
      </c>
      <c r="T987" t="n">
        <v>0</v>
      </c>
      <c r="U987" t="n">
        <v>1</v>
      </c>
      <c r="V987" t="n">
        <v>19</v>
      </c>
      <c r="W987" t="n">
        <v>550</v>
      </c>
    </row>
    <row r="988">
      <c r="A988" t="inlineStr">
        <is>
          <t>Lux Botanicals Sabun Mandi Cair Pump Body Wash Soft Rose With Vitamin C Essence 580Mlx2</t>
        </is>
      </c>
      <c r="B988" t="inlineStr">
        <is>
          <t>LUX</t>
        </is>
      </c>
      <c r="C988" t="inlineStr">
        <is>
          <t>22%</t>
        </is>
      </c>
      <c r="D988" t="n">
        <v>92800</v>
      </c>
      <c r="E988" t="n">
        <v>118300</v>
      </c>
      <c r="F988" t="n">
        <v>92800</v>
      </c>
      <c r="G988" t="n">
        <v>118300</v>
      </c>
      <c r="H988" t="n">
        <v>92800</v>
      </c>
      <c r="I988" t="n">
        <v>118300</v>
      </c>
      <c r="J988" t="b">
        <v>1</v>
      </c>
      <c r="K988" t="inlineStr">
        <is>
          <t>Unilever Indonesia Official Shop</t>
        </is>
      </c>
      <c r="L988" t="inlineStr">
        <is>
          <t>KOTA BALIKPAPAN</t>
        </is>
      </c>
      <c r="M988" t="n">
        <v>5331369475</v>
      </c>
      <c r="N988" t="n">
        <v>14318452</v>
      </c>
      <c r="O988">
        <f>HYPERLINK("https://shopee.co.id/api/v4/item/get?itemid=5331369475&amp;shopid=14318452", "Lux Botanicals Sabun Mandi Cair Pump Body Wash Soft Rose With Vitamin C Essence 580Mlx2")</f>
        <v/>
      </c>
      <c r="P988" t="n">
        <v>18</v>
      </c>
      <c r="Q988" t="n">
        <v>60</v>
      </c>
      <c r="R988" t="n">
        <v>4.881369426751593</v>
      </c>
      <c r="S988" t="n">
        <v>9</v>
      </c>
      <c r="T988" t="n">
        <v>1</v>
      </c>
      <c r="U988" t="n">
        <v>17</v>
      </c>
      <c r="V988" t="n">
        <v>76</v>
      </c>
      <c r="W988" t="n">
        <v>1153</v>
      </c>
    </row>
    <row r="989">
      <c r="A989" t="inlineStr">
        <is>
          <t>Jawara Saus Sambal Bawang Goreng Extra Hot Pouch 120 mL Twinpack</t>
        </is>
      </c>
      <c r="B989" t="inlineStr">
        <is>
          <t>Jawara</t>
        </is>
      </c>
      <c r="C989" t="inlineStr">
        <is>
          <t>8%</t>
        </is>
      </c>
      <c r="D989" t="n">
        <v>14300</v>
      </c>
      <c r="E989" t="n">
        <v>15600</v>
      </c>
      <c r="F989" t="n">
        <v>14300</v>
      </c>
      <c r="G989" t="n">
        <v>15600</v>
      </c>
      <c r="H989" t="n">
        <v>14300</v>
      </c>
      <c r="I989" t="n">
        <v>15600</v>
      </c>
      <c r="J989" t="b">
        <v>1</v>
      </c>
      <c r="K989" t="inlineStr">
        <is>
          <t>Unilever Indonesia Official Shop</t>
        </is>
      </c>
      <c r="L989" t="inlineStr">
        <is>
          <t>KOTA BEKASI</t>
        </is>
      </c>
      <c r="M989" t="n">
        <v>3931177517</v>
      </c>
      <c r="N989" t="n">
        <v>14318452</v>
      </c>
      <c r="O989">
        <f>HYPERLINK("https://shopee.co.id/api/v4/item/get?itemid=3931177517&amp;shopid=14318452", "Jawara Saus Sambal Bawang Goreng Extra Hot Pouch 120 mL Twinpack")</f>
        <v/>
      </c>
      <c r="P989" t="n">
        <v>31</v>
      </c>
      <c r="Q989" t="n">
        <v>447</v>
      </c>
      <c r="R989" t="n">
        <v>4.902189781021898</v>
      </c>
      <c r="S989" t="n">
        <v>0</v>
      </c>
      <c r="T989" t="n">
        <v>1</v>
      </c>
      <c r="U989" t="n">
        <v>7</v>
      </c>
      <c r="V989" t="n">
        <v>50</v>
      </c>
      <c r="W989" t="n">
        <v>627</v>
      </c>
    </row>
    <row r="990">
      <c r="A990" t="inlineStr">
        <is>
          <t>Vaseline Intensive Care Advanced Strength Lotion 200 ml Twin Pack</t>
        </is>
      </c>
      <c r="B990" t="inlineStr">
        <is>
          <t>0</t>
        </is>
      </c>
      <c r="C990" t="inlineStr">
        <is>
          <t>10%</t>
        </is>
      </c>
      <c r="D990" t="n">
        <v>83900</v>
      </c>
      <c r="E990" t="n">
        <v>93400</v>
      </c>
      <c r="F990" t="n">
        <v>83900</v>
      </c>
      <c r="G990" t="n">
        <v>93400</v>
      </c>
      <c r="H990" t="n">
        <v>83900</v>
      </c>
      <c r="I990" t="n">
        <v>93400</v>
      </c>
      <c r="J990" t="b">
        <v>1</v>
      </c>
      <c r="K990" t="inlineStr">
        <is>
          <t>Unilever Indonesia Official Shop</t>
        </is>
      </c>
      <c r="L990" t="inlineStr">
        <is>
          <t>KOTA BEKASI</t>
        </is>
      </c>
      <c r="M990" t="n">
        <v>6031820050</v>
      </c>
      <c r="N990" t="n">
        <v>14318452</v>
      </c>
      <c r="O990">
        <f>HYPERLINK("https://shopee.co.id/api/v4/item/get?itemid=6031820050&amp;shopid=14318452", "Vaseline Intensive Care Advanced Strength Lotion 200 ml Twin Pack")</f>
        <v/>
      </c>
      <c r="P990" t="n">
        <v>64</v>
      </c>
      <c r="Q990" t="n">
        <v>134</v>
      </c>
      <c r="R990" t="n">
        <v>4.902777777777778</v>
      </c>
      <c r="S990" t="n">
        <v>2</v>
      </c>
      <c r="T990" t="n">
        <v>3</v>
      </c>
      <c r="U990" t="n">
        <v>10</v>
      </c>
      <c r="V990" t="n">
        <v>33</v>
      </c>
      <c r="W990" t="n">
        <v>672</v>
      </c>
    </row>
    <row r="991">
      <c r="A991" t="inlineStr">
        <is>
          <t>Rexona Men Roll On Activ-Bright45 Ml - Twin Pack</t>
        </is>
      </c>
      <c r="B991" t="inlineStr">
        <is>
          <t>0</t>
        </is>
      </c>
      <c r="C991" t="inlineStr">
        <is>
          <t>1%</t>
        </is>
      </c>
      <c r="D991" t="n">
        <v>44100</v>
      </c>
      <c r="E991" t="n">
        <v>44500</v>
      </c>
      <c r="F991" t="n">
        <v>44100</v>
      </c>
      <c r="G991" t="n">
        <v>44500</v>
      </c>
      <c r="H991" t="n">
        <v>44100</v>
      </c>
      <c r="I991" t="n">
        <v>44500</v>
      </c>
      <c r="J991" t="b">
        <v>0</v>
      </c>
      <c r="K991" t="inlineStr">
        <is>
          <t>Unilever Indonesia Official Shop</t>
        </is>
      </c>
      <c r="L991" t="inlineStr">
        <is>
          <t>KOTA BEKASI</t>
        </is>
      </c>
      <c r="M991" t="n">
        <v>3379926741</v>
      </c>
      <c r="N991" t="n">
        <v>14318452</v>
      </c>
      <c r="O991">
        <f>HYPERLINK("https://shopee.co.id/api/v4/item/get?itemid=3379926741&amp;shopid=14318452", "Rexona Men Roll On Activ-Bright45 Ml - Twin Pack")</f>
        <v/>
      </c>
      <c r="P991" t="n">
        <v>85</v>
      </c>
      <c r="Q991" t="n">
        <v>126</v>
      </c>
      <c r="R991" t="n">
        <v>4.817771084337349</v>
      </c>
      <c r="S991" t="n">
        <v>13</v>
      </c>
      <c r="T991" t="n">
        <v>3</v>
      </c>
      <c r="U991" t="n">
        <v>11</v>
      </c>
      <c r="V991" t="n">
        <v>38</v>
      </c>
      <c r="W991" t="n">
        <v>599</v>
      </c>
    </row>
    <row r="992">
      <c r="A992" t="inlineStr">
        <is>
          <t>Citra Marine Collagen Gel Face Cleanser 90ml</t>
        </is>
      </c>
      <c r="B992" t="inlineStr"/>
      <c r="C992" t="inlineStr">
        <is>
          <t>30%</t>
        </is>
      </c>
      <c r="D992" t="n">
        <v>25700</v>
      </c>
      <c r="E992" t="n">
        <v>36800</v>
      </c>
      <c r="F992" t="n">
        <v>25700</v>
      </c>
      <c r="G992" t="n">
        <v>36800</v>
      </c>
      <c r="H992" t="n">
        <v>25700</v>
      </c>
      <c r="I992" t="n">
        <v>36800</v>
      </c>
      <c r="J992" t="b">
        <v>1</v>
      </c>
      <c r="K992" t="inlineStr">
        <is>
          <t>Unilever Indonesia Official Shop</t>
        </is>
      </c>
      <c r="L992" t="inlineStr">
        <is>
          <t>KOTA BEKASI</t>
        </is>
      </c>
      <c r="M992" t="n">
        <v>3377608131</v>
      </c>
      <c r="N992" t="n">
        <v>14318452</v>
      </c>
      <c r="O992">
        <f>HYPERLINK("https://shopee.co.id/api/v4/item/get?itemid=3377608131&amp;shopid=14318452", "Citra Marine Collagen Gel Face Cleanser 90ml")</f>
        <v/>
      </c>
      <c r="P992" t="n">
        <v>25</v>
      </c>
      <c r="Q992" t="n">
        <v>45</v>
      </c>
      <c r="R992" t="n">
        <v>4.890394088669951</v>
      </c>
      <c r="S992" t="n">
        <v>5</v>
      </c>
      <c r="T992" t="n">
        <v>0</v>
      </c>
      <c r="U992" t="n">
        <v>10</v>
      </c>
      <c r="V992" t="n">
        <v>49</v>
      </c>
      <c r="W992" t="n">
        <v>748</v>
      </c>
    </row>
    <row r="993">
      <c r="A993" t="inlineStr">
        <is>
          <t>Vaseline Tone Up Sun Cream 50 ml</t>
        </is>
      </c>
      <c r="B993" t="inlineStr"/>
      <c r="C993" t="inlineStr">
        <is>
          <t>21%</t>
        </is>
      </c>
      <c r="D993" t="n">
        <v>109800</v>
      </c>
      <c r="E993" t="n">
        <v>139000</v>
      </c>
      <c r="F993" t="n">
        <v>109800</v>
      </c>
      <c r="G993" t="n">
        <v>139000</v>
      </c>
      <c r="H993" t="n">
        <v>109800</v>
      </c>
      <c r="I993" t="n">
        <v>139000</v>
      </c>
      <c r="J993" t="b">
        <v>1</v>
      </c>
      <c r="K993" t="inlineStr">
        <is>
          <t>Unilever Indonesia Official Shop</t>
        </is>
      </c>
      <c r="L993" t="inlineStr">
        <is>
          <t>KOTA BEKASI</t>
        </is>
      </c>
      <c r="M993" t="n">
        <v>8805885708</v>
      </c>
      <c r="N993" t="n">
        <v>14318452</v>
      </c>
      <c r="O993">
        <f>HYPERLINK("https://shopee.co.id/api/v4/item/get?itemid=8805885708&amp;shopid=14318452", "Vaseline Tone Up Sun Cream 50 ml")</f>
        <v/>
      </c>
      <c r="P993" t="n">
        <v>42</v>
      </c>
      <c r="Q993" t="n">
        <v>93</v>
      </c>
      <c r="R993" t="n">
        <v>4.922222222222222</v>
      </c>
      <c r="S993" t="n">
        <v>1</v>
      </c>
      <c r="T993" t="n">
        <v>2</v>
      </c>
      <c r="U993" t="n">
        <v>3</v>
      </c>
      <c r="V993" t="n">
        <v>22</v>
      </c>
      <c r="W993" t="n">
        <v>423</v>
      </c>
    </row>
    <row r="994">
      <c r="A994" t="inlineStr">
        <is>
          <t>Clear Men Shampo Complete Care 160ML - TwinPack</t>
        </is>
      </c>
      <c r="B994" t="inlineStr">
        <is>
          <t>Clear</t>
        </is>
      </c>
      <c r="C994" t="inlineStr">
        <is>
          <t>15%</t>
        </is>
      </c>
      <c r="D994" t="n">
        <v>65800</v>
      </c>
      <c r="E994" t="n">
        <v>77300</v>
      </c>
      <c r="F994" t="n">
        <v>65800</v>
      </c>
      <c r="G994" t="n">
        <v>77300</v>
      </c>
      <c r="H994" t="n">
        <v>65800</v>
      </c>
      <c r="I994" t="n">
        <v>77300</v>
      </c>
      <c r="J994" t="b">
        <v>1</v>
      </c>
      <c r="K994" t="inlineStr">
        <is>
          <t>Unilever Indonesia Official Shop</t>
        </is>
      </c>
      <c r="L994" t="inlineStr">
        <is>
          <t>KOTA BEKASI</t>
        </is>
      </c>
      <c r="M994" t="n">
        <v>6430961477</v>
      </c>
      <c r="N994" t="n">
        <v>14318452</v>
      </c>
      <c r="O994">
        <f>HYPERLINK("https://shopee.co.id/api/v4/item/get?itemid=6430961477&amp;shopid=14318452", "Clear Men Shampo Complete Care 160ML - TwinPack")</f>
        <v/>
      </c>
      <c r="P994" t="n">
        <v>12</v>
      </c>
      <c r="Q994" t="n">
        <v>217</v>
      </c>
      <c r="R994" t="n">
        <v>4.919642857142857</v>
      </c>
      <c r="S994" t="n">
        <v>2</v>
      </c>
      <c r="T994" t="n">
        <v>1</v>
      </c>
      <c r="U994" t="n">
        <v>4</v>
      </c>
      <c r="V994" t="n">
        <v>8</v>
      </c>
      <c r="W994" t="n">
        <v>321</v>
      </c>
    </row>
    <row r="995">
      <c r="A995" t="inlineStr">
        <is>
          <t>LUX Botanicals White Freesia &amp; Tea Tree Body Mist</t>
        </is>
      </c>
      <c r="B995" t="inlineStr"/>
      <c r="C995" t="inlineStr">
        <is>
          <t>1%</t>
        </is>
      </c>
      <c r="D995" t="n">
        <v>39600</v>
      </c>
      <c r="E995" t="n">
        <v>40000</v>
      </c>
      <c r="F995" t="n">
        <v>39600</v>
      </c>
      <c r="G995" t="n">
        <v>40000</v>
      </c>
      <c r="H995" t="n">
        <v>39600</v>
      </c>
      <c r="I995" t="n">
        <v>40000</v>
      </c>
      <c r="J995" t="b">
        <v>1</v>
      </c>
      <c r="K995" t="inlineStr">
        <is>
          <t>Unilever Indonesia Official Shop</t>
        </is>
      </c>
      <c r="L995" t="inlineStr">
        <is>
          <t>KOTA BEKASI</t>
        </is>
      </c>
      <c r="M995" t="n">
        <v>9314553520</v>
      </c>
      <c r="N995" t="n">
        <v>14318452</v>
      </c>
      <c r="O995">
        <f>HYPERLINK("https://shopee.co.id/api/v4/item/get?itemid=9314553520&amp;shopid=14318452", "LUX Botanicals White Freesia &amp; Tea Tree Body Mist")</f>
        <v/>
      </c>
      <c r="P995" t="n">
        <v>58</v>
      </c>
      <c r="Q995" t="n">
        <v>143</v>
      </c>
      <c r="R995" t="n">
        <v>4.861074123391035</v>
      </c>
      <c r="S995" t="n">
        <v>9</v>
      </c>
      <c r="T995" t="n">
        <v>6</v>
      </c>
      <c r="U995" t="n">
        <v>48</v>
      </c>
      <c r="V995" t="n">
        <v>163</v>
      </c>
      <c r="W995" t="n">
        <v>2027</v>
      </c>
    </row>
    <row r="996">
      <c r="A996" t="inlineStr">
        <is>
          <t>Ponds Men Facial Scrub Lightning Oil Clear 50 gr</t>
        </is>
      </c>
      <c r="B996" t="inlineStr">
        <is>
          <t>0</t>
        </is>
      </c>
      <c r="C996" t="inlineStr">
        <is>
          <t>11%</t>
        </is>
      </c>
      <c r="D996" t="n">
        <v>28100</v>
      </c>
      <c r="E996" t="n">
        <v>31400</v>
      </c>
      <c r="F996" t="n">
        <v>28100</v>
      </c>
      <c r="G996" t="n">
        <v>31400</v>
      </c>
      <c r="H996" t="n">
        <v>28100</v>
      </c>
      <c r="I996" t="n">
        <v>31400</v>
      </c>
      <c r="J996" t="b">
        <v>1</v>
      </c>
      <c r="K996" t="inlineStr">
        <is>
          <t>Unilever Indonesia Official Shop</t>
        </is>
      </c>
      <c r="L996" t="inlineStr">
        <is>
          <t>KOTA BEKASI</t>
        </is>
      </c>
      <c r="M996" t="n">
        <v>2364537172</v>
      </c>
      <c r="N996" t="n">
        <v>14318452</v>
      </c>
      <c r="O996">
        <f>HYPERLINK("https://shopee.co.id/api/v4/item/get?itemid=2364537172&amp;shopid=14318452", "Ponds Men Facial Scrub Lightning Oil Clear 50 gr")</f>
        <v/>
      </c>
      <c r="P996" t="n">
        <v>84</v>
      </c>
      <c r="Q996" t="n">
        <v>257</v>
      </c>
      <c r="R996" t="n">
        <v>4.833202202989772</v>
      </c>
      <c r="S996" t="n">
        <v>14</v>
      </c>
      <c r="T996" t="n">
        <v>12</v>
      </c>
      <c r="U996" t="n">
        <v>55</v>
      </c>
      <c r="V996" t="n">
        <v>228</v>
      </c>
      <c r="W996" t="n">
        <v>2235</v>
      </c>
    </row>
    <row r="997">
      <c r="A997" t="inlineStr">
        <is>
          <t>St Ives Soothing Oatmeal &amp; Shea Butter Hand Cream 30 ml</t>
        </is>
      </c>
      <c r="B997" t="inlineStr"/>
      <c r="C997" t="inlineStr">
        <is>
          <t>8%</t>
        </is>
      </c>
      <c r="D997" t="n">
        <v>55500</v>
      </c>
      <c r="E997" t="n">
        <v>60000</v>
      </c>
      <c r="F997" t="n">
        <v>55500</v>
      </c>
      <c r="G997" t="n">
        <v>60000</v>
      </c>
      <c r="H997" t="n">
        <v>55500</v>
      </c>
      <c r="I997" t="n">
        <v>60000</v>
      </c>
      <c r="J997" t="b">
        <v>1</v>
      </c>
      <c r="K997" t="inlineStr">
        <is>
          <t>Unilever Indonesia Official Shop</t>
        </is>
      </c>
      <c r="L997" t="inlineStr">
        <is>
          <t>KAB. BANYUASIN</t>
        </is>
      </c>
      <c r="M997" t="n">
        <v>5950171274</v>
      </c>
      <c r="N997" t="n">
        <v>14318452</v>
      </c>
      <c r="O997">
        <f>HYPERLINK("https://shopee.co.id/api/v4/item/get?itemid=5950171274&amp;shopid=14318452", "St Ives Soothing Oatmeal &amp; Shea Butter Hand Cream 30 ml")</f>
        <v/>
      </c>
      <c r="P997" t="n">
        <v>38</v>
      </c>
      <c r="Q997" t="n">
        <v>32</v>
      </c>
      <c r="R997" t="n">
        <v>4.875693673695894</v>
      </c>
      <c r="S997" t="n">
        <v>4</v>
      </c>
      <c r="T997" t="n">
        <v>3</v>
      </c>
      <c r="U997" t="n">
        <v>14</v>
      </c>
      <c r="V997" t="n">
        <v>59</v>
      </c>
      <c r="W997" t="n">
        <v>821</v>
      </c>
    </row>
    <row r="998">
      <c r="A998" t="inlineStr">
        <is>
          <t>Rinso Deterjen Bubuk Anti Noda Classic Fresh 1.2Kg Twinpack</t>
        </is>
      </c>
      <c r="B998" t="inlineStr">
        <is>
          <t>0</t>
        </is>
      </c>
      <c r="C998" t="inlineStr">
        <is>
          <t>14%</t>
        </is>
      </c>
      <c r="D998" t="n">
        <v>78200</v>
      </c>
      <c r="E998" t="n">
        <v>91400</v>
      </c>
      <c r="F998" t="n">
        <v>78200</v>
      </c>
      <c r="G998" t="n">
        <v>91400</v>
      </c>
      <c r="H998" t="n">
        <v>78200</v>
      </c>
      <c r="I998" t="n">
        <v>91400</v>
      </c>
      <c r="J998" t="b">
        <v>1</v>
      </c>
      <c r="K998" t="inlineStr">
        <is>
          <t>Unilever Indonesia Official Shop</t>
        </is>
      </c>
      <c r="L998" t="inlineStr">
        <is>
          <t>KOTA BEKASI</t>
        </is>
      </c>
      <c r="M998" t="n">
        <v>3558466415</v>
      </c>
      <c r="N998" t="n">
        <v>14318452</v>
      </c>
      <c r="O998">
        <f>HYPERLINK("https://shopee.co.id/api/v4/item/get?itemid=3558466415&amp;shopid=14318452", "Rinso Deterjen Bubuk Anti Noda Classic Fresh 1.2Kg Twinpack")</f>
        <v/>
      </c>
      <c r="P998" t="n">
        <v>15</v>
      </c>
      <c r="Q998" t="n">
        <v>253</v>
      </c>
      <c r="R998" t="n">
        <v>4.901907356948229</v>
      </c>
      <c r="S998" t="n">
        <v>2</v>
      </c>
      <c r="T998" t="n">
        <v>4</v>
      </c>
      <c r="U998" t="n">
        <v>11</v>
      </c>
      <c r="V998" t="n">
        <v>34</v>
      </c>
      <c r="W998" t="n">
        <v>684</v>
      </c>
    </row>
    <row r="999">
      <c r="A999" t="inlineStr">
        <is>
          <t>Lifebuoy Sabun Mandi Cair Mild Care Pump 500 ml Twin Pack</t>
        </is>
      </c>
      <c r="B999" t="inlineStr">
        <is>
          <t>Lifebuoy</t>
        </is>
      </c>
      <c r="C999" t="inlineStr">
        <is>
          <t>18%</t>
        </is>
      </c>
      <c r="D999" t="n">
        <v>99300</v>
      </c>
      <c r="E999" t="n">
        <v>121100</v>
      </c>
      <c r="F999" t="n">
        <v>99300</v>
      </c>
      <c r="G999" t="n">
        <v>121100</v>
      </c>
      <c r="H999" t="n">
        <v>99300</v>
      </c>
      <c r="I999" t="n">
        <v>121100</v>
      </c>
      <c r="J999" t="b">
        <v>1</v>
      </c>
      <c r="K999" t="inlineStr">
        <is>
          <t>Unilever Indonesia Official Shop</t>
        </is>
      </c>
      <c r="L999" t="inlineStr">
        <is>
          <t>KOTA BEKASI</t>
        </is>
      </c>
      <c r="M999" t="n">
        <v>6831326824</v>
      </c>
      <c r="N999" t="n">
        <v>14318452</v>
      </c>
      <c r="O999">
        <f>HYPERLINK("https://shopee.co.id/api/v4/item/get?itemid=6831326824&amp;shopid=14318452", "Lifebuoy Sabun Mandi Cair Mild Care Pump 500 ml Twin Pack")</f>
        <v/>
      </c>
      <c r="P999" t="n">
        <v>16</v>
      </c>
      <c r="Q999" t="n">
        <v>143</v>
      </c>
      <c r="R999" t="n">
        <v>4.855203619909502</v>
      </c>
      <c r="S999" t="n">
        <v>11</v>
      </c>
      <c r="T999" t="n">
        <v>6</v>
      </c>
      <c r="U999" t="n">
        <v>21</v>
      </c>
      <c r="V999" t="n">
        <v>63</v>
      </c>
      <c r="W999" t="n">
        <v>1006</v>
      </c>
    </row>
    <row r="1000">
      <c r="A1000" t="inlineStr">
        <is>
          <t>Dove Shampoo Nutritive Solution Total Damage Treatment 680 ml Twin Pack</t>
        </is>
      </c>
      <c r="B1000" t="inlineStr">
        <is>
          <t>0</t>
        </is>
      </c>
      <c r="C1000" t="inlineStr">
        <is>
          <t>3%</t>
        </is>
      </c>
      <c r="D1000" t="n">
        <v>181800</v>
      </c>
      <c r="E1000" t="n">
        <v>186600</v>
      </c>
      <c r="F1000" t="n">
        <v>181800</v>
      </c>
      <c r="G1000" t="n">
        <v>186600</v>
      </c>
      <c r="H1000" t="n">
        <v>181800</v>
      </c>
      <c r="I1000" t="n">
        <v>186600</v>
      </c>
      <c r="J1000" t="b">
        <v>1</v>
      </c>
      <c r="K1000" t="inlineStr">
        <is>
          <t>Unilever Indonesia Official Shop</t>
        </is>
      </c>
      <c r="L1000" t="inlineStr">
        <is>
          <t>KOTA BEKASI</t>
        </is>
      </c>
      <c r="M1000" t="n">
        <v>3831182683</v>
      </c>
      <c r="N1000" t="n">
        <v>14318452</v>
      </c>
      <c r="O1000">
        <f>HYPERLINK("https://shopee.co.id/api/v4/item/get?itemid=3831182683&amp;shopid=14318452", "Dove Shampoo Nutritive Solution Total Damage Treatment 680 ml Twin Pack")</f>
        <v/>
      </c>
      <c r="P1000" t="n">
        <v>62</v>
      </c>
      <c r="Q1000" t="n">
        <v>659</v>
      </c>
      <c r="R1000" t="n">
        <v>4.878279883381924</v>
      </c>
      <c r="S1000" t="n">
        <v>8</v>
      </c>
      <c r="T1000" t="n">
        <v>11</v>
      </c>
      <c r="U1000" t="n">
        <v>12</v>
      </c>
      <c r="V1000" t="n">
        <v>88</v>
      </c>
      <c r="W1000" t="n">
        <v>1256</v>
      </c>
    </row>
    <row r="1001">
      <c r="A1001" t="inlineStr">
        <is>
          <t>Clear Men Shampo Complete Care 320 ml - TwinPack</t>
        </is>
      </c>
      <c r="B1001" t="inlineStr">
        <is>
          <t>Clear</t>
        </is>
      </c>
      <c r="C1001" t="inlineStr">
        <is>
          <t>15%</t>
        </is>
      </c>
      <c r="D1001" t="n">
        <v>119400</v>
      </c>
      <c r="E1001" t="n">
        <v>139800</v>
      </c>
      <c r="F1001" t="n">
        <v>119400</v>
      </c>
      <c r="G1001" t="n">
        <v>139800</v>
      </c>
      <c r="H1001" t="n">
        <v>119400</v>
      </c>
      <c r="I1001" t="n">
        <v>139800</v>
      </c>
      <c r="J1001" t="b">
        <v>1</v>
      </c>
      <c r="K1001" t="inlineStr">
        <is>
          <t>Unilever Indonesia Official Shop</t>
        </is>
      </c>
      <c r="L1001" t="inlineStr">
        <is>
          <t>KOTA BEKASI</t>
        </is>
      </c>
      <c r="M1001" t="n">
        <v>3731158266</v>
      </c>
      <c r="N1001" t="n">
        <v>14318452</v>
      </c>
      <c r="O1001">
        <f>HYPERLINK("https://shopee.co.id/api/v4/item/get?itemid=3731158266&amp;shopid=14318452", "Clear Men Shampo Complete Care 320 ml - TwinPack")</f>
        <v/>
      </c>
      <c r="P1001" t="n">
        <v>57</v>
      </c>
      <c r="Q1001" t="n">
        <v>154</v>
      </c>
      <c r="R1001" t="n">
        <v>4.859583952451708</v>
      </c>
      <c r="S1001" t="n">
        <v>20</v>
      </c>
      <c r="T1001" t="n">
        <v>7</v>
      </c>
      <c r="U1001" t="n">
        <v>22</v>
      </c>
      <c r="V1001" t="n">
        <v>54</v>
      </c>
      <c r="W1001" t="n">
        <v>1246</v>
      </c>
    </row>
    <row r="1002">
      <c r="A1002" t="inlineStr">
        <is>
          <t>Vaseline Men Healthy Bright Face Wash 100 gr Twin Pack</t>
        </is>
      </c>
      <c r="B1002" t="inlineStr">
        <is>
          <t>0</t>
        </is>
      </c>
      <c r="C1002" t="inlineStr">
        <is>
          <t>4%</t>
        </is>
      </c>
      <c r="D1002" t="n">
        <v>75300</v>
      </c>
      <c r="E1002" t="n">
        <v>78800</v>
      </c>
      <c r="F1002" t="n">
        <v>75300</v>
      </c>
      <c r="G1002" t="n">
        <v>78800</v>
      </c>
      <c r="H1002" t="n">
        <v>75300</v>
      </c>
      <c r="I1002" t="n">
        <v>78800</v>
      </c>
      <c r="J1002" t="b">
        <v>1</v>
      </c>
      <c r="K1002" t="inlineStr">
        <is>
          <t>Unilever Indonesia Official Shop</t>
        </is>
      </c>
      <c r="L1002" t="inlineStr">
        <is>
          <t>KOTA BEKASI</t>
        </is>
      </c>
      <c r="M1002" t="n">
        <v>3331816250</v>
      </c>
      <c r="N1002" t="n">
        <v>14318452</v>
      </c>
      <c r="O1002">
        <f>HYPERLINK("https://shopee.co.id/api/v4/item/get?itemid=3331816250&amp;shopid=14318452", "Vaseline Men Healthy Bright Face Wash 100 gr Twin Pack")</f>
        <v/>
      </c>
      <c r="P1002" t="n">
        <v>239</v>
      </c>
      <c r="Q1002" t="n">
        <v>729</v>
      </c>
      <c r="R1002" t="n">
        <v>4.83983286908078</v>
      </c>
      <c r="S1002" t="n">
        <v>46</v>
      </c>
      <c r="T1002" t="n">
        <v>16</v>
      </c>
      <c r="U1002" t="n">
        <v>64</v>
      </c>
      <c r="V1002" t="n">
        <v>221</v>
      </c>
      <c r="W1002" t="n">
        <v>3245</v>
      </c>
    </row>
    <row r="1003">
      <c r="A1003" t="inlineStr">
        <is>
          <t>Dove Shampoo Perawatan Rambut Rontok Berkurang 99% dengan Nutri Serum dan Dynazinc 680ml x3</t>
        </is>
      </c>
      <c r="B1003" t="inlineStr">
        <is>
          <t>Dove</t>
        </is>
      </c>
      <c r="C1003" t="inlineStr">
        <is>
          <t>3%</t>
        </is>
      </c>
      <c r="D1003" t="n">
        <v>272700</v>
      </c>
      <c r="E1003" t="n">
        <v>279900</v>
      </c>
      <c r="F1003" t="n">
        <v>272700</v>
      </c>
      <c r="G1003" t="n">
        <v>279900</v>
      </c>
      <c r="H1003" t="n">
        <v>272700</v>
      </c>
      <c r="I1003" t="n">
        <v>279900</v>
      </c>
      <c r="J1003" t="b">
        <v>1</v>
      </c>
      <c r="K1003" t="inlineStr">
        <is>
          <t>Unilever Indonesia Official Shop</t>
        </is>
      </c>
      <c r="L1003" t="inlineStr">
        <is>
          <t>KOTA BEKASI</t>
        </is>
      </c>
      <c r="M1003" t="n">
        <v>6231696372</v>
      </c>
      <c r="N1003" t="n">
        <v>14318452</v>
      </c>
      <c r="O1003">
        <f>HYPERLINK("https://shopee.co.id/api/v4/item/get?itemid=6231696372&amp;shopid=14318452", "Dove Shampoo Perawatan Rambut Rontok Berkurang 99% dengan Nutri Serum dan Dynazinc 680ml x3")</f>
        <v/>
      </c>
      <c r="P1003" t="n">
        <v>67</v>
      </c>
      <c r="Q1003" t="n">
        <v>759</v>
      </c>
      <c r="R1003" t="n">
        <v>4.868330885952031</v>
      </c>
      <c r="S1003" t="n">
        <v>18</v>
      </c>
      <c r="T1003" t="n">
        <v>11</v>
      </c>
      <c r="U1003" t="n">
        <v>32</v>
      </c>
      <c r="V1003" t="n">
        <v>108</v>
      </c>
      <c r="W1003" t="n">
        <v>1876</v>
      </c>
    </row>
    <row r="1004">
      <c r="A1004" t="inlineStr">
        <is>
          <t>Dove Shampoo Perawatan Rambut Rontok berkurang 99% dengan Nutri Serum dan Dynazinc 290ml x3</t>
        </is>
      </c>
      <c r="B1004" t="inlineStr">
        <is>
          <t>0</t>
        </is>
      </c>
      <c r="C1004" t="inlineStr">
        <is>
          <t>1%</t>
        </is>
      </c>
      <c r="D1004" t="n">
        <v>160300</v>
      </c>
      <c r="E1004" t="n">
        <v>161900</v>
      </c>
      <c r="F1004" t="n">
        <v>160300</v>
      </c>
      <c r="G1004" t="n">
        <v>161900</v>
      </c>
      <c r="H1004" t="n">
        <v>160300</v>
      </c>
      <c r="I1004" t="n">
        <v>161900</v>
      </c>
      <c r="J1004" t="b">
        <v>1</v>
      </c>
      <c r="K1004" t="inlineStr">
        <is>
          <t>Unilever Indonesia Official Shop</t>
        </is>
      </c>
      <c r="L1004" t="inlineStr">
        <is>
          <t>KOTA BEKASI</t>
        </is>
      </c>
      <c r="M1004" t="n">
        <v>5631063650</v>
      </c>
      <c r="N1004" t="n">
        <v>14318452</v>
      </c>
      <c r="O1004">
        <f>HYPERLINK("https://shopee.co.id/api/v4/item/get?itemid=5631063650&amp;shopid=14318452", "Dove Shampoo Perawatan Rambut Rontok berkurang 99% dengan Nutri Serum dan Dynazinc 290ml x3")</f>
        <v/>
      </c>
      <c r="P1004" t="n">
        <v>17</v>
      </c>
      <c r="Q1004" t="n">
        <v>306</v>
      </c>
      <c r="R1004" t="n">
        <v>4.888020833333333</v>
      </c>
      <c r="S1004" t="n">
        <v>13</v>
      </c>
      <c r="T1004" t="n">
        <v>7</v>
      </c>
      <c r="U1004" t="n">
        <v>16</v>
      </c>
      <c r="V1004" t="n">
        <v>27</v>
      </c>
      <c r="W1004" t="n">
        <v>1090</v>
      </c>
    </row>
    <row r="1005">
      <c r="A1005" t="inlineStr">
        <is>
          <t xml:space="preserve">Ponds Age Miracle Serum Sheet Mask Anti Aging 25 gr x 3 pcs </t>
        </is>
      </c>
      <c r="B1005" t="inlineStr">
        <is>
          <t>Pond's</t>
        </is>
      </c>
      <c r="C1005" t="inlineStr">
        <is>
          <t>20%</t>
        </is>
      </c>
      <c r="D1005" t="n">
        <v>65100</v>
      </c>
      <c r="E1005" t="n">
        <v>81500</v>
      </c>
      <c r="F1005" t="n">
        <v>65100</v>
      </c>
      <c r="G1005" t="n">
        <v>81500</v>
      </c>
      <c r="H1005" t="n">
        <v>65100</v>
      </c>
      <c r="I1005" t="n">
        <v>81500</v>
      </c>
      <c r="J1005" t="b">
        <v>1</v>
      </c>
      <c r="K1005" t="inlineStr">
        <is>
          <t>Unilever Indonesia Official Shop</t>
        </is>
      </c>
      <c r="L1005" t="inlineStr">
        <is>
          <t>KOTA BEKASI</t>
        </is>
      </c>
      <c r="M1005" t="n">
        <v>8722399043</v>
      </c>
      <c r="N1005" t="n">
        <v>14318452</v>
      </c>
      <c r="O1005">
        <f>HYPERLINK("https://shopee.co.id/api/v4/item/get?itemid=8722399043&amp;shopid=14318452", "Ponds Age Miracle Serum Sheet Mask Anti Aging 25 gr x 3 pcs ")</f>
        <v/>
      </c>
      <c r="P1005" t="n">
        <v>22</v>
      </c>
      <c r="Q1005" t="n">
        <v>888</v>
      </c>
      <c r="R1005" t="n">
        <v>4.944654088050314</v>
      </c>
      <c r="S1005" t="n">
        <v>2</v>
      </c>
      <c r="T1005" t="n">
        <v>1</v>
      </c>
      <c r="U1005" t="n">
        <v>3</v>
      </c>
      <c r="V1005" t="n">
        <v>27</v>
      </c>
      <c r="W1005" t="n">
        <v>762</v>
      </c>
    </row>
    <row r="1006">
      <c r="A1006" t="inlineStr">
        <is>
          <t>Ponds Men Bright Boost Face Scrub 50G</t>
        </is>
      </c>
      <c r="B1006" t="inlineStr">
        <is>
          <t>0</t>
        </is>
      </c>
      <c r="C1006" t="inlineStr">
        <is>
          <t>11%</t>
        </is>
      </c>
      <c r="D1006" t="n">
        <v>28100</v>
      </c>
      <c r="E1006" t="n">
        <v>31400</v>
      </c>
      <c r="F1006" t="n">
        <v>28100</v>
      </c>
      <c r="G1006" t="n">
        <v>31400</v>
      </c>
      <c r="H1006" t="n">
        <v>28100</v>
      </c>
      <c r="I1006" t="n">
        <v>31400</v>
      </c>
      <c r="J1006" t="b">
        <v>1</v>
      </c>
      <c r="K1006" t="inlineStr">
        <is>
          <t>Unilever Indonesia Official Shop</t>
        </is>
      </c>
      <c r="L1006" t="inlineStr">
        <is>
          <t>KOTA BEKASI</t>
        </is>
      </c>
      <c r="M1006" t="n">
        <v>2364537098</v>
      </c>
      <c r="N1006" t="n">
        <v>14318452</v>
      </c>
      <c r="O1006">
        <f>HYPERLINK("https://shopee.co.id/api/v4/item/get?itemid=2364537098&amp;shopid=14318452", "Ponds Men Bright Boost Face Scrub 50G")</f>
        <v/>
      </c>
      <c r="P1006" t="n">
        <v>76</v>
      </c>
      <c r="Q1006" t="n">
        <v>284</v>
      </c>
      <c r="R1006" t="n">
        <v>4.851171875</v>
      </c>
      <c r="S1006" t="n">
        <v>15</v>
      </c>
      <c r="T1006" t="n">
        <v>6</v>
      </c>
      <c r="U1006" t="n">
        <v>43</v>
      </c>
      <c r="V1006" t="n">
        <v>221</v>
      </c>
      <c r="W1006" t="n">
        <v>2276</v>
      </c>
    </row>
    <row r="1007">
      <c r="A1007" t="inlineStr">
        <is>
          <t>Tresemme Shampoo Scalp Care 340ml Multi Pack</t>
        </is>
      </c>
      <c r="B1007" t="inlineStr">
        <is>
          <t>Tresemme</t>
        </is>
      </c>
      <c r="C1007" t="inlineStr">
        <is>
          <t>21%</t>
        </is>
      </c>
      <c r="D1007" t="n">
        <v>174000</v>
      </c>
      <c r="E1007" t="n">
        <v>219600</v>
      </c>
      <c r="F1007" t="n">
        <v>174000</v>
      </c>
      <c r="G1007" t="n">
        <v>219600</v>
      </c>
      <c r="H1007" t="n">
        <v>174000</v>
      </c>
      <c r="I1007" t="n">
        <v>219600</v>
      </c>
      <c r="J1007" t="b">
        <v>1</v>
      </c>
      <c r="K1007" t="inlineStr">
        <is>
          <t>Unilever Indonesia Official Shop</t>
        </is>
      </c>
      <c r="L1007" t="inlineStr">
        <is>
          <t>KOTA BEKASI</t>
        </is>
      </c>
      <c r="M1007" t="n">
        <v>6831736452</v>
      </c>
      <c r="N1007" t="n">
        <v>14318452</v>
      </c>
      <c r="O1007">
        <f>HYPERLINK("https://shopee.co.id/api/v4/item/get?itemid=6831736452&amp;shopid=14318452", "Tresemme Shampoo Scalp Care 340ml Multi Pack")</f>
        <v/>
      </c>
      <c r="P1007" t="n">
        <v>29</v>
      </c>
      <c r="Q1007" t="n">
        <v>452</v>
      </c>
      <c r="R1007" t="n">
        <v>4.844707520891365</v>
      </c>
      <c r="S1007" t="n">
        <v>15</v>
      </c>
      <c r="T1007" t="n">
        <v>12</v>
      </c>
      <c r="U1007" t="n">
        <v>25</v>
      </c>
      <c r="V1007" t="n">
        <v>87</v>
      </c>
      <c r="W1007" t="n">
        <v>1300</v>
      </c>
    </row>
    <row r="1008">
      <c r="A1008" t="inlineStr">
        <is>
          <t>Ponds Men Bright Blast Face Sheet Mask 20G Spiderman Edition</t>
        </is>
      </c>
      <c r="B1008" t="inlineStr">
        <is>
          <t>None</t>
        </is>
      </c>
      <c r="C1008" t="inlineStr">
        <is>
          <t>5%</t>
        </is>
      </c>
      <c r="D1008" t="n">
        <v>19100</v>
      </c>
      <c r="E1008" t="n">
        <v>20000</v>
      </c>
      <c r="F1008" t="n">
        <v>19100</v>
      </c>
      <c r="G1008" t="n">
        <v>20000</v>
      </c>
      <c r="H1008" t="n">
        <v>19100</v>
      </c>
      <c r="I1008" t="n">
        <v>20000</v>
      </c>
      <c r="J1008" t="b">
        <v>1</v>
      </c>
      <c r="K1008" t="inlineStr">
        <is>
          <t>Unilever Indonesia Official Shop</t>
        </is>
      </c>
      <c r="L1008" t="inlineStr">
        <is>
          <t>KOTA BEKASI</t>
        </is>
      </c>
      <c r="M1008" t="n">
        <v>12006473653</v>
      </c>
      <c r="N1008" t="n">
        <v>14318452</v>
      </c>
      <c r="O1008">
        <f>HYPERLINK("https://shopee.co.id/api/v4/item/get?itemid=12006473653&amp;shopid=14318452", "Ponds Men Bright Blast Face Sheet Mask 20G Spiderman Edition")</f>
        <v/>
      </c>
      <c r="P1008" t="n">
        <v>3</v>
      </c>
      <c r="Q1008" t="n">
        <v>10</v>
      </c>
      <c r="R1008" t="n">
        <v>4.924398625429554</v>
      </c>
      <c r="S1008" t="n">
        <v>0</v>
      </c>
      <c r="T1008" t="n">
        <v>1</v>
      </c>
      <c r="U1008" t="n">
        <v>3</v>
      </c>
      <c r="V1008" t="n">
        <v>13</v>
      </c>
      <c r="W1008" t="n">
        <v>274</v>
      </c>
    </row>
    <row r="1009">
      <c r="A1009" t="inlineStr">
        <is>
          <t>Vaseline Healthy Bright Sun + Pollution Protection Lotion SPF 24 PA++ 200 ml Twin Pack</t>
        </is>
      </c>
      <c r="B1009" t="inlineStr">
        <is>
          <t>Vaseline</t>
        </is>
      </c>
      <c r="C1009" t="inlineStr">
        <is>
          <t>10%</t>
        </is>
      </c>
      <c r="D1009" t="n">
        <v>83900</v>
      </c>
      <c r="E1009" t="n">
        <v>93400</v>
      </c>
      <c r="F1009" t="n">
        <v>83900</v>
      </c>
      <c r="G1009" t="n">
        <v>93400</v>
      </c>
      <c r="H1009" t="n">
        <v>83900</v>
      </c>
      <c r="I1009" t="n">
        <v>93400</v>
      </c>
      <c r="J1009" t="b">
        <v>1</v>
      </c>
      <c r="K1009" t="inlineStr">
        <is>
          <t>Unilever Indonesia Official Shop</t>
        </is>
      </c>
      <c r="L1009" t="inlineStr">
        <is>
          <t>KOTA SEMARANG</t>
        </is>
      </c>
      <c r="M1009" t="n">
        <v>5531724348</v>
      </c>
      <c r="N1009" t="n">
        <v>14318452</v>
      </c>
      <c r="O1009">
        <f>HYPERLINK("https://shopee.co.id/api/v4/item/get?itemid=5531724348&amp;shopid=14318452", "Vaseline Healthy Bright Sun + Pollution Protection Lotion SPF 24 PA++ 200 ml Twin Pack")</f>
        <v/>
      </c>
      <c r="P1009" t="n">
        <v>40</v>
      </c>
      <c r="Q1009" t="n">
        <v>110</v>
      </c>
      <c r="R1009" t="n">
        <v>4.86646884272997</v>
      </c>
      <c r="S1009" t="n">
        <v>4</v>
      </c>
      <c r="T1009" t="n">
        <v>1</v>
      </c>
      <c r="U1009" t="n">
        <v>9</v>
      </c>
      <c r="V1009" t="n">
        <v>53</v>
      </c>
      <c r="W1009" t="n">
        <v>607</v>
      </c>
    </row>
    <row r="1010">
      <c r="A1010" t="inlineStr">
        <is>
          <t>Buavita Orange 250ml Twin Pack</t>
        </is>
      </c>
      <c r="B1010" t="inlineStr">
        <is>
          <t>0</t>
        </is>
      </c>
      <c r="C1010" t="inlineStr">
        <is>
          <t>25%</t>
        </is>
      </c>
      <c r="D1010" t="n">
        <v>10900</v>
      </c>
      <c r="E1010" t="n">
        <v>14500</v>
      </c>
      <c r="F1010" t="n">
        <v>10900</v>
      </c>
      <c r="G1010" t="n">
        <v>14500</v>
      </c>
      <c r="H1010" t="n">
        <v>10900</v>
      </c>
      <c r="I1010" t="n">
        <v>14500</v>
      </c>
      <c r="J1010" t="b">
        <v>1</v>
      </c>
      <c r="K1010" t="inlineStr">
        <is>
          <t>Unilever Indonesia Official Shop</t>
        </is>
      </c>
      <c r="L1010" t="inlineStr">
        <is>
          <t>KOTA SEMARANG</t>
        </is>
      </c>
      <c r="M1010" t="n">
        <v>6031719467</v>
      </c>
      <c r="N1010" t="n">
        <v>14318452</v>
      </c>
      <c r="O1010">
        <f>HYPERLINK("https://shopee.co.id/api/v4/item/get?itemid=6031719467&amp;shopid=14318452", "Buavita Orange 250ml Twin Pack")</f>
        <v/>
      </c>
      <c r="P1010" t="n">
        <v>51</v>
      </c>
      <c r="Q1010" t="n">
        <v>95</v>
      </c>
      <c r="R1010" t="n">
        <v>4.890909090909091</v>
      </c>
      <c r="S1010" t="n">
        <v>0</v>
      </c>
      <c r="T1010" t="n">
        <v>1</v>
      </c>
      <c r="U1010" t="n">
        <v>6</v>
      </c>
      <c r="V1010" t="n">
        <v>33</v>
      </c>
      <c r="W1010" t="n">
        <v>400</v>
      </c>
    </row>
    <row r="1011">
      <c r="A1011" t="inlineStr">
        <is>
          <t>CLEAR SAMPO ANTI KETOMBE COCONUT+RICE FRESHNESS 160ML - BOTTLE</t>
        </is>
      </c>
      <c r="B1011" t="inlineStr"/>
      <c r="C1011" t="inlineStr">
        <is>
          <t>15%</t>
        </is>
      </c>
      <c r="D1011" t="n">
        <v>30100</v>
      </c>
      <c r="E1011" t="n">
        <v>35300</v>
      </c>
      <c r="F1011" t="n">
        <v>30100</v>
      </c>
      <c r="G1011" t="n">
        <v>35300</v>
      </c>
      <c r="H1011" t="n">
        <v>30100</v>
      </c>
      <c r="I1011" t="n">
        <v>35300</v>
      </c>
      <c r="J1011" t="b">
        <v>1</v>
      </c>
      <c r="K1011" t="inlineStr">
        <is>
          <t>Unilever Indonesia Official Shop</t>
        </is>
      </c>
      <c r="L1011" t="inlineStr">
        <is>
          <t>KOTA BEKASI</t>
        </is>
      </c>
      <c r="M1011" t="n">
        <v>8887257405</v>
      </c>
      <c r="N1011" t="n">
        <v>14318452</v>
      </c>
      <c r="O1011">
        <f>HYPERLINK("https://shopee.co.id/api/v4/item/get?itemid=8887257405&amp;shopid=14318452", "CLEAR SAMPO ANTI KETOMBE COCONUT+RICE FRESHNESS 160ML - BOTTLE")</f>
        <v/>
      </c>
      <c r="P1011" t="n">
        <v>152</v>
      </c>
      <c r="Q1011" t="n">
        <v>275</v>
      </c>
      <c r="R1011" t="n">
        <v>4.927374301675978</v>
      </c>
      <c r="S1011" t="n">
        <v>2</v>
      </c>
      <c r="T1011" t="n">
        <v>2</v>
      </c>
      <c r="U1011" t="n">
        <v>3</v>
      </c>
      <c r="V1011" t="n">
        <v>49</v>
      </c>
      <c r="W1011" t="n">
        <v>840</v>
      </c>
    </row>
    <row r="1012">
      <c r="A1012" t="inlineStr">
        <is>
          <t>Sarimurni Teh Kantong Bundar Isi 20 36G x 5 Pieces</t>
        </is>
      </c>
      <c r="B1012" t="inlineStr">
        <is>
          <t>Sarimurni</t>
        </is>
      </c>
      <c r="C1012" t="inlineStr">
        <is>
          <t>20%</t>
        </is>
      </c>
      <c r="D1012" t="n">
        <v>20000</v>
      </c>
      <c r="E1012" t="n">
        <v>25100</v>
      </c>
      <c r="F1012" t="n">
        <v>20000</v>
      </c>
      <c r="G1012" t="n">
        <v>25100</v>
      </c>
      <c r="H1012" t="n">
        <v>20000</v>
      </c>
      <c r="I1012" t="n">
        <v>25100</v>
      </c>
      <c r="J1012" t="b">
        <v>1</v>
      </c>
      <c r="K1012" t="inlineStr">
        <is>
          <t>Unilever Indonesia Official Shop</t>
        </is>
      </c>
      <c r="L1012" t="inlineStr">
        <is>
          <t>KOTA BEKASI</t>
        </is>
      </c>
      <c r="M1012" t="n">
        <v>6048575526</v>
      </c>
      <c r="N1012" t="n">
        <v>14318452</v>
      </c>
      <c r="O1012">
        <f>HYPERLINK("https://shopee.co.id/api/v4/item/get?itemid=6048575526&amp;shopid=14318452", "Sarimurni Teh Kantong Bundar Isi 20 36G x 5 Pieces")</f>
        <v/>
      </c>
      <c r="P1012" t="n">
        <v>60</v>
      </c>
      <c r="Q1012" t="n">
        <v>225</v>
      </c>
      <c r="R1012" t="n">
        <v>4.945497630331753</v>
      </c>
      <c r="S1012" t="n">
        <v>2</v>
      </c>
      <c r="T1012" t="n">
        <v>0</v>
      </c>
      <c r="U1012" t="n">
        <v>1</v>
      </c>
      <c r="V1012" t="n">
        <v>13</v>
      </c>
      <c r="W1012" t="n">
        <v>411</v>
      </c>
    </row>
    <row r="1013">
      <c r="A1013" t="inlineStr">
        <is>
          <t>POND'S Micellar Water untuk Makeup Waterproof, Vitamin &amp; Milk, 100 ml Twinpack</t>
        </is>
      </c>
      <c r="B1013" t="inlineStr">
        <is>
          <t>0</t>
        </is>
      </c>
      <c r="C1013" t="inlineStr">
        <is>
          <t>16%</t>
        </is>
      </c>
      <c r="D1013" t="n">
        <v>57700</v>
      </c>
      <c r="E1013" t="n">
        <v>68400</v>
      </c>
      <c r="F1013" t="n">
        <v>57700</v>
      </c>
      <c r="G1013" t="n">
        <v>68400</v>
      </c>
      <c r="H1013" t="n">
        <v>57700</v>
      </c>
      <c r="I1013" t="n">
        <v>68400</v>
      </c>
      <c r="J1013" t="b">
        <v>1</v>
      </c>
      <c r="K1013" t="inlineStr">
        <is>
          <t>Unilever Indonesia Official Shop</t>
        </is>
      </c>
      <c r="L1013" t="inlineStr">
        <is>
          <t>KOTA BEKASI</t>
        </is>
      </c>
      <c r="M1013" t="n">
        <v>3532250305</v>
      </c>
      <c r="N1013" t="n">
        <v>14318452</v>
      </c>
      <c r="O1013">
        <f>HYPERLINK("https://shopee.co.id/api/v4/item/get?itemid=3532250305&amp;shopid=14318452", "POND'S Micellar Water untuk Makeup Waterproof, Vitamin &amp; Milk, 100 ml Twinpack")</f>
        <v/>
      </c>
      <c r="P1013" t="n">
        <v>26</v>
      </c>
      <c r="Q1013" t="n">
        <v>266</v>
      </c>
      <c r="R1013" t="n">
        <v>4.884615384615385</v>
      </c>
      <c r="S1013" t="n">
        <v>2</v>
      </c>
      <c r="T1013" t="n">
        <v>2</v>
      </c>
      <c r="U1013" t="n">
        <v>3</v>
      </c>
      <c r="V1013" t="n">
        <v>31</v>
      </c>
      <c r="W1013" t="n">
        <v>404</v>
      </c>
    </row>
    <row r="1014">
      <c r="A1014" t="inlineStr">
        <is>
          <t>Vaseline Lotion Healthy Bright SPF24 PA++ 400ml Twin Pack</t>
        </is>
      </c>
      <c r="B1014" t="inlineStr">
        <is>
          <t>Vaseline</t>
        </is>
      </c>
      <c r="C1014" t="inlineStr">
        <is>
          <t>13%</t>
        </is>
      </c>
      <c r="D1014" t="n">
        <v>139300</v>
      </c>
      <c r="E1014" t="n">
        <v>160100</v>
      </c>
      <c r="F1014" t="n">
        <v>139300</v>
      </c>
      <c r="G1014" t="n">
        <v>160100</v>
      </c>
      <c r="H1014" t="n">
        <v>139300</v>
      </c>
      <c r="I1014" t="n">
        <v>160100</v>
      </c>
      <c r="J1014" t="b">
        <v>1</v>
      </c>
      <c r="K1014" t="inlineStr">
        <is>
          <t>Unilever Indonesia Official Shop</t>
        </is>
      </c>
      <c r="L1014" t="inlineStr">
        <is>
          <t>KOTA BEKASI</t>
        </is>
      </c>
      <c r="M1014" t="n">
        <v>7231822058</v>
      </c>
      <c r="N1014" t="n">
        <v>14318452</v>
      </c>
      <c r="O1014">
        <f>HYPERLINK("https://shopee.co.id/api/v4/item/get?itemid=7231822058&amp;shopid=14318452", "Vaseline Lotion Healthy Bright SPF24 PA++ 400ml Twin Pack")</f>
        <v/>
      </c>
      <c r="P1014" t="n">
        <v>258</v>
      </c>
      <c r="Q1014" t="n">
        <v>2316</v>
      </c>
      <c r="R1014" t="n">
        <v>4.837815810920945</v>
      </c>
      <c r="S1014" t="n">
        <v>12</v>
      </c>
      <c r="T1014" t="n">
        <v>18</v>
      </c>
      <c r="U1014" t="n">
        <v>52</v>
      </c>
      <c r="V1014" t="n">
        <v>198</v>
      </c>
      <c r="W1014" t="n">
        <v>2178</v>
      </c>
    </row>
    <row r="1015">
      <c r="A1015" t="inlineStr">
        <is>
          <t>Zwitsal Baby Natural Hair And Body 100 ml x2</t>
        </is>
      </c>
      <c r="B1015" t="inlineStr">
        <is>
          <t>0</t>
        </is>
      </c>
      <c r="C1015" t="inlineStr">
        <is>
          <t>15%</t>
        </is>
      </c>
      <c r="D1015" t="n">
        <v>23800</v>
      </c>
      <c r="E1015" t="n">
        <v>28000</v>
      </c>
      <c r="F1015" t="n">
        <v>23800</v>
      </c>
      <c r="G1015" t="n">
        <v>28000</v>
      </c>
      <c r="H1015" t="n">
        <v>23800</v>
      </c>
      <c r="I1015" t="n">
        <v>28000</v>
      </c>
      <c r="J1015" t="b">
        <v>1</v>
      </c>
      <c r="K1015" t="inlineStr">
        <is>
          <t>Unilever Indonesia Official Shop</t>
        </is>
      </c>
      <c r="L1015" t="inlineStr">
        <is>
          <t>KOTA BEKASI</t>
        </is>
      </c>
      <c r="M1015" t="n">
        <v>8940994294</v>
      </c>
      <c r="N1015" t="n">
        <v>14318452</v>
      </c>
      <c r="O1015">
        <f>HYPERLINK("https://shopee.co.id/api/v4/item/get?itemid=8940994294&amp;shopid=14318452", "Zwitsal Baby Natural Hair And Body 100 ml x2")</f>
        <v/>
      </c>
      <c r="P1015" t="n">
        <v>16</v>
      </c>
      <c r="Q1015" t="n">
        <v>389</v>
      </c>
      <c r="R1015" t="n">
        <v>4.922857142857143</v>
      </c>
      <c r="S1015" t="n">
        <v>2</v>
      </c>
      <c r="T1015" t="n">
        <v>0</v>
      </c>
      <c r="U1015" t="n">
        <v>2</v>
      </c>
      <c r="V1015" t="n">
        <v>15</v>
      </c>
      <c r="W1015" t="n">
        <v>331</v>
      </c>
    </row>
    <row r="1016">
      <c r="A1016" t="inlineStr">
        <is>
          <t>Dove Shampoo Nutritive Solutions Dandruff Care 135ml</t>
        </is>
      </c>
      <c r="B1016" t="inlineStr">
        <is>
          <t>0</t>
        </is>
      </c>
      <c r="C1016" t="inlineStr">
        <is>
          <t>1%</t>
        </is>
      </c>
      <c r="D1016" t="n">
        <v>53000</v>
      </c>
      <c r="E1016" t="n">
        <v>53500</v>
      </c>
      <c r="F1016" t="n">
        <v>53000</v>
      </c>
      <c r="G1016" t="n">
        <v>53500</v>
      </c>
      <c r="H1016" t="n">
        <v>53000</v>
      </c>
      <c r="I1016" t="n">
        <v>53500</v>
      </c>
      <c r="J1016" t="b">
        <v>1</v>
      </c>
      <c r="K1016" t="inlineStr">
        <is>
          <t>Unilever Indonesia Official Shop</t>
        </is>
      </c>
      <c r="L1016" t="inlineStr">
        <is>
          <t>KOTA BEKASI</t>
        </is>
      </c>
      <c r="M1016" t="n">
        <v>7731163352</v>
      </c>
      <c r="N1016" t="n">
        <v>14318452</v>
      </c>
      <c r="O1016">
        <f>HYPERLINK("https://shopee.co.id/api/v4/item/get?itemid=7731163352&amp;shopid=14318452", "Dove Shampoo Nutritive Solutions Dandruff Care 135ml")</f>
        <v/>
      </c>
      <c r="P1016" t="n">
        <v>29</v>
      </c>
      <c r="Q1016" t="n">
        <v>252</v>
      </c>
      <c r="R1016" t="n">
        <v>4.868913857677903</v>
      </c>
      <c r="S1016" t="n">
        <v>15</v>
      </c>
      <c r="T1016" t="n">
        <v>9</v>
      </c>
      <c r="U1016" t="n">
        <v>24</v>
      </c>
      <c r="V1016" t="n">
        <v>40</v>
      </c>
      <c r="W1016" t="n">
        <v>1247</v>
      </c>
    </row>
    <row r="1017">
      <c r="A1017" t="inlineStr">
        <is>
          <t>Vaseline Lotion Healthy Bright SPF24 PA++ 100ml Twin Pack</t>
        </is>
      </c>
      <c r="B1017" t="inlineStr"/>
      <c r="C1017" t="inlineStr">
        <is>
          <t>7%</t>
        </is>
      </c>
      <c r="D1017" t="n">
        <v>49400</v>
      </c>
      <c r="E1017" t="n">
        <v>53300</v>
      </c>
      <c r="F1017" t="n">
        <v>49400</v>
      </c>
      <c r="G1017" t="n">
        <v>53300</v>
      </c>
      <c r="H1017" t="n">
        <v>49400</v>
      </c>
      <c r="I1017" t="n">
        <v>53300</v>
      </c>
      <c r="J1017" t="b">
        <v>1</v>
      </c>
      <c r="K1017" t="inlineStr">
        <is>
          <t>Unilever Indonesia Official Shop</t>
        </is>
      </c>
      <c r="L1017" t="inlineStr">
        <is>
          <t>KOTA BEKASI</t>
        </is>
      </c>
      <c r="M1017" t="n">
        <v>3932236903</v>
      </c>
      <c r="N1017" t="n">
        <v>14318452</v>
      </c>
      <c r="O1017">
        <f>HYPERLINK("https://shopee.co.id/api/v4/item/get?itemid=3932236903&amp;shopid=14318452", "Vaseline Lotion Healthy Bright SPF24 PA++ 100ml Twin Pack")</f>
        <v/>
      </c>
      <c r="P1017" t="n">
        <v>97</v>
      </c>
      <c r="Q1017" t="n">
        <v>268</v>
      </c>
      <c r="R1017" t="n">
        <v>4.873251748251748</v>
      </c>
      <c r="S1017" t="n">
        <v>6</v>
      </c>
      <c r="T1017" t="n">
        <v>3</v>
      </c>
      <c r="U1017" t="n">
        <v>14</v>
      </c>
      <c r="V1017" t="n">
        <v>88</v>
      </c>
      <c r="W1017" t="n">
        <v>1034</v>
      </c>
    </row>
    <row r="1018">
      <c r="A1018" t="inlineStr">
        <is>
          <t>Lifebuoy Body Wash Refill Antibacterial Mild Care 400ml Multi Pack</t>
        </is>
      </c>
      <c r="B1018" t="inlineStr">
        <is>
          <t>Lifebuoy</t>
        </is>
      </c>
      <c r="C1018" t="inlineStr">
        <is>
          <t>28%</t>
        </is>
      </c>
      <c r="D1018" t="n">
        <v>67500</v>
      </c>
      <c r="E1018" t="n">
        <v>94100</v>
      </c>
      <c r="F1018" t="n">
        <v>67500</v>
      </c>
      <c r="G1018" t="n">
        <v>94100</v>
      </c>
      <c r="H1018" t="n">
        <v>67500</v>
      </c>
      <c r="I1018" t="n">
        <v>94100</v>
      </c>
      <c r="J1018" t="b">
        <v>1</v>
      </c>
      <c r="K1018" t="inlineStr">
        <is>
          <t>Unilever Indonesia Official Shop</t>
        </is>
      </c>
      <c r="L1018" t="inlineStr">
        <is>
          <t>KOTA BEKASI</t>
        </is>
      </c>
      <c r="M1018" t="n">
        <v>5931715605</v>
      </c>
      <c r="N1018" t="n">
        <v>14318452</v>
      </c>
      <c r="O1018">
        <f>HYPERLINK("https://shopee.co.id/api/v4/item/get?itemid=5931715605&amp;shopid=14318452", "Lifebuoy Body Wash Refill Antibacterial Mild Care 400ml Multi Pack")</f>
        <v/>
      </c>
      <c r="P1018" t="n">
        <v>153</v>
      </c>
      <c r="Q1018" t="n">
        <v>10</v>
      </c>
      <c r="R1018" t="n">
        <v>4.896722939424031</v>
      </c>
      <c r="S1018" t="n">
        <v>7</v>
      </c>
      <c r="T1018" t="n">
        <v>8</v>
      </c>
      <c r="U1018" t="n">
        <v>11</v>
      </c>
      <c r="V1018" t="n">
        <v>37</v>
      </c>
      <c r="W1018" t="n">
        <v>946</v>
      </c>
    </row>
    <row r="1019">
      <c r="A1019" t="inlineStr">
        <is>
          <t>Tresemme Shampoo Anti Hair Fall 340ml Multi Pack</t>
        </is>
      </c>
      <c r="B1019" t="inlineStr">
        <is>
          <t>0</t>
        </is>
      </c>
      <c r="C1019" t="inlineStr">
        <is>
          <t>19%</t>
        </is>
      </c>
      <c r="D1019" t="n">
        <v>174000</v>
      </c>
      <c r="E1019" t="n">
        <v>215200</v>
      </c>
      <c r="F1019" t="n">
        <v>174000</v>
      </c>
      <c r="G1019" t="n">
        <v>215200</v>
      </c>
      <c r="H1019" t="n">
        <v>174000</v>
      </c>
      <c r="I1019" t="n">
        <v>215200</v>
      </c>
      <c r="J1019" t="b">
        <v>1</v>
      </c>
      <c r="K1019" t="inlineStr">
        <is>
          <t>Unilever Indonesia Official Shop</t>
        </is>
      </c>
      <c r="L1019" t="inlineStr">
        <is>
          <t>KOTA BEKASI</t>
        </is>
      </c>
      <c r="M1019" t="n">
        <v>4331736673</v>
      </c>
      <c r="N1019" t="n">
        <v>14318452</v>
      </c>
      <c r="O1019">
        <f>HYPERLINK("https://shopee.co.id/api/v4/item/get?itemid=4331736673&amp;shopid=14318452", "Tresemme Shampoo Anti Hair Fall 340ml Multi Pack")</f>
        <v/>
      </c>
      <c r="P1019" t="n">
        <v>6</v>
      </c>
      <c r="Q1019" t="n">
        <v>175</v>
      </c>
      <c r="R1019" t="n">
        <v>4.859495060373217</v>
      </c>
      <c r="S1019" t="n">
        <v>7</v>
      </c>
      <c r="T1019" t="n">
        <v>9</v>
      </c>
      <c r="U1019" t="n">
        <v>19</v>
      </c>
      <c r="V1019" t="n">
        <v>35</v>
      </c>
      <c r="W1019" t="n">
        <v>841</v>
      </c>
    </row>
    <row r="1020">
      <c r="A1020" t="inlineStr">
        <is>
          <t>Vaseline Lotion Healthy Bright Perfect 10 200ml Twin Pack</t>
        </is>
      </c>
      <c r="B1020" t="inlineStr">
        <is>
          <t>0</t>
        </is>
      </c>
      <c r="C1020" t="inlineStr">
        <is>
          <t>10%</t>
        </is>
      </c>
      <c r="D1020" t="n">
        <v>85900</v>
      </c>
      <c r="E1020" t="n">
        <v>95600</v>
      </c>
      <c r="F1020" t="n">
        <v>85900</v>
      </c>
      <c r="G1020" t="n">
        <v>95600</v>
      </c>
      <c r="H1020" t="n">
        <v>85900</v>
      </c>
      <c r="I1020" t="n">
        <v>95600</v>
      </c>
      <c r="J1020" t="b">
        <v>1</v>
      </c>
      <c r="K1020" t="inlineStr">
        <is>
          <t>Unilever Indonesia Official Shop</t>
        </is>
      </c>
      <c r="L1020" t="inlineStr">
        <is>
          <t>KAB. BANYUASIN</t>
        </is>
      </c>
      <c r="M1020" t="n">
        <v>6831820284</v>
      </c>
      <c r="N1020" t="n">
        <v>14318452</v>
      </c>
      <c r="O1020">
        <f>HYPERLINK("https://shopee.co.id/api/v4/item/get?itemid=6831820284&amp;shopid=14318452", "Vaseline Lotion Healthy Bright Perfect 10 200ml Twin Pack")</f>
        <v/>
      </c>
      <c r="P1020" t="n">
        <v>14</v>
      </c>
      <c r="Q1020" t="n">
        <v>72</v>
      </c>
      <c r="R1020" t="n">
        <v>4.882562277580071</v>
      </c>
      <c r="S1020" t="n">
        <v>8</v>
      </c>
      <c r="T1020" t="n">
        <v>0</v>
      </c>
      <c r="U1020" t="n">
        <v>7</v>
      </c>
      <c r="V1020" t="n">
        <v>20</v>
      </c>
      <c r="W1020" t="n">
        <v>527</v>
      </c>
    </row>
    <row r="1021">
      <c r="A1021" t="inlineStr">
        <is>
          <t>Lifebuoy Sabun Cair Total 10 850 Ml &amp; Pepsodent Pasta Gigi White 225 G</t>
        </is>
      </c>
      <c r="B1021" t="inlineStr">
        <is>
          <t>Lifebuoy</t>
        </is>
      </c>
      <c r="C1021" t="inlineStr">
        <is>
          <t>17%</t>
        </is>
      </c>
      <c r="D1021" t="n">
        <v>59500</v>
      </c>
      <c r="E1021" t="n">
        <v>71700</v>
      </c>
      <c r="F1021" t="n">
        <v>59500</v>
      </c>
      <c r="G1021" t="n">
        <v>71700</v>
      </c>
      <c r="H1021" t="n">
        <v>59500</v>
      </c>
      <c r="I1021" t="n">
        <v>71700</v>
      </c>
      <c r="J1021" t="b">
        <v>1</v>
      </c>
      <c r="K1021" t="inlineStr">
        <is>
          <t>Unilever Indonesia Official Shop</t>
        </is>
      </c>
      <c r="L1021" t="inlineStr">
        <is>
          <t>KOTA BEKASI</t>
        </is>
      </c>
      <c r="M1021" t="n">
        <v>8217224480</v>
      </c>
      <c r="N1021" t="n">
        <v>14318452</v>
      </c>
      <c r="O1021">
        <f>HYPERLINK("https://shopee.co.id/api/v4/item/get?itemid=8217224480&amp;shopid=14318452", "Lifebuoy Sabun Cair Total 10 850 Ml &amp; Pepsodent Pasta Gigi White 225 G")</f>
        <v/>
      </c>
      <c r="P1021" t="n">
        <v>12</v>
      </c>
      <c r="Q1021" t="n">
        <v>6741</v>
      </c>
      <c r="R1021" t="n">
        <v>4.948905109489051</v>
      </c>
      <c r="S1021" t="n">
        <v>1</v>
      </c>
      <c r="T1021" t="n">
        <v>0</v>
      </c>
      <c r="U1021" t="n">
        <v>2</v>
      </c>
      <c r="V1021" t="n">
        <v>31</v>
      </c>
      <c r="W1021" t="n">
        <v>652</v>
      </c>
    </row>
    <row r="1022">
      <c r="A1022" t="inlineStr">
        <is>
          <t>Molto Pewangi Flower Shower 280mL Twinpack</t>
        </is>
      </c>
      <c r="B1022" t="inlineStr"/>
      <c r="C1022" t="inlineStr">
        <is>
          <t>3%</t>
        </is>
      </c>
      <c r="D1022" t="n">
        <v>9700</v>
      </c>
      <c r="E1022" t="n">
        <v>10000</v>
      </c>
      <c r="F1022" t="n">
        <v>9700</v>
      </c>
      <c r="G1022" t="n">
        <v>10000</v>
      </c>
      <c r="H1022" t="n">
        <v>9700</v>
      </c>
      <c r="I1022" t="n">
        <v>10000</v>
      </c>
      <c r="J1022" t="b">
        <v>1</v>
      </c>
      <c r="K1022" t="inlineStr">
        <is>
          <t>Unilever Indonesia Official Shop</t>
        </is>
      </c>
      <c r="L1022" t="inlineStr">
        <is>
          <t>KOTA DENPASAR</t>
        </is>
      </c>
      <c r="M1022" t="n">
        <v>11515271137</v>
      </c>
      <c r="N1022" t="n">
        <v>14318452</v>
      </c>
      <c r="O1022">
        <f>HYPERLINK("https://shopee.co.id/api/v4/item/get?itemid=11515271137&amp;shopid=14318452", "Molto Pewangi Flower Shower 280mL Twinpack")</f>
        <v/>
      </c>
      <c r="P1022" t="n">
        <v>10</v>
      </c>
      <c r="Q1022" t="n">
        <v>11</v>
      </c>
      <c r="R1022" t="n">
        <v>4.933333333333334</v>
      </c>
      <c r="S1022" t="n">
        <v>0</v>
      </c>
      <c r="T1022" t="n">
        <v>1</v>
      </c>
      <c r="U1022" t="n">
        <v>1</v>
      </c>
      <c r="V1022" t="n">
        <v>19</v>
      </c>
      <c r="W1022" t="n">
        <v>339</v>
      </c>
    </row>
    <row r="1023">
      <c r="A1023" t="inlineStr">
        <is>
          <t>Dove Shampoo Anti Ketombe Dan Gatal Menthol Habbatussauda &amp; Aloe Vera 135Ml</t>
        </is>
      </c>
      <c r="B1023" t="inlineStr"/>
      <c r="C1023" t="inlineStr">
        <is>
          <t>1%</t>
        </is>
      </c>
      <c r="D1023" t="n">
        <v>28600</v>
      </c>
      <c r="E1023" t="n">
        <v>28800</v>
      </c>
      <c r="F1023" t="n">
        <v>28600</v>
      </c>
      <c r="G1023" t="n">
        <v>28800</v>
      </c>
      <c r="H1023" t="n">
        <v>28600</v>
      </c>
      <c r="I1023" t="n">
        <v>28800</v>
      </c>
      <c r="J1023" t="b">
        <v>1</v>
      </c>
      <c r="K1023" t="inlineStr">
        <is>
          <t>Unilever Indonesia Official Shop</t>
        </is>
      </c>
      <c r="L1023" t="inlineStr">
        <is>
          <t>KOTA BEKASI</t>
        </is>
      </c>
      <c r="M1023" t="n">
        <v>12207211276</v>
      </c>
      <c r="N1023" t="n">
        <v>14318452</v>
      </c>
      <c r="O1023">
        <f>HYPERLINK("https://shopee.co.id/api/v4/item/get?itemid=12207211276&amp;shopid=14318452", "Dove Shampoo Anti Ketombe Dan Gatal Menthol Habbatussauda &amp; Aloe Vera 135Ml")</f>
        <v/>
      </c>
      <c r="P1023" t="n">
        <v>151</v>
      </c>
      <c r="Q1023" t="n">
        <v>64</v>
      </c>
      <c r="R1023" t="n">
        <v>4.91</v>
      </c>
      <c r="S1023" t="n">
        <v>3</v>
      </c>
      <c r="T1023" t="n">
        <v>1</v>
      </c>
      <c r="U1023" t="n">
        <v>7</v>
      </c>
      <c r="V1023" t="n">
        <v>61</v>
      </c>
      <c r="W1023" t="n">
        <v>928</v>
      </c>
    </row>
    <row r="1024">
      <c r="A1024" t="inlineStr">
        <is>
          <t>LUX Botanicals White Freesia &amp; Tea Tree Body Mist &amp; LUX Botanicals Gardenia +  Honey Body Mist</t>
        </is>
      </c>
      <c r="B1024" t="inlineStr"/>
      <c r="C1024" t="inlineStr">
        <is>
          <t>2%</t>
        </is>
      </c>
      <c r="D1024" t="n">
        <v>68400</v>
      </c>
      <c r="E1024" t="n">
        <v>70000</v>
      </c>
      <c r="F1024" t="n">
        <v>68400</v>
      </c>
      <c r="G1024" t="n">
        <v>70000</v>
      </c>
      <c r="H1024" t="n">
        <v>68400</v>
      </c>
      <c r="I1024" t="n">
        <v>70000</v>
      </c>
      <c r="J1024" t="b">
        <v>0</v>
      </c>
      <c r="K1024" t="inlineStr">
        <is>
          <t>Unilever Indonesia Official Shop</t>
        </is>
      </c>
      <c r="L1024" t="inlineStr">
        <is>
          <t>KOTA DENPASAR</t>
        </is>
      </c>
      <c r="M1024" t="n">
        <v>10755895515</v>
      </c>
      <c r="N1024" t="n">
        <v>14318452</v>
      </c>
      <c r="O1024">
        <f>HYPERLINK("https://shopee.co.id/api/v4/item/get?itemid=10755895515&amp;shopid=14318452", "LUX Botanicals White Freesia &amp; Tea Tree Body Mist &amp; LUX Botanicals Gardenia +  Honey Body Mist")</f>
        <v/>
      </c>
      <c r="P1024" t="n">
        <v>33</v>
      </c>
      <c r="Q1024" t="n">
        <v>53</v>
      </c>
      <c r="R1024" t="n">
        <v>4.855275443510737</v>
      </c>
      <c r="S1024" t="n">
        <v>7</v>
      </c>
      <c r="T1024" t="n">
        <v>3</v>
      </c>
      <c r="U1024" t="n">
        <v>20</v>
      </c>
      <c r="V1024" t="n">
        <v>78</v>
      </c>
      <c r="W1024" t="n">
        <v>963</v>
      </c>
    </row>
    <row r="1025">
      <c r="A1025" t="inlineStr">
        <is>
          <t>Molto Pelembut Dan Pewangi Pakaian All In 1 Blue 1600Ml Multi Pack</t>
        </is>
      </c>
      <c r="B1025" t="inlineStr">
        <is>
          <t>Molto</t>
        </is>
      </c>
      <c r="C1025" t="inlineStr">
        <is>
          <t>34%</t>
        </is>
      </c>
      <c r="D1025" t="n">
        <v>140200</v>
      </c>
      <c r="E1025" t="n">
        <v>212200</v>
      </c>
      <c r="F1025" t="n">
        <v>140200</v>
      </c>
      <c r="G1025" t="n">
        <v>212200</v>
      </c>
      <c r="H1025" t="n">
        <v>140200</v>
      </c>
      <c r="I1025" t="n">
        <v>212200</v>
      </c>
      <c r="J1025" t="b">
        <v>1</v>
      </c>
      <c r="K1025" t="inlineStr">
        <is>
          <t>Unilever Indonesia Official Shop</t>
        </is>
      </c>
      <c r="L1025" t="inlineStr">
        <is>
          <t>KOTA BEKASI</t>
        </is>
      </c>
      <c r="M1025" t="n">
        <v>4037716759</v>
      </c>
      <c r="N1025" t="n">
        <v>14318452</v>
      </c>
      <c r="O1025">
        <f>HYPERLINK("https://shopee.co.id/api/v4/item/get?itemid=4037716759&amp;shopid=14318452", "Molto Pelembut Dan Pewangi Pakaian All In 1 Blue 1600Ml Multi Pack")</f>
        <v/>
      </c>
      <c r="P1025" t="n">
        <v>21</v>
      </c>
      <c r="Q1025" t="n">
        <v>202</v>
      </c>
      <c r="R1025" t="n">
        <v>4.859688195991091</v>
      </c>
      <c r="S1025" t="n">
        <v>5</v>
      </c>
      <c r="T1025" t="n">
        <v>1</v>
      </c>
      <c r="U1025" t="n">
        <v>6</v>
      </c>
      <c r="V1025" t="n">
        <v>28</v>
      </c>
      <c r="W1025" t="n">
        <v>409</v>
      </c>
    </row>
    <row r="1026">
      <c r="A1026" t="inlineStr">
        <is>
          <t>AXE MEN DEODORANT BODY SPRAY YOU COOL CHARGE 135ML</t>
        </is>
      </c>
      <c r="B1026" t="inlineStr"/>
      <c r="C1026" t="inlineStr">
        <is>
          <t>3%</t>
        </is>
      </c>
      <c r="D1026" t="n">
        <v>37500</v>
      </c>
      <c r="E1026" t="n">
        <v>38500</v>
      </c>
      <c r="F1026" t="n">
        <v>37500</v>
      </c>
      <c r="G1026" t="n">
        <v>38500</v>
      </c>
      <c r="H1026" t="n">
        <v>37500</v>
      </c>
      <c r="I1026" t="n">
        <v>38500</v>
      </c>
      <c r="J1026" t="b">
        <v>0</v>
      </c>
      <c r="K1026" t="inlineStr">
        <is>
          <t>Unilever Indonesia Official Shop</t>
        </is>
      </c>
      <c r="L1026" t="inlineStr">
        <is>
          <t>KOTA BEKASI</t>
        </is>
      </c>
      <c r="M1026" t="n">
        <v>13215546318</v>
      </c>
      <c r="N1026" t="n">
        <v>14318452</v>
      </c>
      <c r="O1026">
        <f>HYPERLINK("https://shopee.co.id/api/v4/item/get?itemid=13215546318&amp;shopid=14318452", "AXE MEN DEODORANT BODY SPRAY YOU COOL CHARGE 135ML")</f>
        <v/>
      </c>
      <c r="P1026" t="n">
        <v>239</v>
      </c>
      <c r="Q1026" t="n">
        <v>280</v>
      </c>
      <c r="R1026" t="n">
        <v>4.899657366617719</v>
      </c>
      <c r="S1026" t="n">
        <v>4</v>
      </c>
      <c r="T1026" t="n">
        <v>2</v>
      </c>
      <c r="U1026" t="n">
        <v>19</v>
      </c>
      <c r="V1026" t="n">
        <v>145</v>
      </c>
      <c r="W1026" t="n">
        <v>1873</v>
      </c>
    </row>
    <row r="1027">
      <c r="A1027" t="inlineStr">
        <is>
          <t>Lifebuoy Sabun Cair Total 10 Pump 500 ml Twin Pack</t>
        </is>
      </c>
      <c r="B1027" t="inlineStr">
        <is>
          <t>Lifebuoy</t>
        </is>
      </c>
      <c r="C1027" t="inlineStr">
        <is>
          <t>20%</t>
        </is>
      </c>
      <c r="D1027" t="n">
        <v>94700</v>
      </c>
      <c r="E1027" t="n">
        <v>118900</v>
      </c>
      <c r="F1027" t="n">
        <v>94700</v>
      </c>
      <c r="G1027" t="n">
        <v>118900</v>
      </c>
      <c r="H1027" t="n">
        <v>94700</v>
      </c>
      <c r="I1027" t="n">
        <v>118900</v>
      </c>
      <c r="J1027" t="b">
        <v>1</v>
      </c>
      <c r="K1027" t="inlineStr">
        <is>
          <t>Unilever Indonesia Official Shop</t>
        </is>
      </c>
      <c r="L1027" t="inlineStr">
        <is>
          <t>KOTA BEKASI</t>
        </is>
      </c>
      <c r="M1027" t="n">
        <v>7431333580</v>
      </c>
      <c r="N1027" t="n">
        <v>14318452</v>
      </c>
      <c r="O1027">
        <f>HYPERLINK("https://shopee.co.id/api/v4/item/get?itemid=7431333580&amp;shopid=14318452", "Lifebuoy Sabun Cair Total 10 Pump 500 ml Twin Pack")</f>
        <v/>
      </c>
      <c r="P1027" t="n">
        <v>26</v>
      </c>
      <c r="Q1027" t="n">
        <v>122</v>
      </c>
      <c r="R1027" t="n">
        <v>4.843989769820972</v>
      </c>
      <c r="S1027" t="n">
        <v>5</v>
      </c>
      <c r="T1027" t="n">
        <v>6</v>
      </c>
      <c r="U1027" t="n">
        <v>22</v>
      </c>
      <c r="V1027" t="n">
        <v>40</v>
      </c>
      <c r="W1027" t="n">
        <v>709</v>
      </c>
    </row>
    <row r="1028">
      <c r="A1028" t="inlineStr">
        <is>
          <t>Zwitsal Baby Powder Aloe Vera 300gr [Triple Pack]</t>
        </is>
      </c>
      <c r="B1028" t="inlineStr">
        <is>
          <t>Zwitsal</t>
        </is>
      </c>
      <c r="C1028" t="inlineStr">
        <is>
          <t>18%</t>
        </is>
      </c>
      <c r="D1028" t="n">
        <v>57800</v>
      </c>
      <c r="E1028" t="n">
        <v>70700</v>
      </c>
      <c r="F1028" t="n">
        <v>57800</v>
      </c>
      <c r="G1028" t="n">
        <v>70700</v>
      </c>
      <c r="H1028" t="n">
        <v>57800</v>
      </c>
      <c r="I1028" t="n">
        <v>70700</v>
      </c>
      <c r="J1028" t="b">
        <v>1</v>
      </c>
      <c r="K1028" t="inlineStr">
        <is>
          <t>Unilever Indonesia Official Shop</t>
        </is>
      </c>
      <c r="L1028" t="inlineStr">
        <is>
          <t>KOTA BEKASI</t>
        </is>
      </c>
      <c r="M1028" t="n">
        <v>7831755779</v>
      </c>
      <c r="N1028" t="n">
        <v>14318452</v>
      </c>
      <c r="O1028">
        <f>HYPERLINK("https://shopee.co.id/api/v4/item/get?itemid=7831755779&amp;shopid=14318452", "Zwitsal Baby Powder Aloe Vera 300gr [Triple Pack]")</f>
        <v/>
      </c>
      <c r="P1028" t="n">
        <v>27</v>
      </c>
      <c r="Q1028" t="n">
        <v>167</v>
      </c>
      <c r="R1028" t="n">
        <v>4.922818791946309</v>
      </c>
      <c r="S1028" t="n">
        <v>1</v>
      </c>
      <c r="T1028" t="n">
        <v>0</v>
      </c>
      <c r="U1028" t="n">
        <v>4</v>
      </c>
      <c r="V1028" t="n">
        <v>11</v>
      </c>
      <c r="W1028" t="n">
        <v>282</v>
      </c>
    </row>
    <row r="1029">
      <c r="A1029" t="inlineStr">
        <is>
          <t>Dove Body Wash Pump Deeply Nourishing Kulit Lembut 1L</t>
        </is>
      </c>
      <c r="B1029" t="inlineStr">
        <is>
          <t>Dove</t>
        </is>
      </c>
      <c r="C1029" t="inlineStr">
        <is>
          <t>22%</t>
        </is>
      </c>
      <c r="D1029" t="n">
        <v>87900</v>
      </c>
      <c r="E1029" t="n">
        <v>112800</v>
      </c>
      <c r="F1029" t="n">
        <v>87900</v>
      </c>
      <c r="G1029" t="n">
        <v>112800</v>
      </c>
      <c r="H1029" t="n">
        <v>87900</v>
      </c>
      <c r="I1029" t="n">
        <v>112800</v>
      </c>
      <c r="J1029" t="b">
        <v>1</v>
      </c>
      <c r="K1029" t="inlineStr">
        <is>
          <t>Unilever Indonesia Official Shop</t>
        </is>
      </c>
      <c r="L1029" t="inlineStr">
        <is>
          <t>KOTA PEKANBARU</t>
        </is>
      </c>
      <c r="M1029" t="n">
        <v>4139098633</v>
      </c>
      <c r="N1029" t="n">
        <v>14318452</v>
      </c>
      <c r="O1029">
        <f>HYPERLINK("https://shopee.co.id/api/v4/item/get?itemid=4139098633&amp;shopid=14318452", "Dove Body Wash Pump Deeply Nourishing Kulit Lembut 1L")</f>
        <v/>
      </c>
      <c r="P1029" t="n">
        <v>210</v>
      </c>
      <c r="Q1029" t="n">
        <v>33</v>
      </c>
      <c r="R1029" t="n">
        <v>4.792111750205423</v>
      </c>
      <c r="S1029" t="n">
        <v>25</v>
      </c>
      <c r="T1029" t="n">
        <v>24</v>
      </c>
      <c r="U1029" t="n">
        <v>87</v>
      </c>
      <c r="V1029" t="n">
        <v>167</v>
      </c>
      <c r="W1029" t="n">
        <v>2133</v>
      </c>
    </row>
    <row r="1030">
      <c r="A1030" t="inlineStr">
        <is>
          <t>Dove Shampoo Perawatan Rambut Rontok Berkurang 99% dengan Nutri Serum dan Dynazinc 680ml x2</t>
        </is>
      </c>
      <c r="B1030" t="inlineStr">
        <is>
          <t>Dove</t>
        </is>
      </c>
      <c r="C1030" t="inlineStr">
        <is>
          <t>3%</t>
        </is>
      </c>
      <c r="D1030" t="n">
        <v>181800</v>
      </c>
      <c r="E1030" t="n">
        <v>186600</v>
      </c>
      <c r="F1030" t="n">
        <v>181800</v>
      </c>
      <c r="G1030" t="n">
        <v>186600</v>
      </c>
      <c r="H1030" t="n">
        <v>181800</v>
      </c>
      <c r="I1030" t="n">
        <v>186600</v>
      </c>
      <c r="J1030" t="b">
        <v>1</v>
      </c>
      <c r="K1030" t="inlineStr">
        <is>
          <t>Unilever Indonesia Official Shop</t>
        </is>
      </c>
      <c r="L1030" t="inlineStr">
        <is>
          <t>KOTA BEKASI</t>
        </is>
      </c>
      <c r="M1030" t="n">
        <v>5431691660</v>
      </c>
      <c r="N1030" t="n">
        <v>14318452</v>
      </c>
      <c r="O1030">
        <f>HYPERLINK("https://shopee.co.id/api/v4/item/get?itemid=5431691660&amp;shopid=14318452", "Dove Shampoo Perawatan Rambut Rontok Berkurang 99% dengan Nutri Serum dan Dynazinc 680ml x2")</f>
        <v/>
      </c>
      <c r="P1030" t="n">
        <v>70</v>
      </c>
      <c r="Q1030" t="n">
        <v>1142</v>
      </c>
      <c r="R1030" t="n">
        <v>4.880969351389878</v>
      </c>
      <c r="S1030" t="n">
        <v>8</v>
      </c>
      <c r="T1030" t="n">
        <v>5</v>
      </c>
      <c r="U1030" t="n">
        <v>20</v>
      </c>
      <c r="V1030" t="n">
        <v>80</v>
      </c>
      <c r="W1030" t="n">
        <v>1290</v>
      </c>
    </row>
    <row r="1031">
      <c r="A1031" t="inlineStr">
        <is>
          <t>Lux Botanicals Sabun Cair Sakura Bloom 825Ml -Sabun Mandi Wanita, Brigthening</t>
        </is>
      </c>
      <c r="B1031" t="inlineStr">
        <is>
          <t>0</t>
        </is>
      </c>
      <c r="C1031" t="inlineStr">
        <is>
          <t>33%</t>
        </is>
      </c>
      <c r="D1031" t="n">
        <v>38500</v>
      </c>
      <c r="E1031" t="n">
        <v>57600</v>
      </c>
      <c r="F1031" t="n">
        <v>38500</v>
      </c>
      <c r="G1031" t="n">
        <v>57600</v>
      </c>
      <c r="H1031" t="n">
        <v>38500</v>
      </c>
      <c r="I1031" t="n">
        <v>57600</v>
      </c>
      <c r="J1031" t="b">
        <v>0</v>
      </c>
      <c r="K1031" t="inlineStr">
        <is>
          <t>Unilever Indonesia Official Shop</t>
        </is>
      </c>
      <c r="L1031" t="inlineStr">
        <is>
          <t>KOTA BEKASI</t>
        </is>
      </c>
      <c r="M1031" t="n">
        <v>5083916679</v>
      </c>
      <c r="N1031" t="n">
        <v>14318452</v>
      </c>
      <c r="O1031">
        <f>HYPERLINK("https://shopee.co.id/api/v4/item/get?itemid=5083916679&amp;shopid=14318452", "Lux Botanicals Sabun Cair Sakura Bloom 825Ml -Sabun Mandi Wanita, Brigthening")</f>
        <v/>
      </c>
      <c r="P1031" t="n">
        <v>404</v>
      </c>
      <c r="Q1031" t="n">
        <v>3732</v>
      </c>
      <c r="R1031" t="n">
        <v>4.901365705614568</v>
      </c>
      <c r="S1031" t="n">
        <v>13</v>
      </c>
      <c r="T1031" t="n">
        <v>5</v>
      </c>
      <c r="U1031" t="n">
        <v>20</v>
      </c>
      <c r="V1031" t="n">
        <v>88</v>
      </c>
      <c r="W1031" t="n">
        <v>1851</v>
      </c>
    </row>
    <row r="1032">
      <c r="A1032" t="inlineStr">
        <is>
          <t>Vaseline Lotion Healthy Bright Insta Radiance 190ml Twin Pack</t>
        </is>
      </c>
      <c r="B1032" t="inlineStr">
        <is>
          <t>0</t>
        </is>
      </c>
      <c r="C1032" t="inlineStr">
        <is>
          <t>10%</t>
        </is>
      </c>
      <c r="D1032" t="n">
        <v>86000</v>
      </c>
      <c r="E1032" t="n">
        <v>95600</v>
      </c>
      <c r="F1032" t="n">
        <v>86000</v>
      </c>
      <c r="G1032" t="n">
        <v>95600</v>
      </c>
      <c r="H1032" t="n">
        <v>86000</v>
      </c>
      <c r="I1032" t="n">
        <v>95600</v>
      </c>
      <c r="J1032" t="b">
        <v>1</v>
      </c>
      <c r="K1032" t="inlineStr">
        <is>
          <t>Unilever Indonesia Official Shop</t>
        </is>
      </c>
      <c r="L1032" t="inlineStr">
        <is>
          <t>KOTA BEKASI</t>
        </is>
      </c>
      <c r="M1032" t="n">
        <v>7431818536</v>
      </c>
      <c r="N1032" t="n">
        <v>14318452</v>
      </c>
      <c r="O1032">
        <f>HYPERLINK("https://shopee.co.id/api/v4/item/get?itemid=7431818536&amp;shopid=14318452", "Vaseline Lotion Healthy Bright Insta Radiance 190ml Twin Pack")</f>
        <v/>
      </c>
      <c r="P1032" t="n">
        <v>101</v>
      </c>
      <c r="Q1032" t="n">
        <v>123</v>
      </c>
      <c r="R1032" t="n">
        <v>4.81896800230614</v>
      </c>
      <c r="S1032" t="n">
        <v>52</v>
      </c>
      <c r="T1032" t="n">
        <v>31</v>
      </c>
      <c r="U1032" t="n">
        <v>62</v>
      </c>
      <c r="V1032" t="n">
        <v>203</v>
      </c>
      <c r="W1032" t="n">
        <v>3121</v>
      </c>
    </row>
    <row r="1033">
      <c r="A1033" t="inlineStr">
        <is>
          <t>Buavita Juice Mangga 500 ml</t>
        </is>
      </c>
      <c r="B1033" t="inlineStr"/>
      <c r="C1033" t="inlineStr">
        <is>
          <t>23%</t>
        </is>
      </c>
      <c r="D1033" t="n">
        <v>11500</v>
      </c>
      <c r="E1033" t="n">
        <v>15000</v>
      </c>
      <c r="F1033" t="n">
        <v>11500</v>
      </c>
      <c r="G1033" t="n">
        <v>15000</v>
      </c>
      <c r="H1033" t="n">
        <v>11500</v>
      </c>
      <c r="I1033" t="n">
        <v>15000</v>
      </c>
      <c r="J1033" t="b">
        <v>1</v>
      </c>
      <c r="K1033" t="inlineStr">
        <is>
          <t>Unilever Indonesia Official Shop</t>
        </is>
      </c>
      <c r="L1033" t="inlineStr">
        <is>
          <t>KOTA BEKASI</t>
        </is>
      </c>
      <c r="M1033" t="n">
        <v>5706355966</v>
      </c>
      <c r="N1033" t="n">
        <v>14318452</v>
      </c>
      <c r="O1033">
        <f>HYPERLINK("https://shopee.co.id/api/v4/item/get?itemid=5706355966&amp;shopid=14318452", "Buavita Juice Mangga 500 ml")</f>
        <v/>
      </c>
      <c r="P1033" t="n">
        <v>55</v>
      </c>
      <c r="Q1033" t="n">
        <v>298</v>
      </c>
      <c r="R1033" t="n">
        <v>4.816105082809823</v>
      </c>
      <c r="S1033" t="n">
        <v>23</v>
      </c>
      <c r="T1033" t="n">
        <v>7</v>
      </c>
      <c r="U1033" t="n">
        <v>29</v>
      </c>
      <c r="V1033" t="n">
        <v>154</v>
      </c>
      <c r="W1033" t="n">
        <v>1539</v>
      </c>
    </row>
    <row r="1034">
      <c r="A1034" t="inlineStr">
        <is>
          <t>MOLTO ANTI KUSUT Velvet Bloom Spray 100mL Twin Pack</t>
        </is>
      </c>
      <c r="B1034" t="inlineStr">
        <is>
          <t>None</t>
        </is>
      </c>
      <c r="C1034" t="inlineStr">
        <is>
          <t>22%</t>
        </is>
      </c>
      <c r="D1034" t="n">
        <v>38900</v>
      </c>
      <c r="E1034" t="n">
        <v>50000</v>
      </c>
      <c r="F1034" t="n">
        <v>38900</v>
      </c>
      <c r="G1034" t="n">
        <v>50000</v>
      </c>
      <c r="H1034" t="n">
        <v>38900</v>
      </c>
      <c r="I1034" t="n">
        <v>50000</v>
      </c>
      <c r="J1034" t="b">
        <v>1</v>
      </c>
      <c r="K1034" t="inlineStr">
        <is>
          <t>Unilever Indonesia Official Shop</t>
        </is>
      </c>
      <c r="L1034" t="inlineStr">
        <is>
          <t>KOTA BEKASI</t>
        </is>
      </c>
      <c r="M1034" t="n">
        <v>9390925785</v>
      </c>
      <c r="N1034" t="n">
        <v>14318452</v>
      </c>
      <c r="O1034">
        <f>HYPERLINK("https://shopee.co.id/api/v4/item/get?itemid=9390925785&amp;shopid=14318452", "MOLTO ANTI KUSUT Velvet Bloom Spray 100mL Twin Pack")</f>
        <v/>
      </c>
      <c r="P1034" t="n">
        <v>370</v>
      </c>
      <c r="Q1034" t="n">
        <v>1950</v>
      </c>
      <c r="R1034" t="n">
        <v>4.862456140350877</v>
      </c>
      <c r="S1034" t="n">
        <v>15</v>
      </c>
      <c r="T1034" t="n">
        <v>13</v>
      </c>
      <c r="U1034" t="n">
        <v>44</v>
      </c>
      <c r="V1034" t="n">
        <v>205</v>
      </c>
      <c r="W1034" t="n">
        <v>2573</v>
      </c>
    </row>
    <row r="1035">
      <c r="A1035" t="inlineStr">
        <is>
          <t>Rinso Molto Deterjen Pakaian Cair Royal Gold 750Ml Twinpack</t>
        </is>
      </c>
      <c r="B1035" t="inlineStr">
        <is>
          <t>0</t>
        </is>
      </c>
      <c r="C1035" t="inlineStr">
        <is>
          <t>31%</t>
        </is>
      </c>
      <c r="D1035" t="n">
        <v>42100</v>
      </c>
      <c r="E1035" t="n">
        <v>61400</v>
      </c>
      <c r="F1035" t="n">
        <v>42100</v>
      </c>
      <c r="G1035" t="n">
        <v>61400</v>
      </c>
      <c r="H1035" t="n">
        <v>42100</v>
      </c>
      <c r="I1035" t="n">
        <v>61400</v>
      </c>
      <c r="J1035" t="b">
        <v>1</v>
      </c>
      <c r="K1035" t="inlineStr">
        <is>
          <t>Unilever Indonesia Official Shop</t>
        </is>
      </c>
      <c r="L1035" t="inlineStr">
        <is>
          <t>KOTA BEKASI</t>
        </is>
      </c>
      <c r="M1035" t="n">
        <v>6658367585</v>
      </c>
      <c r="N1035" t="n">
        <v>14318452</v>
      </c>
      <c r="O1035">
        <f>HYPERLINK("https://shopee.co.id/api/v4/item/get?itemid=6658367585&amp;shopid=14318452", "Rinso Molto Deterjen Pakaian Cair Royal Gold 750Ml Twinpack")</f>
        <v/>
      </c>
      <c r="P1035" t="n">
        <v>127</v>
      </c>
      <c r="Q1035" t="n">
        <v>153</v>
      </c>
      <c r="R1035" t="n">
        <v>4.881995133819951</v>
      </c>
      <c r="S1035" t="n">
        <v>5</v>
      </c>
      <c r="T1035" t="n">
        <v>8</v>
      </c>
      <c r="U1035" t="n">
        <v>14</v>
      </c>
      <c r="V1035" t="n">
        <v>31</v>
      </c>
      <c r="W1035" t="n">
        <v>766</v>
      </c>
    </row>
    <row r="1036">
      <c r="A1036" t="inlineStr">
        <is>
          <t>Wipol Karbol Pembersih Lantai Botol 450Ml Twinpack</t>
        </is>
      </c>
      <c r="B1036" t="inlineStr">
        <is>
          <t>Wipol</t>
        </is>
      </c>
      <c r="C1036" t="inlineStr">
        <is>
          <t>30%</t>
        </is>
      </c>
      <c r="D1036" t="n">
        <v>37500</v>
      </c>
      <c r="E1036" t="n">
        <v>53200</v>
      </c>
      <c r="F1036" t="n">
        <v>37500</v>
      </c>
      <c r="G1036" t="n">
        <v>53200</v>
      </c>
      <c r="H1036" t="n">
        <v>37500</v>
      </c>
      <c r="I1036" t="n">
        <v>53200</v>
      </c>
      <c r="J1036" t="b">
        <v>1</v>
      </c>
      <c r="K1036" t="inlineStr">
        <is>
          <t>Unilever Indonesia Official Shop</t>
        </is>
      </c>
      <c r="L1036" t="inlineStr">
        <is>
          <t>KOTA BEKASI</t>
        </is>
      </c>
      <c r="M1036" t="n">
        <v>7734593574</v>
      </c>
      <c r="N1036" t="n">
        <v>14318452</v>
      </c>
      <c r="O1036">
        <f>HYPERLINK("https://shopee.co.id/api/v4/item/get?itemid=7734593574&amp;shopid=14318452", "Wipol Karbol Pembersih Lantai Botol 450Ml Twinpack")</f>
        <v/>
      </c>
      <c r="P1036" t="n">
        <v>22</v>
      </c>
      <c r="Q1036" t="n">
        <v>206</v>
      </c>
      <c r="R1036" t="n">
        <v>4.924281984334204</v>
      </c>
      <c r="S1036" t="n">
        <v>1</v>
      </c>
      <c r="T1036" t="n">
        <v>0</v>
      </c>
      <c r="U1036" t="n">
        <v>3</v>
      </c>
      <c r="V1036" t="n">
        <v>19</v>
      </c>
      <c r="W1036" t="n">
        <v>360</v>
      </c>
    </row>
    <row r="1037">
      <c r="A1037" t="inlineStr">
        <is>
          <t>Dove Shampo Perawatan Rambut Rusak 290ml Twinpack</t>
        </is>
      </c>
      <c r="B1037" t="inlineStr">
        <is>
          <t>Dove</t>
        </is>
      </c>
      <c r="C1037" t="inlineStr">
        <is>
          <t>1%</t>
        </is>
      </c>
      <c r="D1037" t="n">
        <v>107000</v>
      </c>
      <c r="E1037" t="n">
        <v>108000</v>
      </c>
      <c r="F1037" t="n">
        <v>107000</v>
      </c>
      <c r="G1037" t="n">
        <v>108000</v>
      </c>
      <c r="H1037" t="n">
        <v>107000</v>
      </c>
      <c r="I1037" t="n">
        <v>108000</v>
      </c>
      <c r="J1037" t="b">
        <v>1</v>
      </c>
      <c r="K1037" t="inlineStr">
        <is>
          <t>Unilever Indonesia Official Shop</t>
        </is>
      </c>
      <c r="L1037" t="inlineStr">
        <is>
          <t>KOTA BEKASI</t>
        </is>
      </c>
      <c r="M1037" t="n">
        <v>6731159055</v>
      </c>
      <c r="N1037" t="n">
        <v>14318452</v>
      </c>
      <c r="O1037">
        <f>HYPERLINK("https://shopee.co.id/api/v4/item/get?itemid=6731159055&amp;shopid=14318452", "Dove Shampo Perawatan Rambut Rusak 290ml Twinpack")</f>
        <v/>
      </c>
      <c r="P1037" t="n">
        <v>14</v>
      </c>
      <c r="Q1037" t="n">
        <v>225</v>
      </c>
      <c r="R1037" t="n">
        <v>4.839272727272728</v>
      </c>
      <c r="S1037" t="n">
        <v>19</v>
      </c>
      <c r="T1037" t="n">
        <v>13</v>
      </c>
      <c r="U1037" t="n">
        <v>25</v>
      </c>
      <c r="V1037" t="n">
        <v>56</v>
      </c>
      <c r="W1037" t="n">
        <v>1262</v>
      </c>
    </row>
    <row r="1038">
      <c r="A1038" t="inlineStr">
        <is>
          <t>Buavita Guava 500 ml x 2 Pcs</t>
        </is>
      </c>
      <c r="B1038" t="inlineStr">
        <is>
          <t>Buavita</t>
        </is>
      </c>
      <c r="C1038" t="inlineStr">
        <is>
          <t>26%</t>
        </is>
      </c>
      <c r="D1038" t="n">
        <v>20700</v>
      </c>
      <c r="E1038" t="n">
        <v>28000</v>
      </c>
      <c r="F1038" t="n">
        <v>20700</v>
      </c>
      <c r="G1038" t="n">
        <v>28000</v>
      </c>
      <c r="H1038" t="n">
        <v>20700</v>
      </c>
      <c r="I1038" t="n">
        <v>28000</v>
      </c>
      <c r="J1038" t="b">
        <v>1</v>
      </c>
      <c r="K1038" t="inlineStr">
        <is>
          <t>Unilever Indonesia Official Shop</t>
        </is>
      </c>
      <c r="L1038" t="inlineStr">
        <is>
          <t>KOTA BEKASI</t>
        </is>
      </c>
      <c r="M1038" t="n">
        <v>3341160907</v>
      </c>
      <c r="N1038" t="n">
        <v>14318452</v>
      </c>
      <c r="O1038">
        <f>HYPERLINK("https://shopee.co.id/api/v4/item/get?itemid=3341160907&amp;shopid=14318452", "Buavita Guava 500 ml x 2 Pcs")</f>
        <v/>
      </c>
      <c r="P1038" t="n">
        <v>25</v>
      </c>
      <c r="Q1038" t="n">
        <v>149</v>
      </c>
      <c r="R1038" t="n">
        <v>4.865412445730825</v>
      </c>
      <c r="S1038" t="n">
        <v>7</v>
      </c>
      <c r="T1038" t="n">
        <v>5</v>
      </c>
      <c r="U1038" t="n">
        <v>6</v>
      </c>
      <c r="V1038" t="n">
        <v>38</v>
      </c>
      <c r="W1038" t="n">
        <v>638</v>
      </c>
    </row>
    <row r="1039">
      <c r="A1039" t="inlineStr">
        <is>
          <t>Zwitsal Baby Milky Bath Natural Rich Honey 200 ml Twin Pack</t>
        </is>
      </c>
      <c r="B1039" t="inlineStr">
        <is>
          <t>Zwitsal</t>
        </is>
      </c>
      <c r="C1039" t="inlineStr">
        <is>
          <t>16%</t>
        </is>
      </c>
      <c r="D1039" t="n">
        <v>43700</v>
      </c>
      <c r="E1039" t="n">
        <v>51800</v>
      </c>
      <c r="F1039" t="n">
        <v>43700</v>
      </c>
      <c r="G1039" t="n">
        <v>51800</v>
      </c>
      <c r="H1039" t="n">
        <v>43700</v>
      </c>
      <c r="I1039" t="n">
        <v>51800</v>
      </c>
      <c r="J1039" t="b">
        <v>1</v>
      </c>
      <c r="K1039" t="inlineStr">
        <is>
          <t>Unilever Indonesia Official Shop</t>
        </is>
      </c>
      <c r="L1039" t="inlineStr">
        <is>
          <t>KOTA BEKASI</t>
        </is>
      </c>
      <c r="M1039" t="n">
        <v>6631825870</v>
      </c>
      <c r="N1039" t="n">
        <v>14318452</v>
      </c>
      <c r="O1039">
        <f>HYPERLINK("https://shopee.co.id/api/v4/item/get?itemid=6631825870&amp;shopid=14318452", "Zwitsal Baby Milky Bath Natural Rich Honey 200 ml Twin Pack")</f>
        <v/>
      </c>
      <c r="P1039" t="n">
        <v>11</v>
      </c>
      <c r="Q1039" t="n">
        <v>87</v>
      </c>
      <c r="R1039" t="n">
        <v>4.946969696969697</v>
      </c>
      <c r="S1039" t="n">
        <v>1</v>
      </c>
      <c r="T1039" t="n">
        <v>0</v>
      </c>
      <c r="U1039" t="n">
        <v>2</v>
      </c>
      <c r="V1039" t="n">
        <v>6</v>
      </c>
      <c r="W1039" t="n">
        <v>255</v>
      </c>
    </row>
    <row r="1040">
      <c r="A1040" t="inlineStr">
        <is>
          <t>Vaseline Lotion Healthy Bright SPF24 PA++ 400ml Multi Pack</t>
        </is>
      </c>
      <c r="B1040" t="inlineStr">
        <is>
          <t>Vaseline</t>
        </is>
      </c>
      <c r="C1040" t="inlineStr">
        <is>
          <t>16%</t>
        </is>
      </c>
      <c r="D1040" t="n">
        <v>201500</v>
      </c>
      <c r="E1040" t="n">
        <v>240100</v>
      </c>
      <c r="F1040" t="n">
        <v>201500</v>
      </c>
      <c r="G1040" t="n">
        <v>240100</v>
      </c>
      <c r="H1040" t="n">
        <v>201500</v>
      </c>
      <c r="I1040" t="n">
        <v>240100</v>
      </c>
      <c r="J1040" t="b">
        <v>1</v>
      </c>
      <c r="K1040" t="inlineStr">
        <is>
          <t>Unilever Indonesia Official Shop</t>
        </is>
      </c>
      <c r="L1040" t="inlineStr">
        <is>
          <t>KOTA BEKASI</t>
        </is>
      </c>
      <c r="M1040" t="n">
        <v>7931722470</v>
      </c>
      <c r="N1040" t="n">
        <v>14318452</v>
      </c>
      <c r="O1040">
        <f>HYPERLINK("https://shopee.co.id/api/v4/item/get?itemid=7931722470&amp;shopid=14318452", "Vaseline Lotion Healthy Bright SPF24 PA++ 400ml Multi Pack")</f>
        <v/>
      </c>
      <c r="P1040" t="n">
        <v>146</v>
      </c>
      <c r="Q1040" t="n">
        <v>1542</v>
      </c>
      <c r="R1040" t="n">
        <v>4.811845286059629</v>
      </c>
      <c r="S1040" t="n">
        <v>28</v>
      </c>
      <c r="T1040" t="n">
        <v>17</v>
      </c>
      <c r="U1040" t="n">
        <v>64</v>
      </c>
      <c r="V1040" t="n">
        <v>187</v>
      </c>
      <c r="W1040" t="n">
        <v>2189</v>
      </c>
    </row>
    <row r="1041">
      <c r="A1041" t="inlineStr">
        <is>
          <t>Vixal Pembersih Porselen Ekstra Kuat 500 ml - Twinpack</t>
        </is>
      </c>
      <c r="B1041" t="inlineStr">
        <is>
          <t>0</t>
        </is>
      </c>
      <c r="C1041" t="inlineStr">
        <is>
          <t>54%</t>
        </is>
      </c>
      <c r="D1041" t="n">
        <v>24400</v>
      </c>
      <c r="E1041" t="n">
        <v>53200</v>
      </c>
      <c r="F1041" t="n">
        <v>24400</v>
      </c>
      <c r="G1041" t="n">
        <v>53200</v>
      </c>
      <c r="H1041" t="n">
        <v>24400</v>
      </c>
      <c r="I1041" t="n">
        <v>53200</v>
      </c>
      <c r="J1041" t="b">
        <v>1</v>
      </c>
      <c r="K1041" t="inlineStr">
        <is>
          <t>Unilever Indonesia Official Shop</t>
        </is>
      </c>
      <c r="L1041" t="inlineStr">
        <is>
          <t>KOTA BEKASI</t>
        </is>
      </c>
      <c r="M1041" t="n">
        <v>4858368254</v>
      </c>
      <c r="N1041" t="n">
        <v>14318452</v>
      </c>
      <c r="O1041">
        <f>HYPERLINK("https://shopee.co.id/api/v4/item/get?itemid=4858368254&amp;shopid=14318452", "Vixal Pembersih Porselen Ekstra Kuat 500 ml - Twinpack")</f>
        <v/>
      </c>
      <c r="P1041" t="n">
        <v>120</v>
      </c>
      <c r="Q1041" t="n">
        <v>236</v>
      </c>
      <c r="R1041" t="n">
        <v>4.882978723404255</v>
      </c>
      <c r="S1041" t="n">
        <v>5</v>
      </c>
      <c r="T1041" t="n">
        <v>2</v>
      </c>
      <c r="U1041" t="n">
        <v>5</v>
      </c>
      <c r="V1041" t="n">
        <v>45</v>
      </c>
      <c r="W1041" t="n">
        <v>602</v>
      </c>
    </row>
    <row r="1042">
      <c r="A1042" t="inlineStr">
        <is>
          <t>Buavita Juice Jus Kemasan Rasa Buah Asli Jambu Guava 1000Ml</t>
        </is>
      </c>
      <c r="B1042" t="inlineStr">
        <is>
          <t>Buavita</t>
        </is>
      </c>
      <c r="C1042" t="inlineStr">
        <is>
          <t>28%</t>
        </is>
      </c>
      <c r="D1042" t="n">
        <v>19500</v>
      </c>
      <c r="E1042" t="n">
        <v>27200</v>
      </c>
      <c r="F1042" t="n">
        <v>19500</v>
      </c>
      <c r="G1042" t="n">
        <v>27200</v>
      </c>
      <c r="H1042" t="n">
        <v>19500</v>
      </c>
      <c r="I1042" t="n">
        <v>27200</v>
      </c>
      <c r="J1042" t="b">
        <v>1</v>
      </c>
      <c r="K1042" t="inlineStr">
        <is>
          <t>Unilever Indonesia Official Shop</t>
        </is>
      </c>
      <c r="L1042" t="inlineStr">
        <is>
          <t>KOTA SURABAYA</t>
        </is>
      </c>
      <c r="M1042" t="n">
        <v>3958057258</v>
      </c>
      <c r="N1042" t="n">
        <v>14318452</v>
      </c>
      <c r="O1042">
        <f>HYPERLINK("https://shopee.co.id/api/v4/item/get?itemid=3958057258&amp;shopid=14318452", "Buavita Juice Jus Kemasan Rasa Buah Asli Jambu Guava 1000Ml")</f>
        <v/>
      </c>
      <c r="P1042" t="n">
        <v>79</v>
      </c>
      <c r="Q1042" t="n">
        <v>148</v>
      </c>
      <c r="R1042" t="n">
        <v>4.835820895522388</v>
      </c>
      <c r="S1042" t="n">
        <v>8</v>
      </c>
      <c r="T1042" t="n">
        <v>4</v>
      </c>
      <c r="U1042" t="n">
        <v>20</v>
      </c>
      <c r="V1042" t="n">
        <v>48</v>
      </c>
      <c r="W1042" t="n">
        <v>732</v>
      </c>
    </row>
    <row r="1043">
      <c r="A1043" t="inlineStr">
        <is>
          <t>Dove Shampo Perawatan Rambut Rusak Sampo 70 ML</t>
        </is>
      </c>
      <c r="B1043" t="inlineStr"/>
      <c r="C1043" t="inlineStr">
        <is>
          <t>1%</t>
        </is>
      </c>
      <c r="D1043" t="n">
        <v>18800</v>
      </c>
      <c r="E1043" t="n">
        <v>18900</v>
      </c>
      <c r="F1043" t="n">
        <v>18800</v>
      </c>
      <c r="G1043" t="n">
        <v>18900</v>
      </c>
      <c r="H1043" t="n">
        <v>18800</v>
      </c>
      <c r="I1043" t="n">
        <v>18900</v>
      </c>
      <c r="J1043" t="b">
        <v>1</v>
      </c>
      <c r="K1043" t="inlineStr">
        <is>
          <t>Unilever Indonesia Official Shop</t>
        </is>
      </c>
      <c r="L1043" t="inlineStr">
        <is>
          <t>KOTA BEKASI</t>
        </is>
      </c>
      <c r="M1043" t="n">
        <v>8751349976</v>
      </c>
      <c r="N1043" t="n">
        <v>14318452</v>
      </c>
      <c r="O1043">
        <f>HYPERLINK("https://shopee.co.id/api/v4/item/get?itemid=8751349976&amp;shopid=14318452", "Dove Shampo Perawatan Rambut Rusak Sampo 70 ML")</f>
        <v/>
      </c>
      <c r="P1043" t="n">
        <v>58</v>
      </c>
      <c r="Q1043" t="n">
        <v>313</v>
      </c>
      <c r="R1043" t="n">
        <v>4.885714285714286</v>
      </c>
      <c r="S1043" t="n">
        <v>1</v>
      </c>
      <c r="T1043" t="n">
        <v>2</v>
      </c>
      <c r="U1043" t="n">
        <v>7</v>
      </c>
      <c r="V1043" t="n">
        <v>56</v>
      </c>
      <c r="W1043" t="n">
        <v>634</v>
      </c>
    </row>
    <row r="1044">
      <c r="A1044" t="inlineStr">
        <is>
          <t>Buavita Apple 500 ml</t>
        </is>
      </c>
      <c r="B1044" t="inlineStr">
        <is>
          <t>0</t>
        </is>
      </c>
      <c r="C1044" t="inlineStr">
        <is>
          <t>23%</t>
        </is>
      </c>
      <c r="D1044" t="n">
        <v>11500</v>
      </c>
      <c r="E1044" t="n">
        <v>15000</v>
      </c>
      <c r="F1044" t="n">
        <v>11500</v>
      </c>
      <c r="G1044" t="n">
        <v>15000</v>
      </c>
      <c r="H1044" t="n">
        <v>11500</v>
      </c>
      <c r="I1044" t="n">
        <v>15000</v>
      </c>
      <c r="J1044" t="b">
        <v>1</v>
      </c>
      <c r="K1044" t="inlineStr">
        <is>
          <t>Unilever Indonesia Official Shop</t>
        </is>
      </c>
      <c r="L1044" t="inlineStr">
        <is>
          <t>KOTA BEKASI</t>
        </is>
      </c>
      <c r="M1044" t="n">
        <v>1921369026</v>
      </c>
      <c r="N1044" t="n">
        <v>14318452</v>
      </c>
      <c r="O1044">
        <f>HYPERLINK("https://shopee.co.id/api/v4/item/get?itemid=1921369026&amp;shopid=14318452", "Buavita Apple 500 ml")</f>
        <v/>
      </c>
      <c r="P1044" t="n">
        <v>52</v>
      </c>
      <c r="Q1044" t="n">
        <v>160</v>
      </c>
      <c r="R1044" t="n">
        <v>4.816311535635562</v>
      </c>
      <c r="S1044" t="n">
        <v>18</v>
      </c>
      <c r="T1044" t="n">
        <v>9</v>
      </c>
      <c r="U1044" t="n">
        <v>31</v>
      </c>
      <c r="V1044" t="n">
        <v>93</v>
      </c>
      <c r="W1044" t="n">
        <v>1211</v>
      </c>
    </row>
    <row r="1045">
      <c r="A1045" t="inlineStr">
        <is>
          <t>Vaseline Lotion Healthy Bright Perfect 10 400ml Multi Pack</t>
        </is>
      </c>
      <c r="B1045" t="inlineStr">
        <is>
          <t>Vaseline</t>
        </is>
      </c>
      <c r="C1045" t="inlineStr">
        <is>
          <t>16%</t>
        </is>
      </c>
      <c r="D1045" t="n">
        <v>201800</v>
      </c>
      <c r="E1045" t="n">
        <v>240100</v>
      </c>
      <c r="F1045" t="n">
        <v>201800</v>
      </c>
      <c r="G1045" t="n">
        <v>240100</v>
      </c>
      <c r="H1045" t="n">
        <v>201800</v>
      </c>
      <c r="I1045" t="n">
        <v>240100</v>
      </c>
      <c r="J1045" t="b">
        <v>1</v>
      </c>
      <c r="K1045" t="inlineStr">
        <is>
          <t>Unilever Indonesia Official Shop</t>
        </is>
      </c>
      <c r="L1045" t="inlineStr">
        <is>
          <t>KOTA BEKASI</t>
        </is>
      </c>
      <c r="M1045" t="n">
        <v>6431821751</v>
      </c>
      <c r="N1045" t="n">
        <v>14318452</v>
      </c>
      <c r="O1045">
        <f>HYPERLINK("https://shopee.co.id/api/v4/item/get?itemid=6431821751&amp;shopid=14318452", "Vaseline Lotion Healthy Bright Perfect 10 400ml Multi Pack")</f>
        <v/>
      </c>
      <c r="P1045" t="n">
        <v>182</v>
      </c>
      <c r="Q1045" t="n">
        <v>1056</v>
      </c>
      <c r="R1045" t="n">
        <v>4.875529212531752</v>
      </c>
      <c r="S1045" t="n">
        <v>5</v>
      </c>
      <c r="T1045" t="n">
        <v>5</v>
      </c>
      <c r="U1045" t="n">
        <v>26</v>
      </c>
      <c r="V1045" t="n">
        <v>70</v>
      </c>
      <c r="W1045" t="n">
        <v>1078</v>
      </c>
    </row>
    <row r="1046">
      <c r="A1046" t="inlineStr">
        <is>
          <t>Lux Soft Rose Sabun Cair Refill 450ml Multi Pack</t>
        </is>
      </c>
      <c r="B1046" t="inlineStr">
        <is>
          <t>LUX</t>
        </is>
      </c>
      <c r="C1046" t="inlineStr">
        <is>
          <t>27%</t>
        </is>
      </c>
      <c r="D1046" t="n">
        <v>67500</v>
      </c>
      <c r="E1046" t="n">
        <v>92600</v>
      </c>
      <c r="F1046" t="n">
        <v>67500</v>
      </c>
      <c r="G1046" t="n">
        <v>92600</v>
      </c>
      <c r="H1046" t="n">
        <v>67500</v>
      </c>
      <c r="I1046" t="n">
        <v>92600</v>
      </c>
      <c r="J1046" t="b">
        <v>1</v>
      </c>
      <c r="K1046" t="inlineStr">
        <is>
          <t>Unilever Indonesia Official Shop</t>
        </is>
      </c>
      <c r="L1046" t="inlineStr">
        <is>
          <t>KOTA BEKASI</t>
        </is>
      </c>
      <c r="M1046" t="n">
        <v>4631702248</v>
      </c>
      <c r="N1046" t="n">
        <v>14318452</v>
      </c>
      <c r="O1046">
        <f>HYPERLINK("https://shopee.co.id/api/v4/item/get?itemid=4631702248&amp;shopid=14318452", "Lux Soft Rose Sabun Cair Refill 450ml Multi Pack")</f>
        <v/>
      </c>
      <c r="P1046" t="n">
        <v>49</v>
      </c>
      <c r="Q1046" t="n">
        <v>8</v>
      </c>
      <c r="R1046" t="n">
        <v>4.878737541528239</v>
      </c>
      <c r="S1046" t="n">
        <v>8</v>
      </c>
      <c r="T1046" t="n">
        <v>0</v>
      </c>
      <c r="U1046" t="n">
        <v>7</v>
      </c>
      <c r="V1046" t="n">
        <v>27</v>
      </c>
      <c r="W1046" t="n">
        <v>565</v>
      </c>
    </row>
    <row r="1047">
      <c r="A1047" t="inlineStr">
        <is>
          <t>Tresemme Shampoo + Conditioner For Bleached Hair Color Radiance &amp; Repair 250ml</t>
        </is>
      </c>
      <c r="B1047" t="inlineStr"/>
      <c r="C1047" t="inlineStr">
        <is>
          <t>21%</t>
        </is>
      </c>
      <c r="D1047" t="n">
        <v>161400</v>
      </c>
      <c r="E1047" t="n">
        <v>203400</v>
      </c>
      <c r="F1047" t="n">
        <v>161400</v>
      </c>
      <c r="G1047" t="n">
        <v>203400</v>
      </c>
      <c r="H1047" t="n">
        <v>161400</v>
      </c>
      <c r="I1047" t="n">
        <v>203400</v>
      </c>
      <c r="J1047" t="b">
        <v>1</v>
      </c>
      <c r="K1047" t="inlineStr">
        <is>
          <t>Unilever Indonesia Official Shop</t>
        </is>
      </c>
      <c r="L1047" t="inlineStr">
        <is>
          <t>KOTA DENPASAR</t>
        </is>
      </c>
      <c r="M1047" t="n">
        <v>5056395518</v>
      </c>
      <c r="N1047" t="n">
        <v>14318452</v>
      </c>
      <c r="O1047">
        <f>HYPERLINK("https://shopee.co.id/api/v4/item/get?itemid=5056395518&amp;shopid=14318452", "Tresemme Shampoo + Conditioner For Bleached Hair Color Radiance &amp; Repair 250ml")</f>
        <v/>
      </c>
      <c r="P1047" t="n">
        <v>193</v>
      </c>
      <c r="Q1047" t="n">
        <v>13</v>
      </c>
      <c r="R1047" t="n">
        <v>4.852534562211981</v>
      </c>
      <c r="S1047" t="n">
        <v>9</v>
      </c>
      <c r="T1047" t="n">
        <v>16</v>
      </c>
      <c r="U1047" t="n">
        <v>26</v>
      </c>
      <c r="V1047" t="n">
        <v>66</v>
      </c>
      <c r="W1047" t="n">
        <v>1189</v>
      </c>
    </row>
    <row r="1048">
      <c r="A1048" t="inlineStr">
        <is>
          <t>Buavita Juice Mangga 500 ml</t>
        </is>
      </c>
      <c r="B1048" t="inlineStr"/>
      <c r="C1048" t="inlineStr">
        <is>
          <t>25%</t>
        </is>
      </c>
      <c r="D1048" t="n">
        <v>10500</v>
      </c>
      <c r="E1048" t="n">
        <v>14000</v>
      </c>
      <c r="F1048" t="n">
        <v>10500</v>
      </c>
      <c r="G1048" t="n">
        <v>14000</v>
      </c>
      <c r="H1048" t="n">
        <v>10500</v>
      </c>
      <c r="I1048" t="n">
        <v>14000</v>
      </c>
      <c r="J1048" t="b">
        <v>1</v>
      </c>
      <c r="K1048" t="inlineStr">
        <is>
          <t>Unilever Indonesia Official Shop</t>
        </is>
      </c>
      <c r="L1048" t="inlineStr">
        <is>
          <t>KOTA BEKASI</t>
        </is>
      </c>
      <c r="M1048" t="n">
        <v>4465313720</v>
      </c>
      <c r="N1048" t="n">
        <v>14318452</v>
      </c>
      <c r="O1048">
        <f>HYPERLINK("https://shopee.co.id/api/v4/item/get?itemid=4465313720&amp;shopid=14318452", "Buavita Juice Mangga 500 ml")</f>
        <v/>
      </c>
      <c r="P1048" t="n">
        <v>107</v>
      </c>
      <c r="Q1048" t="n">
        <v>298</v>
      </c>
      <c r="R1048" t="n">
        <v>4.811942959001782</v>
      </c>
      <c r="S1048" t="n">
        <v>15</v>
      </c>
      <c r="T1048" t="n">
        <v>10</v>
      </c>
      <c r="U1048" t="n">
        <v>21</v>
      </c>
      <c r="V1048" t="n">
        <v>79</v>
      </c>
      <c r="W1048" t="n">
        <v>997</v>
      </c>
    </row>
    <row r="1049">
      <c r="A1049" t="inlineStr">
        <is>
          <t>Wipol Sabun Karbol Pembersih Lantai Karbol Cemara Perlindungan Dari Kuman 750 ml Multi Pack</t>
        </is>
      </c>
      <c r="B1049" t="inlineStr">
        <is>
          <t>Wipol</t>
        </is>
      </c>
      <c r="C1049" t="inlineStr">
        <is>
          <t>19%</t>
        </is>
      </c>
      <c r="D1049" t="n">
        <v>80000</v>
      </c>
      <c r="E1049" t="n">
        <v>98700</v>
      </c>
      <c r="F1049" t="n">
        <v>80000</v>
      </c>
      <c r="G1049" t="n">
        <v>98700</v>
      </c>
      <c r="H1049" t="n">
        <v>80000</v>
      </c>
      <c r="I1049" t="n">
        <v>98700</v>
      </c>
      <c r="J1049" t="b">
        <v>1</v>
      </c>
      <c r="K1049" t="inlineStr">
        <is>
          <t>Unilever Indonesia Official Shop</t>
        </is>
      </c>
      <c r="L1049" t="inlineStr">
        <is>
          <t>KOTA BEKASI</t>
        </is>
      </c>
      <c r="M1049" t="n">
        <v>4837717789</v>
      </c>
      <c r="N1049" t="n">
        <v>14318452</v>
      </c>
      <c r="O1049">
        <f>HYPERLINK("https://shopee.co.id/api/v4/item/get?itemid=4837717789&amp;shopid=14318452", "Wipol Sabun Karbol Pembersih Lantai Karbol Cemara Perlindungan Dari Kuman 750 ml Multi Pack")</f>
        <v/>
      </c>
      <c r="P1049" t="n">
        <v>12</v>
      </c>
      <c r="Q1049" t="n">
        <v>151</v>
      </c>
      <c r="R1049" t="n">
        <v>4.925764192139738</v>
      </c>
      <c r="S1049" t="n">
        <v>0</v>
      </c>
      <c r="T1049" t="n">
        <v>2</v>
      </c>
      <c r="U1049" t="n">
        <v>1</v>
      </c>
      <c r="V1049" t="n">
        <v>9</v>
      </c>
      <c r="W1049" t="n">
        <v>217</v>
      </c>
    </row>
    <row r="1050">
      <c r="A1050" t="inlineStr">
        <is>
          <t>Lux Aqua Delight Sabun Cair Refill 400ml Twin Pack</t>
        </is>
      </c>
      <c r="B1050" t="inlineStr">
        <is>
          <t>0</t>
        </is>
      </c>
      <c r="C1050" t="inlineStr">
        <is>
          <t>28%</t>
        </is>
      </c>
      <c r="D1050" t="n">
        <v>45000</v>
      </c>
      <c r="E1050" t="n">
        <v>62800</v>
      </c>
      <c r="F1050" t="n">
        <v>45000</v>
      </c>
      <c r="G1050" t="n">
        <v>62800</v>
      </c>
      <c r="H1050" t="n">
        <v>45000</v>
      </c>
      <c r="I1050" t="n">
        <v>62800</v>
      </c>
      <c r="J1050" t="b">
        <v>1</v>
      </c>
      <c r="K1050" t="inlineStr">
        <is>
          <t>Unilever Indonesia Official Shop</t>
        </is>
      </c>
      <c r="L1050" t="inlineStr">
        <is>
          <t>KOTA BEKASI</t>
        </is>
      </c>
      <c r="M1050" t="n">
        <v>3431452306</v>
      </c>
      <c r="N1050" t="n">
        <v>14318452</v>
      </c>
      <c r="O1050">
        <f>HYPERLINK("https://shopee.co.id/api/v4/item/get?itemid=3431452306&amp;shopid=14318452", "Lux Aqua Delight Sabun Cair Refill 400ml Twin Pack")</f>
        <v/>
      </c>
      <c r="P1050" t="n">
        <v>25</v>
      </c>
      <c r="Q1050" t="n">
        <v>9</v>
      </c>
      <c r="R1050" t="n">
        <v>4.906649616368286</v>
      </c>
      <c r="S1050" t="n">
        <v>5</v>
      </c>
      <c r="T1050" t="n">
        <v>4</v>
      </c>
      <c r="U1050" t="n">
        <v>4</v>
      </c>
      <c r="V1050" t="n">
        <v>37</v>
      </c>
      <c r="W1050" t="n">
        <v>733</v>
      </c>
    </row>
    <row r="1051">
      <c r="A1051" t="inlineStr">
        <is>
          <t>Wipol Double Power Surface Disinfectant Bleach Spray 500 ml</t>
        </is>
      </c>
      <c r="B1051" t="inlineStr"/>
      <c r="C1051" t="inlineStr">
        <is>
          <t>15%</t>
        </is>
      </c>
      <c r="D1051" t="n">
        <v>21400</v>
      </c>
      <c r="E1051" t="n">
        <v>25100</v>
      </c>
      <c r="F1051" t="n">
        <v>21400</v>
      </c>
      <c r="G1051" t="n">
        <v>25100</v>
      </c>
      <c r="H1051" t="n">
        <v>21400</v>
      </c>
      <c r="I1051" t="n">
        <v>25100</v>
      </c>
      <c r="J1051" t="b">
        <v>1</v>
      </c>
      <c r="K1051" t="inlineStr">
        <is>
          <t>Unilever Indonesia Official Shop</t>
        </is>
      </c>
      <c r="L1051" t="inlineStr">
        <is>
          <t>KOTA BEKASI</t>
        </is>
      </c>
      <c r="M1051" t="n">
        <v>5856941921</v>
      </c>
      <c r="N1051" t="n">
        <v>14318452</v>
      </c>
      <c r="O1051">
        <f>HYPERLINK("https://shopee.co.id/api/v4/item/get?itemid=5856941921&amp;shopid=14318452", "Wipol Double Power Surface Disinfectant Bleach Spray 500 ml")</f>
        <v/>
      </c>
      <c r="P1051" t="n">
        <v>21</v>
      </c>
      <c r="Q1051" t="n">
        <v>209</v>
      </c>
      <c r="R1051" t="n">
        <v>4.815555555555555</v>
      </c>
      <c r="S1051" t="n">
        <v>23</v>
      </c>
      <c r="T1051" t="n">
        <v>5</v>
      </c>
      <c r="U1051" t="n">
        <v>26</v>
      </c>
      <c r="V1051" t="n">
        <v>93</v>
      </c>
      <c r="W1051" t="n">
        <v>1204</v>
      </c>
    </row>
    <row r="1052">
      <c r="A1052" t="inlineStr">
        <is>
          <t>Lux Magical Spell Sabun Cair Refill 400ml (Paket Isi 4)</t>
        </is>
      </c>
      <c r="B1052" t="inlineStr">
        <is>
          <t>0</t>
        </is>
      </c>
      <c r="C1052" t="inlineStr">
        <is>
          <t>27%</t>
        </is>
      </c>
      <c r="D1052" t="n">
        <v>89900</v>
      </c>
      <c r="E1052" t="n">
        <v>123500</v>
      </c>
      <c r="F1052" t="n">
        <v>89900</v>
      </c>
      <c r="G1052" t="n">
        <v>123500</v>
      </c>
      <c r="H1052" t="n">
        <v>89900</v>
      </c>
      <c r="I1052" t="n">
        <v>123500</v>
      </c>
      <c r="J1052" t="b">
        <v>1</v>
      </c>
      <c r="K1052" t="inlineStr">
        <is>
          <t>Unilever Indonesia Official Shop</t>
        </is>
      </c>
      <c r="L1052" t="inlineStr">
        <is>
          <t>KOTA SEMARANG</t>
        </is>
      </c>
      <c r="M1052" t="n">
        <v>6431353978</v>
      </c>
      <c r="N1052" t="n">
        <v>14318452</v>
      </c>
      <c r="O1052">
        <f>HYPERLINK("https://shopee.co.id/api/v4/item/get?itemid=6431353978&amp;shopid=14318452", "Lux Magical Spell Sabun Cair Refill 400ml (Paket Isi 4)")</f>
        <v/>
      </c>
      <c r="P1052" t="n">
        <v>94</v>
      </c>
      <c r="Q1052" t="n">
        <v>10</v>
      </c>
      <c r="R1052" t="n">
        <v>4.926530612244898</v>
      </c>
      <c r="S1052" t="n">
        <v>2</v>
      </c>
      <c r="T1052" t="n">
        <v>4</v>
      </c>
      <c r="U1052" t="n">
        <v>11</v>
      </c>
      <c r="V1052" t="n">
        <v>19</v>
      </c>
      <c r="W1052" t="n">
        <v>701</v>
      </c>
    </row>
    <row r="1053">
      <c r="A1053" t="inlineStr">
        <is>
          <t>Ponds Men Bright Boost Face Scrub 50G</t>
        </is>
      </c>
      <c r="B1053" t="inlineStr">
        <is>
          <t>0</t>
        </is>
      </c>
      <c r="C1053" t="inlineStr">
        <is>
          <t>11%</t>
        </is>
      </c>
      <c r="D1053" t="n">
        <v>26200</v>
      </c>
      <c r="E1053" t="n">
        <v>29500</v>
      </c>
      <c r="F1053" t="n">
        <v>26200</v>
      </c>
      <c r="G1053" t="n">
        <v>29500</v>
      </c>
      <c r="H1053" t="n">
        <v>26200</v>
      </c>
      <c r="I1053" t="n">
        <v>29500</v>
      </c>
      <c r="J1053" t="b">
        <v>1</v>
      </c>
      <c r="K1053" t="inlineStr">
        <is>
          <t>Unilever Indonesia Official Shop</t>
        </is>
      </c>
      <c r="L1053" t="inlineStr">
        <is>
          <t>KOTA BEKASI</t>
        </is>
      </c>
      <c r="M1053" t="n">
        <v>3173242108</v>
      </c>
      <c r="N1053" t="n">
        <v>14318452</v>
      </c>
      <c r="O1053">
        <f>HYPERLINK("https://shopee.co.id/api/v4/item/get?itemid=3173242108&amp;shopid=14318452", "Ponds Men Bright Boost Face Scrub 50G")</f>
        <v/>
      </c>
      <c r="P1053" t="n">
        <v>157</v>
      </c>
      <c r="Q1053" t="n">
        <v>284</v>
      </c>
      <c r="R1053" t="n">
        <v>4.778526970954357</v>
      </c>
      <c r="S1053" t="n">
        <v>21</v>
      </c>
      <c r="T1053" t="n">
        <v>18</v>
      </c>
      <c r="U1053" t="n">
        <v>50</v>
      </c>
      <c r="V1053" t="n">
        <v>192</v>
      </c>
      <c r="W1053" t="n">
        <v>1648</v>
      </c>
    </row>
    <row r="1054">
      <c r="A1054" t="inlineStr">
        <is>
          <t>Molto Pelembut Dan Pewangi All In 1 Pink 720Ml Twinpack</t>
        </is>
      </c>
      <c r="B1054" t="inlineStr">
        <is>
          <t>0</t>
        </is>
      </c>
      <c r="C1054" t="inlineStr">
        <is>
          <t>21%</t>
        </is>
      </c>
      <c r="D1054" t="n">
        <v>62000</v>
      </c>
      <c r="E1054" t="n">
        <v>78600</v>
      </c>
      <c r="F1054" t="n">
        <v>62000</v>
      </c>
      <c r="G1054" t="n">
        <v>78600</v>
      </c>
      <c r="H1054" t="n">
        <v>62000</v>
      </c>
      <c r="I1054" t="n">
        <v>78600</v>
      </c>
      <c r="J1054" t="b">
        <v>1</v>
      </c>
      <c r="K1054" t="inlineStr">
        <is>
          <t>Unilever Indonesia Official Shop</t>
        </is>
      </c>
      <c r="L1054" t="inlineStr">
        <is>
          <t>KOTA BEKASI</t>
        </is>
      </c>
      <c r="M1054" t="n">
        <v>7358371181</v>
      </c>
      <c r="N1054" t="n">
        <v>14318452</v>
      </c>
      <c r="O1054">
        <f>HYPERLINK("https://shopee.co.id/api/v4/item/get?itemid=7358371181&amp;shopid=14318452", "Molto Pelembut Dan Pewangi All In 1 Pink 720Ml Twinpack")</f>
        <v/>
      </c>
      <c r="P1054" t="n">
        <v>10</v>
      </c>
      <c r="Q1054" t="n">
        <v>146</v>
      </c>
      <c r="R1054" t="n">
        <v>4.916666666666667</v>
      </c>
      <c r="S1054" t="n">
        <v>1</v>
      </c>
      <c r="T1054" t="n">
        <v>1</v>
      </c>
      <c r="U1054" t="n">
        <v>2</v>
      </c>
      <c r="V1054" t="n">
        <v>13</v>
      </c>
      <c r="W1054" t="n">
        <v>236</v>
      </c>
    </row>
    <row r="1055">
      <c r="A1055" t="inlineStr">
        <is>
          <t>Lifebuoy Sabun Mandi Total 10 850 Ml dan Wipol Pembersih Lantai 780 Ml</t>
        </is>
      </c>
      <c r="B1055" t="inlineStr">
        <is>
          <t>Lifebuoy</t>
        </is>
      </c>
      <c r="C1055" t="inlineStr">
        <is>
          <t>28%</t>
        </is>
      </c>
      <c r="D1055" t="n">
        <v>58200</v>
      </c>
      <c r="E1055" t="n">
        <v>80400</v>
      </c>
      <c r="F1055" t="n">
        <v>58200</v>
      </c>
      <c r="G1055" t="n">
        <v>80400</v>
      </c>
      <c r="H1055" t="n">
        <v>58200</v>
      </c>
      <c r="I1055" t="n">
        <v>80400</v>
      </c>
      <c r="J1055" t="b">
        <v>1</v>
      </c>
      <c r="K1055" t="inlineStr">
        <is>
          <t>Unilever Indonesia Official Shop</t>
        </is>
      </c>
      <c r="L1055" t="inlineStr">
        <is>
          <t>KOTA BEKASI</t>
        </is>
      </c>
      <c r="M1055" t="n">
        <v>9317219628</v>
      </c>
      <c r="N1055" t="n">
        <v>14318452</v>
      </c>
      <c r="O1055">
        <f>HYPERLINK("https://shopee.co.id/api/v4/item/get?itemid=9317219628&amp;shopid=14318452", "Lifebuoy Sabun Mandi Total 10 850 Ml dan Wipol Pembersih Lantai 780 Ml")</f>
        <v/>
      </c>
      <c r="P1055" t="n">
        <v>23</v>
      </c>
      <c r="Q1055" t="n">
        <v>6366</v>
      </c>
      <c r="R1055" t="n">
        <v>4.929411764705883</v>
      </c>
      <c r="S1055" t="n">
        <v>1</v>
      </c>
      <c r="T1055" t="n">
        <v>0</v>
      </c>
      <c r="U1055" t="n">
        <v>5</v>
      </c>
      <c r="V1055" t="n">
        <v>28</v>
      </c>
      <c r="W1055" t="n">
        <v>561</v>
      </c>
    </row>
    <row r="1056">
      <c r="A1056" t="inlineStr">
        <is>
          <t>Dove Shampoo Nutritive Solutions Total Damage Treatment 290 ml -Triplepack</t>
        </is>
      </c>
      <c r="B1056" t="inlineStr">
        <is>
          <t>Dove</t>
        </is>
      </c>
      <c r="C1056" t="inlineStr">
        <is>
          <t>1%</t>
        </is>
      </c>
      <c r="D1056" t="n">
        <v>160300</v>
      </c>
      <c r="E1056" t="n">
        <v>161900</v>
      </c>
      <c r="F1056" t="n">
        <v>160300</v>
      </c>
      <c r="G1056" t="n">
        <v>161900</v>
      </c>
      <c r="H1056" t="n">
        <v>160300</v>
      </c>
      <c r="I1056" t="n">
        <v>161900</v>
      </c>
      <c r="J1056" t="b">
        <v>1</v>
      </c>
      <c r="K1056" t="inlineStr">
        <is>
          <t>Unilever Indonesia Official Shop</t>
        </is>
      </c>
      <c r="L1056" t="inlineStr">
        <is>
          <t>KOTA BEKASI</t>
        </is>
      </c>
      <c r="M1056" t="n">
        <v>7131172835</v>
      </c>
      <c r="N1056" t="n">
        <v>14318452</v>
      </c>
      <c r="O1056">
        <f>HYPERLINK("https://shopee.co.id/api/v4/item/get?itemid=7131172835&amp;shopid=14318452", "Dove Shampoo Nutritive Solutions Total Damage Treatment 290 ml -Triplepack")</f>
        <v/>
      </c>
      <c r="P1056" t="n">
        <v>37</v>
      </c>
      <c r="Q1056" t="n">
        <v>150</v>
      </c>
      <c r="R1056" t="n">
        <v>4.783102143757882</v>
      </c>
      <c r="S1056" t="n">
        <v>18</v>
      </c>
      <c r="T1056" t="n">
        <v>9</v>
      </c>
      <c r="U1056" t="n">
        <v>17</v>
      </c>
      <c r="V1056" t="n">
        <v>39</v>
      </c>
      <c r="W1056" t="n">
        <v>710</v>
      </c>
    </row>
    <row r="1057">
      <c r="A1057" t="inlineStr">
        <is>
          <t>Pond'S Bright Beauty Lightening Toner 150Ml</t>
        </is>
      </c>
      <c r="B1057" t="inlineStr"/>
      <c r="C1057" t="inlineStr">
        <is>
          <t>10%</t>
        </is>
      </c>
      <c r="D1057" t="n">
        <v>27500</v>
      </c>
      <c r="E1057" t="n">
        <v>30700</v>
      </c>
      <c r="F1057" t="n">
        <v>27500</v>
      </c>
      <c r="G1057" t="n">
        <v>30700</v>
      </c>
      <c r="H1057" t="n">
        <v>27500</v>
      </c>
      <c r="I1057" t="n">
        <v>30700</v>
      </c>
      <c r="J1057" t="b">
        <v>0</v>
      </c>
      <c r="K1057" t="inlineStr">
        <is>
          <t>Unilever Indonesia Official Shop</t>
        </is>
      </c>
      <c r="L1057" t="inlineStr">
        <is>
          <t>KOTA BEKASI</t>
        </is>
      </c>
      <c r="M1057" t="n">
        <v>12624214388</v>
      </c>
      <c r="N1057" t="n">
        <v>14318452</v>
      </c>
      <c r="O1057">
        <f>HYPERLINK("https://shopee.co.id/api/v4/item/get?itemid=12624214388&amp;shopid=14318452", "Pond'S Bright Beauty Lightening Toner 150Ml")</f>
        <v/>
      </c>
      <c r="P1057" t="n">
        <v>204</v>
      </c>
      <c r="Q1057" t="n">
        <v>836</v>
      </c>
      <c r="R1057" t="n">
        <v>4.891696750902527</v>
      </c>
      <c r="S1057" t="n">
        <v>7</v>
      </c>
      <c r="T1057" t="n">
        <v>2</v>
      </c>
      <c r="U1057" t="n">
        <v>25</v>
      </c>
      <c r="V1057" t="n">
        <v>156</v>
      </c>
      <c r="W1057" t="n">
        <v>2026</v>
      </c>
    </row>
    <row r="1058">
      <c r="A1058" t="inlineStr">
        <is>
          <t>AXE MEN DEODORANT BODY SPRAY ANARCHY FOR HIM 135ML</t>
        </is>
      </c>
      <c r="B1058" t="inlineStr"/>
      <c r="C1058" t="inlineStr">
        <is>
          <t>3%</t>
        </is>
      </c>
      <c r="D1058" t="n">
        <v>37500</v>
      </c>
      <c r="E1058" t="n">
        <v>38500</v>
      </c>
      <c r="F1058" t="n">
        <v>37500</v>
      </c>
      <c r="G1058" t="n">
        <v>38500</v>
      </c>
      <c r="H1058" t="n">
        <v>37500</v>
      </c>
      <c r="I1058" t="n">
        <v>38500</v>
      </c>
      <c r="J1058" t="b">
        <v>0</v>
      </c>
      <c r="K1058" t="inlineStr">
        <is>
          <t>Unilever Indonesia Official Shop</t>
        </is>
      </c>
      <c r="L1058" t="inlineStr">
        <is>
          <t>KOTA BEKASI</t>
        </is>
      </c>
      <c r="M1058" t="n">
        <v>10952148759</v>
      </c>
      <c r="N1058" t="n">
        <v>14318452</v>
      </c>
      <c r="O1058">
        <f>HYPERLINK("https://shopee.co.id/api/v4/item/get?itemid=10952148759&amp;shopid=14318452", "AXE MEN DEODORANT BODY SPRAY ANARCHY FOR HIM 135ML")</f>
        <v/>
      </c>
      <c r="P1058" t="n">
        <v>360</v>
      </c>
      <c r="Q1058" t="n">
        <v>430</v>
      </c>
      <c r="R1058" t="n">
        <v>4.901884968583857</v>
      </c>
      <c r="S1058" t="n">
        <v>4</v>
      </c>
      <c r="T1058" t="n">
        <v>6</v>
      </c>
      <c r="U1058" t="n">
        <v>28</v>
      </c>
      <c r="V1058" t="n">
        <v>120</v>
      </c>
      <c r="W1058" t="n">
        <v>1913</v>
      </c>
    </row>
    <row r="1059">
      <c r="A1059" t="inlineStr">
        <is>
          <t>Ponds Age Miracle Eye Cream Anti Aging+Glowing with Retinol, Niacinamide &amp; Prebiotic 15ml Twin Pack</t>
        </is>
      </c>
      <c r="B1059" t="inlineStr">
        <is>
          <t>0</t>
        </is>
      </c>
      <c r="C1059" t="inlineStr">
        <is>
          <t>19%</t>
        </is>
      </c>
      <c r="D1059" t="n">
        <v>335400</v>
      </c>
      <c r="E1059" t="n">
        <v>415300</v>
      </c>
      <c r="F1059" t="n">
        <v>335400</v>
      </c>
      <c r="G1059" t="n">
        <v>415300</v>
      </c>
      <c r="H1059" t="n">
        <v>335400</v>
      </c>
      <c r="I1059" t="n">
        <v>415300</v>
      </c>
      <c r="J1059" t="b">
        <v>1</v>
      </c>
      <c r="K1059" t="inlineStr">
        <is>
          <t>Unilever Indonesia Official Shop</t>
        </is>
      </c>
      <c r="L1059" t="inlineStr">
        <is>
          <t>KOTA BEKASI</t>
        </is>
      </c>
      <c r="M1059" t="n">
        <v>4431693873</v>
      </c>
      <c r="N1059" t="n">
        <v>14318452</v>
      </c>
      <c r="O1059">
        <f>HYPERLINK("https://shopee.co.id/api/v4/item/get?itemid=4431693873&amp;shopid=14318452", "Ponds Age Miracle Eye Cream Anti Aging+Glowing with Retinol, Niacinamide &amp; Prebiotic 15ml Twin Pack")</f>
        <v/>
      </c>
      <c r="P1059" t="n">
        <v>7</v>
      </c>
      <c r="Q1059" t="n">
        <v>105</v>
      </c>
      <c r="R1059" t="n">
        <v>4.935294117647059</v>
      </c>
      <c r="S1059" t="n">
        <v>0</v>
      </c>
      <c r="T1059" t="n">
        <v>0</v>
      </c>
      <c r="U1059" t="n">
        <v>0</v>
      </c>
      <c r="V1059" t="n">
        <v>11</v>
      </c>
      <c r="W1059" t="n">
        <v>159</v>
      </c>
    </row>
    <row r="1060">
      <c r="A1060" t="inlineStr">
        <is>
          <t>PEPSODENT SIKAT GIGI BRILIAN SIKAT GIGI LEMBUT ISI 3</t>
        </is>
      </c>
      <c r="B1060" t="inlineStr"/>
      <c r="C1060" t="inlineStr">
        <is>
          <t>23%</t>
        </is>
      </c>
      <c r="D1060" t="n">
        <v>7600</v>
      </c>
      <c r="E1060" t="n">
        <v>9900</v>
      </c>
      <c r="F1060" t="n">
        <v>7600</v>
      </c>
      <c r="G1060" t="n">
        <v>9900</v>
      </c>
      <c r="H1060" t="n">
        <v>7600</v>
      </c>
      <c r="I1060" t="n">
        <v>9900</v>
      </c>
      <c r="J1060" t="b">
        <v>0</v>
      </c>
      <c r="K1060" t="inlineStr">
        <is>
          <t>Unilever Indonesia Official Shop</t>
        </is>
      </c>
      <c r="L1060" t="inlineStr">
        <is>
          <t>KOTA BEKASI</t>
        </is>
      </c>
      <c r="M1060" t="n">
        <v>14110900544</v>
      </c>
      <c r="N1060" t="n">
        <v>14318452</v>
      </c>
      <c r="O1060">
        <f>HYPERLINK("https://shopee.co.id/api/v4/item/get?itemid=14110900544&amp;shopid=14318452", "PEPSODENT SIKAT GIGI BRILIAN SIKAT GIGI LEMBUT ISI 3")</f>
        <v/>
      </c>
      <c r="P1060" t="n">
        <v>5647</v>
      </c>
      <c r="Q1060" t="n">
        <v>2985</v>
      </c>
      <c r="R1060" t="n">
        <v>4.906391478029295</v>
      </c>
      <c r="S1060" t="n">
        <v>14</v>
      </c>
      <c r="T1060" t="n">
        <v>17</v>
      </c>
      <c r="U1060" t="n">
        <v>65</v>
      </c>
      <c r="V1060" t="n">
        <v>466</v>
      </c>
      <c r="W1060" t="n">
        <v>6948</v>
      </c>
    </row>
    <row r="1061">
      <c r="A1061" t="inlineStr">
        <is>
          <t>St Ives Blemish Care Tea Tree Face Cleanser 200 ml</t>
        </is>
      </c>
      <c r="B1061" t="inlineStr"/>
      <c r="C1061" t="inlineStr">
        <is>
          <t>1%</t>
        </is>
      </c>
      <c r="D1061" t="n">
        <v>101000</v>
      </c>
      <c r="E1061" t="n">
        <v>102000</v>
      </c>
      <c r="F1061" t="n">
        <v>101000</v>
      </c>
      <c r="G1061" t="n">
        <v>102000</v>
      </c>
      <c r="H1061" t="n">
        <v>101000</v>
      </c>
      <c r="I1061" t="n">
        <v>102000</v>
      </c>
      <c r="J1061" t="b">
        <v>1</v>
      </c>
      <c r="K1061" t="inlineStr">
        <is>
          <t>Unilever Indonesia Official Shop</t>
        </is>
      </c>
      <c r="L1061" t="inlineStr">
        <is>
          <t>KOTA SEMARANG</t>
        </is>
      </c>
      <c r="M1061" t="n">
        <v>6050167279</v>
      </c>
      <c r="N1061" t="n">
        <v>14318452</v>
      </c>
      <c r="O1061">
        <f>HYPERLINK("https://shopee.co.id/api/v4/item/get?itemid=6050167279&amp;shopid=14318452", "St Ives Blemish Care Tea Tree Face Cleanser 200 ml")</f>
        <v/>
      </c>
      <c r="P1061" t="n">
        <v>36</v>
      </c>
      <c r="Q1061" t="n">
        <v>49</v>
      </c>
      <c r="R1061" t="n">
        <v>4.764367816091954</v>
      </c>
      <c r="S1061" t="n">
        <v>12</v>
      </c>
      <c r="T1061" t="n">
        <v>13</v>
      </c>
      <c r="U1061" t="n">
        <v>31</v>
      </c>
      <c r="V1061" t="n">
        <v>62</v>
      </c>
      <c r="W1061" t="n">
        <v>754</v>
      </c>
    </row>
    <row r="1062">
      <c r="A1062" t="inlineStr">
        <is>
          <t>Lux Botanicals Body Wash Refill Sakura Bloom Kulit Glowing 400ml Multi Pack</t>
        </is>
      </c>
      <c r="B1062" t="inlineStr">
        <is>
          <t>LUX</t>
        </is>
      </c>
      <c r="C1062" t="inlineStr">
        <is>
          <t>27%</t>
        </is>
      </c>
      <c r="D1062" t="n">
        <v>67500</v>
      </c>
      <c r="E1062" t="n">
        <v>92600</v>
      </c>
      <c r="F1062" t="n">
        <v>67500</v>
      </c>
      <c r="G1062" t="n">
        <v>92600</v>
      </c>
      <c r="H1062" t="n">
        <v>67500</v>
      </c>
      <c r="I1062" t="n">
        <v>92600</v>
      </c>
      <c r="J1062" t="b">
        <v>1</v>
      </c>
      <c r="K1062" t="inlineStr">
        <is>
          <t>Unilever Indonesia Official Shop</t>
        </is>
      </c>
      <c r="L1062" t="inlineStr">
        <is>
          <t>KOTA SURABAYA</t>
        </is>
      </c>
      <c r="M1062" t="n">
        <v>5031365605</v>
      </c>
      <c r="N1062" t="n">
        <v>14318452</v>
      </c>
      <c r="O1062">
        <f>HYPERLINK("https://shopee.co.id/api/v4/item/get?itemid=5031365605&amp;shopid=14318452", "Lux Botanicals Body Wash Refill Sakura Bloom Kulit Glowing 400ml Multi Pack")</f>
        <v/>
      </c>
      <c r="P1062" t="n">
        <v>11</v>
      </c>
      <c r="Q1062" t="n">
        <v>10</v>
      </c>
      <c r="R1062" t="n">
        <v>4.91743119266055</v>
      </c>
      <c r="S1062" t="n">
        <v>2</v>
      </c>
      <c r="T1062" t="n">
        <v>2</v>
      </c>
      <c r="U1062" t="n">
        <v>3</v>
      </c>
      <c r="V1062" t="n">
        <v>16</v>
      </c>
      <c r="W1062" t="n">
        <v>413</v>
      </c>
    </row>
    <row r="1063">
      <c r="A1063" t="inlineStr">
        <is>
          <t>Lux Soft Rose Sabun Cair Pump 580ml Multi Pack</t>
        </is>
      </c>
      <c r="B1063" t="inlineStr">
        <is>
          <t>LUX</t>
        </is>
      </c>
      <c r="C1063" t="inlineStr">
        <is>
          <t>22%</t>
        </is>
      </c>
      <c r="D1063" t="n">
        <v>139100</v>
      </c>
      <c r="E1063" t="n">
        <v>177400</v>
      </c>
      <c r="F1063" t="n">
        <v>139100</v>
      </c>
      <c r="G1063" t="n">
        <v>177400</v>
      </c>
      <c r="H1063" t="n">
        <v>139100</v>
      </c>
      <c r="I1063" t="n">
        <v>177400</v>
      </c>
      <c r="J1063" t="b">
        <v>1</v>
      </c>
      <c r="K1063" t="inlineStr">
        <is>
          <t>Unilever Indonesia Official Shop</t>
        </is>
      </c>
      <c r="L1063" t="inlineStr">
        <is>
          <t>KOTA BALIKPAPAN</t>
        </is>
      </c>
      <c r="M1063" t="n">
        <v>3531466060</v>
      </c>
      <c r="N1063" t="n">
        <v>14318452</v>
      </c>
      <c r="O1063">
        <f>HYPERLINK("https://shopee.co.id/api/v4/item/get?itemid=3531466060&amp;shopid=14318452", "Lux Soft Rose Sabun Cair Pump 580ml Multi Pack")</f>
        <v/>
      </c>
      <c r="P1063" t="n">
        <v>6</v>
      </c>
      <c r="Q1063" t="n">
        <v>39</v>
      </c>
      <c r="R1063" t="n">
        <v>4.861915367483296</v>
      </c>
      <c r="S1063" t="n">
        <v>2</v>
      </c>
      <c r="T1063" t="n">
        <v>4</v>
      </c>
      <c r="U1063" t="n">
        <v>8</v>
      </c>
      <c r="V1063" t="n">
        <v>26</v>
      </c>
      <c r="W1063" t="n">
        <v>409</v>
      </c>
    </row>
    <row r="1064">
      <c r="A1064" t="inlineStr">
        <is>
          <t>Lifebuoy Body Wash Refill Shiso &amp; Mineral Clay 450ml</t>
        </is>
      </c>
      <c r="B1064" t="inlineStr"/>
      <c r="C1064" t="inlineStr">
        <is>
          <t>24%</t>
        </is>
      </c>
      <c r="D1064" t="n">
        <v>23600</v>
      </c>
      <c r="E1064" t="n">
        <v>31000</v>
      </c>
      <c r="F1064" t="n">
        <v>23600</v>
      </c>
      <c r="G1064" t="n">
        <v>31000</v>
      </c>
      <c r="H1064" t="n">
        <v>23600</v>
      </c>
      <c r="I1064" t="n">
        <v>31000</v>
      </c>
      <c r="J1064" t="b">
        <v>1</v>
      </c>
      <c r="K1064" t="inlineStr">
        <is>
          <t>Unilever Indonesia Official Shop</t>
        </is>
      </c>
      <c r="L1064" t="inlineStr">
        <is>
          <t>KAB. BANYUASIN</t>
        </is>
      </c>
      <c r="M1064" t="n">
        <v>10901735481</v>
      </c>
      <c r="N1064" t="n">
        <v>14318452</v>
      </c>
      <c r="O1064">
        <f>HYPERLINK("https://shopee.co.id/api/v4/item/get?itemid=10901735481&amp;shopid=14318452", "Lifebuoy Body Wash Refill Shiso &amp; Mineral Clay 450ml")</f>
        <v/>
      </c>
      <c r="P1064" t="n">
        <v>331</v>
      </c>
      <c r="Q1064" t="n">
        <v>7</v>
      </c>
      <c r="R1064" t="n">
        <v>4.917485265225933</v>
      </c>
      <c r="S1064" t="n">
        <v>2</v>
      </c>
      <c r="T1064" t="n">
        <v>4</v>
      </c>
      <c r="U1064" t="n">
        <v>10</v>
      </c>
      <c r="V1064" t="n">
        <v>44</v>
      </c>
      <c r="W1064" t="n">
        <v>958</v>
      </c>
    </row>
    <row r="1065">
      <c r="A1065" t="inlineStr">
        <is>
          <t>Lux Botanicals Bodywash Magical Orchid Pump 560ML</t>
        </is>
      </c>
      <c r="B1065" t="inlineStr">
        <is>
          <t>LUX</t>
        </is>
      </c>
      <c r="C1065" t="inlineStr">
        <is>
          <t>18%</t>
        </is>
      </c>
      <c r="D1065" t="n">
        <v>62600</v>
      </c>
      <c r="E1065" t="n">
        <v>76700</v>
      </c>
      <c r="F1065" t="n">
        <v>62600</v>
      </c>
      <c r="G1065" t="n">
        <v>76700</v>
      </c>
      <c r="H1065" t="n">
        <v>62600</v>
      </c>
      <c r="I1065" t="n">
        <v>76700</v>
      </c>
      <c r="J1065" t="b">
        <v>1</v>
      </c>
      <c r="K1065" t="inlineStr">
        <is>
          <t>Unilever Indonesia Official Shop</t>
        </is>
      </c>
      <c r="L1065" t="inlineStr">
        <is>
          <t>KOTA BEKASI</t>
        </is>
      </c>
      <c r="M1065" t="n">
        <v>9900472917</v>
      </c>
      <c r="N1065" t="n">
        <v>14318452</v>
      </c>
      <c r="O1065">
        <f>HYPERLINK("https://shopee.co.id/api/v4/item/get?itemid=9900472917&amp;shopid=14318452", "Lux Botanicals Bodywash Magical Orchid Pump 560ML")</f>
        <v/>
      </c>
      <c r="P1065" t="n">
        <v>138</v>
      </c>
      <c r="Q1065" t="n">
        <v>30</v>
      </c>
      <c r="R1065" t="n">
        <v>4.781305114638448</v>
      </c>
      <c r="S1065" t="n">
        <v>23</v>
      </c>
      <c r="T1065" t="n">
        <v>23</v>
      </c>
      <c r="U1065" t="n">
        <v>49</v>
      </c>
      <c r="V1065" t="n">
        <v>123</v>
      </c>
      <c r="W1065" t="n">
        <v>1486</v>
      </c>
    </row>
    <row r="1066">
      <c r="A1066" t="inlineStr">
        <is>
          <t>Lifebuoy Sabun Cuci Tangan Mild Care Refill 180 Ml - Multipack</t>
        </is>
      </c>
      <c r="B1066" t="inlineStr">
        <is>
          <t>Lifebuoy</t>
        </is>
      </c>
      <c r="C1066" t="inlineStr">
        <is>
          <t>14%</t>
        </is>
      </c>
      <c r="D1066" t="n">
        <v>36200</v>
      </c>
      <c r="E1066" t="n">
        <v>42300</v>
      </c>
      <c r="F1066" t="n">
        <v>36200</v>
      </c>
      <c r="G1066" t="n">
        <v>42300</v>
      </c>
      <c r="H1066" t="n">
        <v>36200</v>
      </c>
      <c r="I1066" t="n">
        <v>42300</v>
      </c>
      <c r="J1066" t="b">
        <v>1</v>
      </c>
      <c r="K1066" t="inlineStr">
        <is>
          <t>Unilever Indonesia Official Shop</t>
        </is>
      </c>
      <c r="L1066" t="inlineStr">
        <is>
          <t>KOTA BEKASI</t>
        </is>
      </c>
      <c r="M1066" t="n">
        <v>8617223664</v>
      </c>
      <c r="N1066" t="n">
        <v>14318452</v>
      </c>
      <c r="O1066">
        <f>HYPERLINK("https://shopee.co.id/api/v4/item/get?itemid=8617223664&amp;shopid=14318452", "Lifebuoy Sabun Cuci Tangan Mild Care Refill 180 Ml - Multipack")</f>
        <v/>
      </c>
      <c r="P1066" t="n">
        <v>19</v>
      </c>
      <c r="Q1066" t="n">
        <v>415</v>
      </c>
      <c r="R1066" t="n">
        <v>4.900726392251816</v>
      </c>
      <c r="S1066" t="n">
        <v>4</v>
      </c>
      <c r="T1066" t="n">
        <v>2</v>
      </c>
      <c r="U1066" t="n">
        <v>3</v>
      </c>
      <c r="V1066" t="n">
        <v>13</v>
      </c>
      <c r="W1066" t="n">
        <v>391</v>
      </c>
    </row>
    <row r="1067">
      <c r="A1067" t="inlineStr">
        <is>
          <t>Citra Green Tea Anti Acne Facial Foam 50gr Twin Pack</t>
        </is>
      </c>
      <c r="B1067" t="inlineStr">
        <is>
          <t>0</t>
        </is>
      </c>
      <c r="C1067" t="inlineStr">
        <is>
          <t>1%</t>
        </is>
      </c>
      <c r="D1067" t="n">
        <v>44700</v>
      </c>
      <c r="E1067" t="n">
        <v>45100</v>
      </c>
      <c r="F1067" t="n">
        <v>44700</v>
      </c>
      <c r="G1067" t="n">
        <v>45100</v>
      </c>
      <c r="H1067" t="n">
        <v>44700</v>
      </c>
      <c r="I1067" t="n">
        <v>45100</v>
      </c>
      <c r="J1067" t="b">
        <v>1</v>
      </c>
      <c r="K1067" t="inlineStr">
        <is>
          <t>Unilever Indonesia Official Shop</t>
        </is>
      </c>
      <c r="L1067" t="inlineStr">
        <is>
          <t>KOTA BEKASI</t>
        </is>
      </c>
      <c r="M1067" t="n">
        <v>7630964227</v>
      </c>
      <c r="N1067" t="n">
        <v>14318452</v>
      </c>
      <c r="O1067">
        <f>HYPERLINK("https://shopee.co.id/api/v4/item/get?itemid=7630964227&amp;shopid=14318452", "Citra Green Tea Anti Acne Facial Foam 50gr Twin Pack")</f>
        <v/>
      </c>
      <c r="P1067" t="n">
        <v>13</v>
      </c>
      <c r="Q1067" t="n">
        <v>111</v>
      </c>
      <c r="R1067" t="n">
        <v>4.907975460122699</v>
      </c>
      <c r="S1067" t="n">
        <v>1</v>
      </c>
      <c r="T1067" t="n">
        <v>1</v>
      </c>
      <c r="U1067" t="n">
        <v>3</v>
      </c>
      <c r="V1067" t="n">
        <v>17</v>
      </c>
      <c r="W1067" t="n">
        <v>304</v>
      </c>
    </row>
    <row r="1068">
      <c r="A1068" t="inlineStr">
        <is>
          <t>Buavita Apple 1000 mL Twin Pack</t>
        </is>
      </c>
      <c r="B1068" t="inlineStr">
        <is>
          <t>0</t>
        </is>
      </c>
      <c r="C1068" t="inlineStr">
        <is>
          <t>31%</t>
        </is>
      </c>
      <c r="D1068" t="n">
        <v>37600</v>
      </c>
      <c r="E1068" t="n">
        <v>54400</v>
      </c>
      <c r="F1068" t="n">
        <v>37600</v>
      </c>
      <c r="G1068" t="n">
        <v>54400</v>
      </c>
      <c r="H1068" t="n">
        <v>37600</v>
      </c>
      <c r="I1068" t="n">
        <v>54400</v>
      </c>
      <c r="J1068" t="b">
        <v>1</v>
      </c>
      <c r="K1068" t="inlineStr">
        <is>
          <t>Unilever Indonesia Official Shop</t>
        </is>
      </c>
      <c r="L1068" t="inlineStr">
        <is>
          <t>KOTA BEKASI</t>
        </is>
      </c>
      <c r="M1068" t="n">
        <v>6531723362</v>
      </c>
      <c r="N1068" t="n">
        <v>14318452</v>
      </c>
      <c r="O1068">
        <f>HYPERLINK("https://shopee.co.id/api/v4/item/get?itemid=6531723362&amp;shopid=14318452", "Buavita Apple 1000 mL Twin Pack")</f>
        <v/>
      </c>
      <c r="P1068" t="n">
        <v>80</v>
      </c>
      <c r="Q1068" t="n">
        <v>114</v>
      </c>
      <c r="R1068" t="n">
        <v>4.773333333333333</v>
      </c>
      <c r="S1068" t="n">
        <v>19</v>
      </c>
      <c r="T1068" t="n">
        <v>7</v>
      </c>
      <c r="U1068" t="n">
        <v>12</v>
      </c>
      <c r="V1068" t="n">
        <v>35</v>
      </c>
      <c r="W1068" t="n">
        <v>603</v>
      </c>
    </row>
    <row r="1069">
      <c r="A1069" t="inlineStr">
        <is>
          <t>Dove Shampoo Nutritive Solutions Daily Shine 290ml Multi Pack</t>
        </is>
      </c>
      <c r="B1069" t="inlineStr">
        <is>
          <t>0</t>
        </is>
      </c>
      <c r="C1069" t="inlineStr">
        <is>
          <t>1%</t>
        </is>
      </c>
      <c r="D1069" t="n">
        <v>146500</v>
      </c>
      <c r="E1069" t="n">
        <v>147900</v>
      </c>
      <c r="F1069" t="n">
        <v>146500</v>
      </c>
      <c r="G1069" t="n">
        <v>147900</v>
      </c>
      <c r="H1069" t="n">
        <v>146500</v>
      </c>
      <c r="I1069" t="n">
        <v>147900</v>
      </c>
      <c r="J1069" t="b">
        <v>1</v>
      </c>
      <c r="K1069" t="inlineStr">
        <is>
          <t>Unilever Indonesia Official Shop</t>
        </is>
      </c>
      <c r="L1069" t="inlineStr">
        <is>
          <t>KOTA BEKASI</t>
        </is>
      </c>
      <c r="M1069" t="n">
        <v>6031163862</v>
      </c>
      <c r="N1069" t="n">
        <v>14318452</v>
      </c>
      <c r="O1069">
        <f>HYPERLINK("https://shopee.co.id/api/v4/item/get?itemid=6031163862&amp;shopid=14318452", "Dove Shampoo Nutritive Solutions Daily Shine 290ml Multi Pack")</f>
        <v/>
      </c>
      <c r="P1069" t="n">
        <v>101</v>
      </c>
      <c r="Q1069" t="n">
        <v>162</v>
      </c>
      <c r="R1069" t="n">
        <v>4.785871964679911</v>
      </c>
      <c r="S1069" t="n">
        <v>34</v>
      </c>
      <c r="T1069" t="n">
        <v>10</v>
      </c>
      <c r="U1069" t="n">
        <v>32</v>
      </c>
      <c r="V1069" t="n">
        <v>65</v>
      </c>
      <c r="W1069" t="n">
        <v>1219</v>
      </c>
    </row>
    <row r="1070">
      <c r="A1070" t="inlineStr">
        <is>
          <t>AXE MEN DEODORANT BODY SPRAY GOLD TEMPTATION 135ML</t>
        </is>
      </c>
      <c r="B1070" t="inlineStr"/>
      <c r="C1070" t="inlineStr">
        <is>
          <t>3%</t>
        </is>
      </c>
      <c r="D1070" t="n">
        <v>37500</v>
      </c>
      <c r="E1070" t="n">
        <v>38500</v>
      </c>
      <c r="F1070" t="n">
        <v>37500</v>
      </c>
      <c r="G1070" t="n">
        <v>38500</v>
      </c>
      <c r="H1070" t="n">
        <v>37500</v>
      </c>
      <c r="I1070" t="n">
        <v>38500</v>
      </c>
      <c r="J1070" t="b">
        <v>0</v>
      </c>
      <c r="K1070" t="inlineStr">
        <is>
          <t>Unilever Indonesia Official Shop</t>
        </is>
      </c>
      <c r="L1070" t="inlineStr">
        <is>
          <t>KOTA BEKASI</t>
        </is>
      </c>
      <c r="M1070" t="n">
        <v>10352148886</v>
      </c>
      <c r="N1070" t="n">
        <v>14318452</v>
      </c>
      <c r="O1070">
        <f>HYPERLINK("https://shopee.co.id/api/v4/item/get?itemid=10352148886&amp;shopid=14318452", "AXE MEN DEODORANT BODY SPRAY GOLD TEMPTATION 135ML")</f>
        <v/>
      </c>
      <c r="P1070" t="n">
        <v>205</v>
      </c>
      <c r="Q1070" t="n">
        <v>227</v>
      </c>
      <c r="R1070" t="n">
        <v>4.919395465994962</v>
      </c>
      <c r="S1070" t="n">
        <v>2</v>
      </c>
      <c r="T1070" t="n">
        <v>5</v>
      </c>
      <c r="U1070" t="n">
        <v>14</v>
      </c>
      <c r="V1070" t="n">
        <v>80</v>
      </c>
      <c r="W1070" t="n">
        <v>1488</v>
      </c>
    </row>
    <row r="1071">
      <c r="A1071" t="inlineStr">
        <is>
          <t>Buavita Juice Jus Kemasan Rasa Buah Asli Jambu 250ml x 24 Pieces (1 Carton)</t>
        </is>
      </c>
      <c r="B1071" t="inlineStr">
        <is>
          <t>0</t>
        </is>
      </c>
      <c r="C1071" t="inlineStr">
        <is>
          <t>15%</t>
        </is>
      </c>
      <c r="D1071" t="n">
        <v>147200</v>
      </c>
      <c r="E1071" t="n">
        <v>173200</v>
      </c>
      <c r="F1071" t="n">
        <v>147200</v>
      </c>
      <c r="G1071" t="n">
        <v>173200</v>
      </c>
      <c r="H1071" t="n">
        <v>147200</v>
      </c>
      <c r="I1071" t="n">
        <v>173200</v>
      </c>
      <c r="J1071" t="b">
        <v>1</v>
      </c>
      <c r="K1071" t="inlineStr">
        <is>
          <t>Unilever Indonesia Official Shop</t>
        </is>
      </c>
      <c r="L1071" t="inlineStr">
        <is>
          <t>KOTA BEKASI</t>
        </is>
      </c>
      <c r="M1071" t="n">
        <v>3738497129</v>
      </c>
      <c r="N1071" t="n">
        <v>14318452</v>
      </c>
      <c r="O1071">
        <f>HYPERLINK("https://shopee.co.id/api/v4/item/get?itemid=3738497129&amp;shopid=14318452", "Buavita Juice Jus Kemasan Rasa Buah Asli Jambu 250ml x 24 Pieces (1 Carton)")</f>
        <v/>
      </c>
      <c r="P1071" t="n">
        <v>28</v>
      </c>
      <c r="Q1071" t="n">
        <v>79</v>
      </c>
      <c r="R1071" t="n">
        <v>4.801020408163265</v>
      </c>
      <c r="S1071" t="n">
        <v>4</v>
      </c>
      <c r="T1071" t="n">
        <v>0</v>
      </c>
      <c r="U1071" t="n">
        <v>6</v>
      </c>
      <c r="V1071" t="n">
        <v>11</v>
      </c>
      <c r="W1071" t="n">
        <v>175</v>
      </c>
    </row>
    <row r="1072">
      <c r="A1072" t="inlineStr">
        <is>
          <t>Dove Shampo Anti Ketombe 680 ML</t>
        </is>
      </c>
      <c r="B1072" t="inlineStr"/>
      <c r="C1072" t="inlineStr">
        <is>
          <t>3%</t>
        </is>
      </c>
      <c r="D1072" t="n">
        <v>95000</v>
      </c>
      <c r="E1072" t="n">
        <v>97500</v>
      </c>
      <c r="F1072" t="n">
        <v>95000</v>
      </c>
      <c r="G1072" t="n">
        <v>97500</v>
      </c>
      <c r="H1072" t="n">
        <v>95000</v>
      </c>
      <c r="I1072" t="n">
        <v>97500</v>
      </c>
      <c r="J1072" t="b">
        <v>1</v>
      </c>
      <c r="K1072" t="inlineStr">
        <is>
          <t>Unilever Indonesia Official Shop</t>
        </is>
      </c>
      <c r="L1072" t="inlineStr">
        <is>
          <t>KOTA BEKASI</t>
        </is>
      </c>
      <c r="M1072" t="n">
        <v>10701735486</v>
      </c>
      <c r="N1072" t="n">
        <v>14318452</v>
      </c>
      <c r="O1072">
        <f>HYPERLINK("https://shopee.co.id/api/v4/item/get?itemid=10701735486&amp;shopid=14318452", "Dove Shampo Anti Ketombe 680 ML")</f>
        <v/>
      </c>
      <c r="P1072" t="n">
        <v>309</v>
      </c>
      <c r="Q1072" t="n">
        <v>260</v>
      </c>
      <c r="R1072" t="n">
        <v>4.812895797351756</v>
      </c>
      <c r="S1072" t="n">
        <v>20</v>
      </c>
      <c r="T1072" t="n">
        <v>18</v>
      </c>
      <c r="U1072" t="n">
        <v>44</v>
      </c>
      <c r="V1072" t="n">
        <v>114</v>
      </c>
      <c r="W1072" t="n">
        <v>1544</v>
      </c>
    </row>
    <row r="1073">
      <c r="A1073" t="inlineStr">
        <is>
          <t>Wipol Karbol Pembersih Lantai Botol 450Ml Twinpack</t>
        </is>
      </c>
      <c r="B1073" t="inlineStr">
        <is>
          <t>Wipol</t>
        </is>
      </c>
      <c r="C1073" t="inlineStr">
        <is>
          <t>30%</t>
        </is>
      </c>
      <c r="D1073" t="n">
        <v>37500</v>
      </c>
      <c r="E1073" t="n">
        <v>53200</v>
      </c>
      <c r="F1073" t="n">
        <v>37500</v>
      </c>
      <c r="G1073" t="n">
        <v>53200</v>
      </c>
      <c r="H1073" t="n">
        <v>37500</v>
      </c>
      <c r="I1073" t="n">
        <v>53200</v>
      </c>
      <c r="J1073" t="b">
        <v>1</v>
      </c>
      <c r="K1073" t="inlineStr">
        <is>
          <t>Unilever Indonesia Official Shop</t>
        </is>
      </c>
      <c r="L1073" t="inlineStr">
        <is>
          <t>KOTA BEKASI</t>
        </is>
      </c>
      <c r="M1073" t="n">
        <v>7634593544</v>
      </c>
      <c r="N1073" t="n">
        <v>14318452</v>
      </c>
      <c r="O1073">
        <f>HYPERLINK("https://shopee.co.id/api/v4/item/get?itemid=7634593544&amp;shopid=14318452", "Wipol Karbol Pembersih Lantai Botol 450Ml Twinpack")</f>
        <v/>
      </c>
      <c r="P1073" t="n">
        <v>29</v>
      </c>
      <c r="Q1073" t="n">
        <v>206</v>
      </c>
      <c r="R1073" t="n">
        <v>4.898181818181818</v>
      </c>
      <c r="S1073" t="n">
        <v>2</v>
      </c>
      <c r="T1073" t="n">
        <v>1</v>
      </c>
      <c r="U1073" t="n">
        <v>3</v>
      </c>
      <c r="V1073" t="n">
        <v>15</v>
      </c>
      <c r="W1073" t="n">
        <v>255</v>
      </c>
    </row>
    <row r="1074">
      <c r="A1074" t="inlineStr">
        <is>
          <t>Citra Krim Wajah Pearly Glow UV 40G</t>
        </is>
      </c>
      <c r="B1074" t="inlineStr">
        <is>
          <t>Citra</t>
        </is>
      </c>
      <c r="C1074" t="inlineStr">
        <is>
          <t>1%</t>
        </is>
      </c>
      <c r="D1074" t="n">
        <v>44400</v>
      </c>
      <c r="E1074" t="n">
        <v>44800</v>
      </c>
      <c r="F1074" t="n">
        <v>44400</v>
      </c>
      <c r="G1074" t="n">
        <v>44800</v>
      </c>
      <c r="H1074" t="n">
        <v>44400</v>
      </c>
      <c r="I1074" t="n">
        <v>44800</v>
      </c>
      <c r="J1074" t="b">
        <v>1</v>
      </c>
      <c r="K1074" t="inlineStr">
        <is>
          <t>Unilever Indonesia Official Shop</t>
        </is>
      </c>
      <c r="L1074" t="inlineStr">
        <is>
          <t>KOTA BEKASI</t>
        </is>
      </c>
      <c r="M1074" t="n">
        <v>224776377</v>
      </c>
      <c r="N1074" t="n">
        <v>14318452</v>
      </c>
      <c r="O1074">
        <f>HYPERLINK("https://shopee.co.id/api/v4/item/get?itemid=224776377&amp;shopid=14318452", "Citra Krim Wajah Pearly Glow UV 40G")</f>
        <v/>
      </c>
      <c r="P1074" t="n">
        <v>1424</v>
      </c>
      <c r="Q1074" t="n">
        <v>756</v>
      </c>
      <c r="R1074" t="n">
        <v>4.905721192586624</v>
      </c>
      <c r="S1074" t="n">
        <v>25</v>
      </c>
      <c r="T1074" t="n">
        <v>29</v>
      </c>
      <c r="U1074" t="n">
        <v>127</v>
      </c>
      <c r="V1074" t="n">
        <v>729</v>
      </c>
      <c r="W1074" t="n">
        <v>11500</v>
      </c>
    </row>
    <row r="1075">
      <c r="A1075" t="inlineStr">
        <is>
          <t>Dove Shampo Anti Ketombe 135ml Twin Pack</t>
        </is>
      </c>
      <c r="B1075" t="inlineStr">
        <is>
          <t>0</t>
        </is>
      </c>
      <c r="C1075" t="inlineStr">
        <is>
          <t>1%</t>
        </is>
      </c>
      <c r="D1075" t="n">
        <v>53000</v>
      </c>
      <c r="E1075" t="n">
        <v>53500</v>
      </c>
      <c r="F1075" t="n">
        <v>53000</v>
      </c>
      <c r="G1075" t="n">
        <v>53500</v>
      </c>
      <c r="H1075" t="n">
        <v>53000</v>
      </c>
      <c r="I1075" t="n">
        <v>53500</v>
      </c>
      <c r="J1075" t="b">
        <v>1</v>
      </c>
      <c r="K1075" t="inlineStr">
        <is>
          <t>Unilever Indonesia Official Shop</t>
        </is>
      </c>
      <c r="L1075" t="inlineStr">
        <is>
          <t>KOTA BEKASI</t>
        </is>
      </c>
      <c r="M1075" t="n">
        <v>7031337088</v>
      </c>
      <c r="N1075" t="n">
        <v>14318452</v>
      </c>
      <c r="O1075">
        <f>HYPERLINK("https://shopee.co.id/api/v4/item/get?itemid=7031337088&amp;shopid=14318452", "Dove Shampo Anti Ketombe 135ml Twin Pack")</f>
        <v/>
      </c>
      <c r="P1075" t="n">
        <v>45</v>
      </c>
      <c r="Q1075" t="n">
        <v>252</v>
      </c>
      <c r="R1075" t="n">
        <v>4.714360313315927</v>
      </c>
      <c r="S1075" t="n">
        <v>56</v>
      </c>
      <c r="T1075" t="n">
        <v>31</v>
      </c>
      <c r="U1075" t="n">
        <v>62</v>
      </c>
      <c r="V1075" t="n">
        <v>110</v>
      </c>
      <c r="W1075" t="n">
        <v>1657</v>
      </c>
    </row>
    <row r="1076">
      <c r="A1076" t="inlineStr">
        <is>
          <t>Dove Shampoo Perawatan Rambut Rontok berkurang 99% dengan Nutri Serum dan Dynazinc 135ml x 2</t>
        </is>
      </c>
      <c r="B1076" t="inlineStr">
        <is>
          <t>0</t>
        </is>
      </c>
      <c r="C1076" t="inlineStr">
        <is>
          <t>1%</t>
        </is>
      </c>
      <c r="D1076" t="n">
        <v>53000</v>
      </c>
      <c r="E1076" t="n">
        <v>53500</v>
      </c>
      <c r="F1076" t="n">
        <v>53000</v>
      </c>
      <c r="G1076" t="n">
        <v>53500</v>
      </c>
      <c r="H1076" t="n">
        <v>53000</v>
      </c>
      <c r="I1076" t="n">
        <v>53500</v>
      </c>
      <c r="J1076" t="b">
        <v>1</v>
      </c>
      <c r="K1076" t="inlineStr">
        <is>
          <t>Unilever Indonesia Official Shop</t>
        </is>
      </c>
      <c r="L1076" t="inlineStr">
        <is>
          <t>KOTA BEKASI</t>
        </is>
      </c>
      <c r="M1076" t="n">
        <v>7931185396</v>
      </c>
      <c r="N1076" t="n">
        <v>14318452</v>
      </c>
      <c r="O1076">
        <f>HYPERLINK("https://shopee.co.id/api/v4/item/get?itemid=7931185396&amp;shopid=14318452", "Dove Shampoo Perawatan Rambut Rontok berkurang 99% dengan Nutri Serum dan Dynazinc 135ml x 2")</f>
        <v/>
      </c>
      <c r="P1076" t="n">
        <v>62</v>
      </c>
      <c r="Q1076" t="n">
        <v>381</v>
      </c>
      <c r="R1076" t="n">
        <v>4.671159029649596</v>
      </c>
      <c r="S1076" t="n">
        <v>104</v>
      </c>
      <c r="T1076" t="n">
        <v>40</v>
      </c>
      <c r="U1076" t="n">
        <v>90</v>
      </c>
      <c r="V1076" t="n">
        <v>138</v>
      </c>
      <c r="W1076" t="n">
        <v>2225</v>
      </c>
    </row>
    <row r="1077">
      <c r="A1077" t="inlineStr">
        <is>
          <t>Citra Lulur Natural Glow Liquid Body Wash Refill 400 ml Multi Pack</t>
        </is>
      </c>
      <c r="B1077" t="inlineStr">
        <is>
          <t>Citra</t>
        </is>
      </c>
      <c r="C1077" t="inlineStr">
        <is>
          <t>38%</t>
        </is>
      </c>
      <c r="D1077" t="n">
        <v>69300</v>
      </c>
      <c r="E1077" t="n">
        <v>112600</v>
      </c>
      <c r="F1077" t="n">
        <v>69300</v>
      </c>
      <c r="G1077" t="n">
        <v>112600</v>
      </c>
      <c r="H1077" t="n">
        <v>69300</v>
      </c>
      <c r="I1077" t="n">
        <v>112600</v>
      </c>
      <c r="J1077" t="b">
        <v>1</v>
      </c>
      <c r="K1077" t="inlineStr">
        <is>
          <t>Unilever Indonesia Official Shop</t>
        </is>
      </c>
      <c r="L1077" t="inlineStr">
        <is>
          <t>KOTA BEKASI</t>
        </is>
      </c>
      <c r="M1077" t="n">
        <v>5530987057</v>
      </c>
      <c r="N1077" t="n">
        <v>14318452</v>
      </c>
      <c r="O1077">
        <f>HYPERLINK("https://shopee.co.id/api/v4/item/get?itemid=5530987057&amp;shopid=14318452", "Citra Lulur Natural Glow Liquid Body Wash Refill 400 ml Multi Pack")</f>
        <v/>
      </c>
      <c r="P1077" t="n">
        <v>18</v>
      </c>
      <c r="Q1077" t="n">
        <v>7</v>
      </c>
      <c r="R1077" t="n">
        <v>4.917933130699089</v>
      </c>
      <c r="S1077" t="n">
        <v>1</v>
      </c>
      <c r="T1077" t="n">
        <v>0</v>
      </c>
      <c r="U1077" t="n">
        <v>3</v>
      </c>
      <c r="V1077" t="n">
        <v>17</v>
      </c>
      <c r="W1077" t="n">
        <v>308</v>
      </c>
    </row>
    <row r="1078">
      <c r="A1078" t="inlineStr">
        <is>
          <t>Pond's Men Acne Clear Oil Control Face Wash 100gr Twin Pack</t>
        </is>
      </c>
      <c r="B1078" t="inlineStr">
        <is>
          <t>Pond's</t>
        </is>
      </c>
      <c r="C1078" t="inlineStr">
        <is>
          <t>14%</t>
        </is>
      </c>
      <c r="D1078" t="n">
        <v>69300</v>
      </c>
      <c r="E1078" t="n">
        <v>80500</v>
      </c>
      <c r="F1078" t="n">
        <v>69300</v>
      </c>
      <c r="G1078" t="n">
        <v>80500</v>
      </c>
      <c r="H1078" t="n">
        <v>69300</v>
      </c>
      <c r="I1078" t="n">
        <v>80500</v>
      </c>
      <c r="J1078" t="b">
        <v>1</v>
      </c>
      <c r="K1078" t="inlineStr">
        <is>
          <t>Unilever Indonesia Official Shop</t>
        </is>
      </c>
      <c r="L1078" t="inlineStr">
        <is>
          <t>KOTA BEKASI</t>
        </is>
      </c>
      <c r="M1078" t="n">
        <v>3147047764</v>
      </c>
      <c r="N1078" t="n">
        <v>14318452</v>
      </c>
      <c r="O1078">
        <f>HYPERLINK("https://shopee.co.id/api/v4/item/get?itemid=3147047764&amp;shopid=14318452", "Pond's Men Acne Clear Oil Control Face Wash 100gr Twin Pack")</f>
        <v/>
      </c>
      <c r="P1078" t="n">
        <v>38</v>
      </c>
      <c r="Q1078" t="n">
        <v>984</v>
      </c>
      <c r="R1078" t="n">
        <v>4.519621109607578</v>
      </c>
      <c r="S1078" t="n">
        <v>42</v>
      </c>
      <c r="T1078" t="n">
        <v>10</v>
      </c>
      <c r="U1078" t="n">
        <v>48</v>
      </c>
      <c r="V1078" t="n">
        <v>61</v>
      </c>
      <c r="W1078" t="n">
        <v>578</v>
      </c>
    </row>
    <row r="1079">
      <c r="A1079" t="inlineStr">
        <is>
          <t>Ponds Men Acno Striker Facial Scrub 100G - Face Scrub Pria Spiderman Edition</t>
        </is>
      </c>
      <c r="B1079" t="inlineStr">
        <is>
          <t>None</t>
        </is>
      </c>
      <c r="C1079" t="inlineStr">
        <is>
          <t>19%</t>
        </is>
      </c>
      <c r="D1079" t="n">
        <v>31700</v>
      </c>
      <c r="E1079" t="n">
        <v>39000</v>
      </c>
      <c r="F1079" t="n">
        <v>31700</v>
      </c>
      <c r="G1079" t="n">
        <v>39000</v>
      </c>
      <c r="H1079" t="n">
        <v>31700</v>
      </c>
      <c r="I1079" t="n">
        <v>39000</v>
      </c>
      <c r="J1079" t="b">
        <v>1</v>
      </c>
      <c r="K1079" t="inlineStr">
        <is>
          <t>Unilever Indonesia Official Shop</t>
        </is>
      </c>
      <c r="L1079" t="inlineStr">
        <is>
          <t>KAB. BANYUASIN</t>
        </is>
      </c>
      <c r="M1079" t="n">
        <v>13906443456</v>
      </c>
      <c r="N1079" t="n">
        <v>14318452</v>
      </c>
      <c r="O1079">
        <f>HYPERLINK("https://shopee.co.id/api/v4/item/get?itemid=13906443456&amp;shopid=14318452", "Ponds Men Acno Striker Facial Scrub 100G - Face Scrub Pria Spiderman Edition")</f>
        <v/>
      </c>
      <c r="P1079" t="n">
        <v>36</v>
      </c>
      <c r="Q1079" t="n">
        <v>44</v>
      </c>
      <c r="R1079" t="n">
        <v>4.909722222222222</v>
      </c>
      <c r="S1079" t="n">
        <v>1</v>
      </c>
      <c r="T1079" t="n">
        <v>1</v>
      </c>
      <c r="U1079" t="n">
        <v>5</v>
      </c>
      <c r="V1079" t="n">
        <v>22</v>
      </c>
      <c r="W1079" t="n">
        <v>403</v>
      </c>
    </row>
    <row r="1080">
      <c r="A1080" t="inlineStr">
        <is>
          <t>Tresemme Hair Fall Control Shampoo + Conditioner 340ml</t>
        </is>
      </c>
      <c r="B1080" t="inlineStr">
        <is>
          <t>0</t>
        </is>
      </c>
      <c r="C1080" t="inlineStr">
        <is>
          <t>11%</t>
        </is>
      </c>
      <c r="D1080" t="n">
        <v>131200</v>
      </c>
      <c r="E1080" t="n">
        <v>147400</v>
      </c>
      <c r="F1080" t="n">
        <v>131200</v>
      </c>
      <c r="G1080" t="n">
        <v>147400</v>
      </c>
      <c r="H1080" t="n">
        <v>131200</v>
      </c>
      <c r="I1080" t="n">
        <v>147400</v>
      </c>
      <c r="J1080" t="b">
        <v>1</v>
      </c>
      <c r="K1080" t="inlineStr">
        <is>
          <t>Unilever Indonesia Official Shop</t>
        </is>
      </c>
      <c r="L1080" t="inlineStr">
        <is>
          <t>KOTA BEKASI</t>
        </is>
      </c>
      <c r="M1080" t="n">
        <v>7281067006</v>
      </c>
      <c r="N1080" t="n">
        <v>14318452</v>
      </c>
      <c r="O1080">
        <f>HYPERLINK("https://shopee.co.id/api/v4/item/get?itemid=7281067006&amp;shopid=14318452", "Tresemme Hair Fall Control Shampoo + Conditioner 340ml")</f>
        <v/>
      </c>
      <c r="P1080" t="n">
        <v>135</v>
      </c>
      <c r="Q1080" t="n">
        <v>425</v>
      </c>
      <c r="R1080" t="n">
        <v>4.639802631578948</v>
      </c>
      <c r="S1080" t="n">
        <v>23</v>
      </c>
      <c r="T1080" t="n">
        <v>25</v>
      </c>
      <c r="U1080" t="n">
        <v>56</v>
      </c>
      <c r="V1080" t="n">
        <v>159</v>
      </c>
      <c r="W1080" t="n">
        <v>953</v>
      </c>
    </row>
    <row r="1081">
      <c r="A1081" t="inlineStr">
        <is>
          <t>AXE MEN DEODORANT BODY SPRAY ICE CHILL 135ML</t>
        </is>
      </c>
      <c r="B1081" t="inlineStr"/>
      <c r="C1081" t="inlineStr">
        <is>
          <t>3%</t>
        </is>
      </c>
      <c r="D1081" t="n">
        <v>39700</v>
      </c>
      <c r="E1081" t="n">
        <v>40800</v>
      </c>
      <c r="F1081" t="n">
        <v>39700</v>
      </c>
      <c r="G1081" t="n">
        <v>40800</v>
      </c>
      <c r="H1081" t="n">
        <v>39700</v>
      </c>
      <c r="I1081" t="n">
        <v>40800</v>
      </c>
      <c r="J1081" t="b">
        <v>0</v>
      </c>
      <c r="K1081" t="inlineStr">
        <is>
          <t>Unilever Indonesia Official Shop</t>
        </is>
      </c>
      <c r="L1081" t="inlineStr">
        <is>
          <t>KOTA BEKASI</t>
        </is>
      </c>
      <c r="M1081" t="n">
        <v>13615538732</v>
      </c>
      <c r="N1081" t="n">
        <v>14318452</v>
      </c>
      <c r="O1081">
        <f>HYPERLINK("https://shopee.co.id/api/v4/item/get?itemid=13615538732&amp;shopid=14318452", "AXE MEN DEODORANT BODY SPRAY ICE CHILL 135ML")</f>
        <v/>
      </c>
      <c r="P1081" t="n">
        <v>664</v>
      </c>
      <c r="Q1081" t="n">
        <v>726</v>
      </c>
      <c r="R1081" t="n">
        <v>4.887858851674642</v>
      </c>
      <c r="S1081" t="n">
        <v>17</v>
      </c>
      <c r="T1081" t="n">
        <v>5</v>
      </c>
      <c r="U1081" t="n">
        <v>31</v>
      </c>
      <c r="V1081" t="n">
        <v>230</v>
      </c>
      <c r="W1081" t="n">
        <v>3061</v>
      </c>
    </row>
    <row r="1082">
      <c r="A1082" t="inlineStr">
        <is>
          <t>Lifebuoy Body Wash Refill Shiso &amp; Sandalwood 450ml</t>
        </is>
      </c>
      <c r="B1082" t="inlineStr"/>
      <c r="C1082" t="inlineStr">
        <is>
          <t>24%</t>
        </is>
      </c>
      <c r="D1082" t="n">
        <v>23600</v>
      </c>
      <c r="E1082" t="n">
        <v>31000</v>
      </c>
      <c r="F1082" t="n">
        <v>23600</v>
      </c>
      <c r="G1082" t="n">
        <v>31000</v>
      </c>
      <c r="H1082" t="n">
        <v>23600</v>
      </c>
      <c r="I1082" t="n">
        <v>31000</v>
      </c>
      <c r="J1082" t="b">
        <v>1</v>
      </c>
      <c r="K1082" t="inlineStr">
        <is>
          <t>Unilever Indonesia Official Shop</t>
        </is>
      </c>
      <c r="L1082" t="inlineStr">
        <is>
          <t>KAB. BANYUASIN</t>
        </is>
      </c>
      <c r="M1082" t="n">
        <v>9151349823</v>
      </c>
      <c r="N1082" t="n">
        <v>14318452</v>
      </c>
      <c r="O1082">
        <f>HYPERLINK("https://shopee.co.id/api/v4/item/get?itemid=9151349823&amp;shopid=14318452", "Lifebuoy Body Wash Refill Shiso &amp; Sandalwood 450ml")</f>
        <v/>
      </c>
      <c r="P1082" t="n">
        <v>229</v>
      </c>
      <c r="Q1082" t="n">
        <v>10</v>
      </c>
      <c r="R1082" t="n">
        <v>4.934036939313984</v>
      </c>
      <c r="S1082" t="n">
        <v>4</v>
      </c>
      <c r="T1082" t="n">
        <v>0</v>
      </c>
      <c r="U1082" t="n">
        <v>3</v>
      </c>
      <c r="V1082" t="n">
        <v>28</v>
      </c>
      <c r="W1082" t="n">
        <v>723</v>
      </c>
    </row>
    <row r="1083">
      <c r="A1083" t="inlineStr">
        <is>
          <t>Sunlight Sabun Cuci Piring Jeruk Nipis Botol 750 ml Twinpack</t>
        </is>
      </c>
      <c r="B1083" t="inlineStr">
        <is>
          <t>0</t>
        </is>
      </c>
      <c r="C1083" t="inlineStr">
        <is>
          <t>21%</t>
        </is>
      </c>
      <c r="D1083" t="n">
        <v>63200</v>
      </c>
      <c r="E1083" t="n">
        <v>80500</v>
      </c>
      <c r="F1083" t="n">
        <v>63200</v>
      </c>
      <c r="G1083" t="n">
        <v>80500</v>
      </c>
      <c r="H1083" t="n">
        <v>63200</v>
      </c>
      <c r="I1083" t="n">
        <v>80500</v>
      </c>
      <c r="J1083" t="b">
        <v>1</v>
      </c>
      <c r="K1083" t="inlineStr">
        <is>
          <t>Unilever Indonesia Official Shop</t>
        </is>
      </c>
      <c r="L1083" t="inlineStr">
        <is>
          <t>KOTA BEKASI</t>
        </is>
      </c>
      <c r="M1083" t="n">
        <v>5558369296</v>
      </c>
      <c r="N1083" t="n">
        <v>14318452</v>
      </c>
      <c r="O1083">
        <f>HYPERLINK("https://shopee.co.id/api/v4/item/get?itemid=5558369296&amp;shopid=14318452", "Sunlight Sabun Cuci Piring Jeruk Nipis Botol 750 ml Twinpack")</f>
        <v/>
      </c>
      <c r="P1083" t="n">
        <v>5</v>
      </c>
      <c r="Q1083" t="n">
        <v>481</v>
      </c>
      <c r="R1083" t="n">
        <v>4.935483870967742</v>
      </c>
      <c r="S1083" t="n">
        <v>1</v>
      </c>
      <c r="T1083" t="n">
        <v>1</v>
      </c>
      <c r="U1083" t="n">
        <v>1</v>
      </c>
      <c r="V1083" t="n">
        <v>3</v>
      </c>
      <c r="W1083" t="n">
        <v>180</v>
      </c>
    </row>
    <row r="1084">
      <c r="A1084" t="inlineStr">
        <is>
          <t>RINSO MOLTO DETERJEN CAIR ROSE FRESH 1L</t>
        </is>
      </c>
      <c r="B1084" t="inlineStr"/>
      <c r="C1084" t="inlineStr">
        <is>
          <t>16%</t>
        </is>
      </c>
      <c r="D1084" t="n">
        <v>28800</v>
      </c>
      <c r="E1084" t="n">
        <v>34300</v>
      </c>
      <c r="F1084" t="n">
        <v>28800</v>
      </c>
      <c r="G1084" t="n">
        <v>34300</v>
      </c>
      <c r="H1084" t="n">
        <v>28800</v>
      </c>
      <c r="I1084" t="n">
        <v>34300</v>
      </c>
      <c r="J1084" t="b">
        <v>1</v>
      </c>
      <c r="K1084" t="inlineStr">
        <is>
          <t>Unilever Indonesia Official Shop</t>
        </is>
      </c>
      <c r="L1084" t="inlineStr">
        <is>
          <t>KOTA BEKASI</t>
        </is>
      </c>
      <c r="M1084" t="n">
        <v>12007215123</v>
      </c>
      <c r="N1084" t="n">
        <v>14318452</v>
      </c>
      <c r="O1084">
        <f>HYPERLINK("https://shopee.co.id/api/v4/item/get?itemid=12007215123&amp;shopid=14318452", "RINSO MOLTO DETERJEN CAIR ROSE FRESH 1L")</f>
        <v/>
      </c>
      <c r="P1084" t="n">
        <v>473</v>
      </c>
      <c r="Q1084" t="n">
        <v>293</v>
      </c>
      <c r="R1084" t="n">
        <v>4.905394839718531</v>
      </c>
      <c r="S1084" t="n">
        <v>19</v>
      </c>
      <c r="T1084" t="n">
        <v>9</v>
      </c>
      <c r="U1084" t="n">
        <v>29</v>
      </c>
      <c r="V1084" t="n">
        <v>202</v>
      </c>
      <c r="W1084" t="n">
        <v>3578</v>
      </c>
    </row>
    <row r="1085">
      <c r="A1085" t="inlineStr">
        <is>
          <t>AXE MEN DEODORANT BODY SPRAY HARUMKAN INDONESIA 135ML</t>
        </is>
      </c>
      <c r="B1085" t="inlineStr"/>
      <c r="C1085" t="inlineStr">
        <is>
          <t>3%</t>
        </is>
      </c>
      <c r="D1085" t="n">
        <v>37500</v>
      </c>
      <c r="E1085" t="n">
        <v>38500</v>
      </c>
      <c r="F1085" t="n">
        <v>37500</v>
      </c>
      <c r="G1085" t="n">
        <v>38500</v>
      </c>
      <c r="H1085" t="n">
        <v>37500</v>
      </c>
      <c r="I1085" t="n">
        <v>38500</v>
      </c>
      <c r="J1085" t="b">
        <v>0</v>
      </c>
      <c r="K1085" t="inlineStr">
        <is>
          <t>Unilever Indonesia Official Shop</t>
        </is>
      </c>
      <c r="L1085" t="inlineStr">
        <is>
          <t>KAB. BANYUASIN</t>
        </is>
      </c>
      <c r="M1085" t="n">
        <v>13015555610</v>
      </c>
      <c r="N1085" t="n">
        <v>14318452</v>
      </c>
      <c r="O1085">
        <f>HYPERLINK("https://shopee.co.id/api/v4/item/get?itemid=13015555610&amp;shopid=14318452", "AXE MEN DEODORANT BODY SPRAY HARUMKAN INDONESIA 135ML")</f>
        <v/>
      </c>
      <c r="P1085" t="n">
        <v>18</v>
      </c>
      <c r="Q1085" t="n">
        <v>17</v>
      </c>
      <c r="R1085" t="n">
        <v>4.925764192139738</v>
      </c>
      <c r="S1085" t="n">
        <v>2</v>
      </c>
      <c r="T1085" t="n">
        <v>0</v>
      </c>
      <c r="U1085" t="n">
        <v>2</v>
      </c>
      <c r="V1085" t="n">
        <v>39</v>
      </c>
      <c r="W1085" t="n">
        <v>644</v>
      </c>
    </row>
    <row r="1086">
      <c r="A1086" t="inlineStr">
        <is>
          <t>Buy 2x Pond's Men Pore Vacuum Foam+Scrub 90 ml Free Pond's Men Pore Vacuum Peel Of Mask</t>
        </is>
      </c>
      <c r="B1086" t="inlineStr">
        <is>
          <t>Pond's</t>
        </is>
      </c>
      <c r="C1086" t="inlineStr">
        <is>
          <t>12%</t>
        </is>
      </c>
      <c r="D1086" t="n">
        <v>83700</v>
      </c>
      <c r="E1086" t="n">
        <v>95400</v>
      </c>
      <c r="F1086" t="n">
        <v>83700</v>
      </c>
      <c r="G1086" t="n">
        <v>95400</v>
      </c>
      <c r="H1086" t="n">
        <v>83700</v>
      </c>
      <c r="I1086" t="n">
        <v>95400</v>
      </c>
      <c r="J1086" t="b">
        <v>1</v>
      </c>
      <c r="K1086" t="inlineStr">
        <is>
          <t>Unilever Indonesia Official Shop</t>
        </is>
      </c>
      <c r="L1086" t="inlineStr">
        <is>
          <t>KOTA DENPASAR</t>
        </is>
      </c>
      <c r="M1086" t="n">
        <v>11914595150</v>
      </c>
      <c r="N1086" t="n">
        <v>14318452</v>
      </c>
      <c r="O1086">
        <f>HYPERLINK("https://shopee.co.id/api/v4/item/get?itemid=11914595150&amp;shopid=14318452", "Buy 2x Pond's Men Pore Vacuum Foam+Scrub 90 ml Free Pond's Men Pore Vacuum Peel Of Mask")</f>
        <v/>
      </c>
      <c r="P1086" t="n">
        <v>37</v>
      </c>
      <c r="Q1086" t="n">
        <v>10</v>
      </c>
      <c r="R1086" t="n">
        <v>4.933333333333334</v>
      </c>
      <c r="S1086" t="n">
        <v>1</v>
      </c>
      <c r="T1086" t="n">
        <v>0</v>
      </c>
      <c r="U1086" t="n">
        <v>1</v>
      </c>
      <c r="V1086" t="n">
        <v>11</v>
      </c>
      <c r="W1086" t="n">
        <v>242</v>
      </c>
    </row>
    <row r="1087">
      <c r="A1087" t="inlineStr">
        <is>
          <t>Dove Aqua Moisture Body Wash Refill 400ml (Paket Isi 4)</t>
        </is>
      </c>
      <c r="B1087" t="inlineStr">
        <is>
          <t>0</t>
        </is>
      </c>
      <c r="C1087" t="inlineStr">
        <is>
          <t>18%</t>
        </is>
      </c>
      <c r="D1087" t="n">
        <v>151400</v>
      </c>
      <c r="E1087" t="n">
        <v>185000</v>
      </c>
      <c r="F1087" t="n">
        <v>151400</v>
      </c>
      <c r="G1087" t="n">
        <v>185000</v>
      </c>
      <c r="H1087" t="n">
        <v>151400</v>
      </c>
      <c r="I1087" t="n">
        <v>185000</v>
      </c>
      <c r="J1087" t="b">
        <v>1</v>
      </c>
      <c r="K1087" t="inlineStr">
        <is>
          <t>Unilever Indonesia Official Shop</t>
        </is>
      </c>
      <c r="L1087" t="inlineStr">
        <is>
          <t>KOTA BEKASI</t>
        </is>
      </c>
      <c r="M1087" t="n">
        <v>3231489717</v>
      </c>
      <c r="N1087" t="n">
        <v>14318452</v>
      </c>
      <c r="O1087">
        <f>HYPERLINK("https://shopee.co.id/api/v4/item/get?itemid=3231489717&amp;shopid=14318452", "Dove Aqua Moisture Body Wash Refill 400ml (Paket Isi 4)")</f>
        <v/>
      </c>
      <c r="P1087" t="n">
        <v>27</v>
      </c>
      <c r="Q1087" t="n">
        <v>161</v>
      </c>
      <c r="R1087" t="n">
        <v>4.957142857142857</v>
      </c>
      <c r="S1087" t="n">
        <v>0</v>
      </c>
      <c r="T1087" t="n">
        <v>1</v>
      </c>
      <c r="U1087" t="n">
        <v>2</v>
      </c>
      <c r="V1087" t="n">
        <v>5</v>
      </c>
      <c r="W1087" t="n">
        <v>272</v>
      </c>
    </row>
    <row r="1088">
      <c r="A1088" t="inlineStr">
        <is>
          <t>Clear Shampoo Lemon Fresh Anti-Dandruff 160Ml - Twin Pack</t>
        </is>
      </c>
      <c r="B1088" t="inlineStr">
        <is>
          <t>0</t>
        </is>
      </c>
      <c r="C1088" t="inlineStr">
        <is>
          <t>15%</t>
        </is>
      </c>
      <c r="D1088" t="n">
        <v>60300</v>
      </c>
      <c r="E1088" t="n">
        <v>70600</v>
      </c>
      <c r="F1088" t="n">
        <v>60300</v>
      </c>
      <c r="G1088" t="n">
        <v>70600</v>
      </c>
      <c r="H1088" t="n">
        <v>60300</v>
      </c>
      <c r="I1088" t="n">
        <v>70600</v>
      </c>
      <c r="J1088" t="b">
        <v>1</v>
      </c>
      <c r="K1088" t="inlineStr">
        <is>
          <t>Unilever Indonesia Official Shop</t>
        </is>
      </c>
      <c r="L1088" t="inlineStr">
        <is>
          <t>KOTA BEKASI</t>
        </is>
      </c>
      <c r="M1088" t="n">
        <v>3331083571</v>
      </c>
      <c r="N1088" t="n">
        <v>14318452</v>
      </c>
      <c r="O1088">
        <f>HYPERLINK("https://shopee.co.id/api/v4/item/get?itemid=3331083571&amp;shopid=14318452", "Clear Shampoo Lemon Fresh Anti-Dandruff 160Ml - Twin Pack")</f>
        <v/>
      </c>
      <c r="P1088" t="n">
        <v>12</v>
      </c>
      <c r="Q1088" t="n">
        <v>92</v>
      </c>
      <c r="R1088" t="n">
        <v>4.912772585669782</v>
      </c>
      <c r="S1088" t="n">
        <v>1</v>
      </c>
      <c r="T1088" t="n">
        <v>1</v>
      </c>
      <c r="U1088" t="n">
        <v>5</v>
      </c>
      <c r="V1088" t="n">
        <v>11</v>
      </c>
      <c r="W1088" t="n">
        <v>303</v>
      </c>
    </row>
    <row r="1089">
      <c r="A1089" t="inlineStr">
        <is>
          <t>Vaseline Lotion Intensive Care Cocoa Radiant 400ml</t>
        </is>
      </c>
      <c r="B1089" t="inlineStr"/>
      <c r="C1089" t="inlineStr">
        <is>
          <t>2%</t>
        </is>
      </c>
      <c r="D1089" t="n">
        <v>80200</v>
      </c>
      <c r="E1089" t="n">
        <v>81800</v>
      </c>
      <c r="F1089" t="n">
        <v>80200</v>
      </c>
      <c r="G1089" t="n">
        <v>81800</v>
      </c>
      <c r="H1089" t="n">
        <v>80200</v>
      </c>
      <c r="I1089" t="n">
        <v>81800</v>
      </c>
      <c r="J1089" t="b">
        <v>0</v>
      </c>
      <c r="K1089" t="inlineStr">
        <is>
          <t>Unilever Indonesia Official Shop</t>
        </is>
      </c>
      <c r="L1089" t="inlineStr">
        <is>
          <t>KOTA BEKASI</t>
        </is>
      </c>
      <c r="M1089" t="n">
        <v>3094040120</v>
      </c>
      <c r="N1089" t="n">
        <v>14318452</v>
      </c>
      <c r="O1089">
        <f>HYPERLINK("https://shopee.co.id/api/v4/item/get?itemid=3094040120&amp;shopid=14318452", "Vaseline Lotion Intensive Care Cocoa Radiant 400ml")</f>
        <v/>
      </c>
      <c r="P1089" t="n">
        <v>217</v>
      </c>
      <c r="Q1089" t="n">
        <v>1028</v>
      </c>
      <c r="R1089" t="n">
        <v>4.893700787401575</v>
      </c>
      <c r="S1089" t="n">
        <v>10</v>
      </c>
      <c r="T1089" t="n">
        <v>8</v>
      </c>
      <c r="U1089" t="n">
        <v>26</v>
      </c>
      <c r="V1089" t="n">
        <v>100</v>
      </c>
      <c r="W1089" t="n">
        <v>1888</v>
      </c>
    </row>
    <row r="1090">
      <c r="A1090" t="inlineStr">
        <is>
          <t>Dove Shampoo Anti Ketombe Rambut Hitam Panjang Habbatussauda &amp; Hibiscus 135 Ml</t>
        </is>
      </c>
      <c r="B1090" t="inlineStr"/>
      <c r="C1090" t="inlineStr">
        <is>
          <t>1%</t>
        </is>
      </c>
      <c r="D1090" t="n">
        <v>28600</v>
      </c>
      <c r="E1090" t="n">
        <v>28800</v>
      </c>
      <c r="F1090" t="n">
        <v>28600</v>
      </c>
      <c r="G1090" t="n">
        <v>28800</v>
      </c>
      <c r="H1090" t="n">
        <v>28600</v>
      </c>
      <c r="I1090" t="n">
        <v>28800</v>
      </c>
      <c r="J1090" t="b">
        <v>1</v>
      </c>
      <c r="K1090" t="inlineStr">
        <is>
          <t>Unilever Indonesia Official Shop</t>
        </is>
      </c>
      <c r="L1090" t="inlineStr">
        <is>
          <t>KOTA BEKASI</t>
        </is>
      </c>
      <c r="M1090" t="n">
        <v>10947340857</v>
      </c>
      <c r="N1090" t="n">
        <v>14318452</v>
      </c>
      <c r="O1090">
        <f>HYPERLINK("https://shopee.co.id/api/v4/item/get?itemid=10947340857&amp;shopid=14318452", "Dove Shampoo Anti Ketombe Rambut Hitam Panjang Habbatussauda &amp; Hibiscus 135 Ml")</f>
        <v/>
      </c>
      <c r="P1090" t="n">
        <v>59</v>
      </c>
      <c r="Q1090" t="n">
        <v>191</v>
      </c>
      <c r="R1090" t="n">
        <v>4.921960072595281</v>
      </c>
      <c r="S1090" t="n">
        <v>1</v>
      </c>
      <c r="T1090" t="n">
        <v>1</v>
      </c>
      <c r="U1090" t="n">
        <v>2</v>
      </c>
      <c r="V1090" t="n">
        <v>32</v>
      </c>
      <c r="W1090" t="n">
        <v>515</v>
      </c>
    </row>
    <row r="1091">
      <c r="A1091" t="inlineStr">
        <is>
          <t>PEPSODENT MOUTHWASH SIWAK 300Ml</t>
        </is>
      </c>
      <c r="B1091" t="inlineStr">
        <is>
          <t>None</t>
        </is>
      </c>
      <c r="C1091" t="inlineStr">
        <is>
          <t>26%</t>
        </is>
      </c>
      <c r="D1091" t="n">
        <v>21100</v>
      </c>
      <c r="E1091" t="n">
        <v>28700</v>
      </c>
      <c r="F1091" t="n">
        <v>21100</v>
      </c>
      <c r="G1091" t="n">
        <v>28700</v>
      </c>
      <c r="H1091" t="n">
        <v>21100</v>
      </c>
      <c r="I1091" t="n">
        <v>28700</v>
      </c>
      <c r="J1091" t="b">
        <v>0</v>
      </c>
      <c r="K1091" t="inlineStr">
        <is>
          <t>Unilever Indonesia Official Shop</t>
        </is>
      </c>
      <c r="L1091" t="inlineStr">
        <is>
          <t>KOTA BEKASI</t>
        </is>
      </c>
      <c r="M1091" t="n">
        <v>13618856521</v>
      </c>
      <c r="N1091" t="n">
        <v>14318452</v>
      </c>
      <c r="O1091">
        <f>HYPERLINK("https://shopee.co.id/api/v4/item/get?itemid=13618856521&amp;shopid=14318452", "PEPSODENT MOUTHWASH SIWAK 300Ml")</f>
        <v/>
      </c>
      <c r="P1091" t="n">
        <v>296</v>
      </c>
      <c r="Q1091" t="n">
        <v>97</v>
      </c>
      <c r="R1091" t="n">
        <v>4.922982885085575</v>
      </c>
      <c r="S1091" t="n">
        <v>3</v>
      </c>
      <c r="T1091" t="n">
        <v>0</v>
      </c>
      <c r="U1091" t="n">
        <v>4</v>
      </c>
      <c r="V1091" t="n">
        <v>43</v>
      </c>
      <c r="W1091" t="n">
        <v>768</v>
      </c>
    </row>
    <row r="1092">
      <c r="A1092" t="inlineStr">
        <is>
          <t>Rexona Women Free Spirit Anti-Perspirant Deodorant Spray 150ml Multi Pack</t>
        </is>
      </c>
      <c r="B1092" t="inlineStr">
        <is>
          <t>Rexona</t>
        </is>
      </c>
      <c r="C1092" t="inlineStr">
        <is>
          <t>1%</t>
        </is>
      </c>
      <c r="D1092" t="n">
        <v>116500</v>
      </c>
      <c r="E1092" t="n">
        <v>117600</v>
      </c>
      <c r="F1092" t="n">
        <v>116500</v>
      </c>
      <c r="G1092" t="n">
        <v>117600</v>
      </c>
      <c r="H1092" t="n">
        <v>116500</v>
      </c>
      <c r="I1092" t="n">
        <v>117600</v>
      </c>
      <c r="J1092" t="b">
        <v>1</v>
      </c>
      <c r="K1092" t="inlineStr">
        <is>
          <t>Unilever Indonesia Official Shop</t>
        </is>
      </c>
      <c r="L1092" t="inlineStr">
        <is>
          <t>KOTA BEKASI</t>
        </is>
      </c>
      <c r="M1092" t="n">
        <v>3231564071</v>
      </c>
      <c r="N1092" t="n">
        <v>14318452</v>
      </c>
      <c r="O1092">
        <f>HYPERLINK("https://shopee.co.id/api/v4/item/get?itemid=3231564071&amp;shopid=14318452", "Rexona Women Free Spirit Anti-Perspirant Deodorant Spray 150ml Multi Pack")</f>
        <v/>
      </c>
      <c r="P1092" t="n">
        <v>144</v>
      </c>
      <c r="Q1092" t="n">
        <v>315</v>
      </c>
      <c r="R1092" t="n">
        <v>4.948936170212766</v>
      </c>
      <c r="S1092" t="n">
        <v>1</v>
      </c>
      <c r="T1092" t="n">
        <v>0</v>
      </c>
      <c r="U1092" t="n">
        <v>1</v>
      </c>
      <c r="V1092" t="n">
        <v>18</v>
      </c>
      <c r="W1092" t="n">
        <v>450</v>
      </c>
    </row>
    <row r="1093">
      <c r="A1093" t="inlineStr">
        <is>
          <t>Tresemme Conditioner For Colored Hair Color Radiance &amp; Repair 250ml</t>
        </is>
      </c>
      <c r="B1093" t="inlineStr"/>
      <c r="C1093" t="inlineStr">
        <is>
          <t>14%</t>
        </is>
      </c>
      <c r="D1093" t="n">
        <v>89000</v>
      </c>
      <c r="E1093" t="n">
        <v>103100</v>
      </c>
      <c r="F1093" t="n">
        <v>89000</v>
      </c>
      <c r="G1093" t="n">
        <v>103100</v>
      </c>
      <c r="H1093" t="n">
        <v>89000</v>
      </c>
      <c r="I1093" t="n">
        <v>103100</v>
      </c>
      <c r="J1093" t="b">
        <v>1</v>
      </c>
      <c r="K1093" t="inlineStr">
        <is>
          <t>Unilever Indonesia Official Shop</t>
        </is>
      </c>
      <c r="L1093" t="inlineStr">
        <is>
          <t>KOTA BEKASI</t>
        </is>
      </c>
      <c r="M1093" t="n">
        <v>5115713156</v>
      </c>
      <c r="N1093" t="n">
        <v>14318452</v>
      </c>
      <c r="O1093">
        <f>HYPERLINK("https://shopee.co.id/api/v4/item/get?itemid=5115713156&amp;shopid=14318452", "Tresemme Conditioner For Colored Hair Color Radiance &amp; Repair 250ml")</f>
        <v/>
      </c>
      <c r="P1093" t="n">
        <v>52</v>
      </c>
      <c r="Q1093" t="n">
        <v>98</v>
      </c>
      <c r="R1093" t="n">
        <v>4.93801652892562</v>
      </c>
      <c r="S1093" t="n">
        <v>2</v>
      </c>
      <c r="T1093" t="n">
        <v>2</v>
      </c>
      <c r="U1093" t="n">
        <v>5</v>
      </c>
      <c r="V1093" t="n">
        <v>36</v>
      </c>
      <c r="W1093" t="n">
        <v>923</v>
      </c>
    </row>
    <row r="1094">
      <c r="A1094" t="inlineStr">
        <is>
          <t>Sariwangi Teh Hitam Kurma Madu 25 Kantung Celup</t>
        </is>
      </c>
      <c r="B1094" t="inlineStr"/>
      <c r="C1094" t="inlineStr">
        <is>
          <t>18%</t>
        </is>
      </c>
      <c r="D1094" t="n">
        <v>8100</v>
      </c>
      <c r="E1094" t="n">
        <v>9900</v>
      </c>
      <c r="F1094" t="n">
        <v>8100</v>
      </c>
      <c r="G1094" t="n">
        <v>9900</v>
      </c>
      <c r="H1094" t="n">
        <v>8100</v>
      </c>
      <c r="I1094" t="n">
        <v>9900</v>
      </c>
      <c r="J1094" t="b">
        <v>0</v>
      </c>
      <c r="K1094" t="inlineStr">
        <is>
          <t>Unilever Indonesia Official Shop</t>
        </is>
      </c>
      <c r="L1094" t="inlineStr">
        <is>
          <t>KOTA BEKASI</t>
        </is>
      </c>
      <c r="M1094" t="n">
        <v>3014361304</v>
      </c>
      <c r="N1094" t="n">
        <v>14318452</v>
      </c>
      <c r="O1094">
        <f>HYPERLINK("https://shopee.co.id/api/v4/item/get?itemid=3014361304&amp;shopid=14318452", "Sariwangi Teh Hitam Kurma Madu 25 Kantung Celup")</f>
        <v/>
      </c>
      <c r="P1094" t="n">
        <v>856</v>
      </c>
      <c r="Q1094" t="n">
        <v>500</v>
      </c>
      <c r="R1094" t="n">
        <v>4.910294117647059</v>
      </c>
      <c r="S1094" t="n">
        <v>13</v>
      </c>
      <c r="T1094" t="n">
        <v>8</v>
      </c>
      <c r="U1094" t="n">
        <v>19</v>
      </c>
      <c r="V1094" t="n">
        <v>138</v>
      </c>
      <c r="W1094" t="n">
        <v>2544</v>
      </c>
    </row>
    <row r="1095">
      <c r="A1095" t="inlineStr">
        <is>
          <t>Lux Camellia White Sabun Cair Refill 450ml Twin Pack</t>
        </is>
      </c>
      <c r="B1095" t="inlineStr">
        <is>
          <t>0</t>
        </is>
      </c>
      <c r="C1095" t="inlineStr">
        <is>
          <t>27%</t>
        </is>
      </c>
      <c r="D1095" t="n">
        <v>45000</v>
      </c>
      <c r="E1095" t="n">
        <v>61800</v>
      </c>
      <c r="F1095" t="n">
        <v>45000</v>
      </c>
      <c r="G1095" t="n">
        <v>61800</v>
      </c>
      <c r="H1095" t="n">
        <v>45000</v>
      </c>
      <c r="I1095" t="n">
        <v>61800</v>
      </c>
      <c r="J1095" t="b">
        <v>1</v>
      </c>
      <c r="K1095" t="inlineStr">
        <is>
          <t>Unilever Indonesia Official Shop</t>
        </is>
      </c>
      <c r="L1095" t="inlineStr">
        <is>
          <t>KAB. DELI SERDANG</t>
        </is>
      </c>
      <c r="M1095" t="n">
        <v>6331369831</v>
      </c>
      <c r="N1095" t="n">
        <v>14318452</v>
      </c>
      <c r="O1095">
        <f>HYPERLINK("https://shopee.co.id/api/v4/item/get?itemid=6331369831&amp;shopid=14318452", "Lux Camellia White Sabun Cair Refill 450ml Twin Pack")</f>
        <v/>
      </c>
      <c r="P1095" t="n">
        <v>58</v>
      </c>
      <c r="Q1095" t="n">
        <v>10</v>
      </c>
      <c r="R1095" t="n">
        <v>4.905380333951762</v>
      </c>
      <c r="S1095" t="n">
        <v>3</v>
      </c>
      <c r="T1095" t="n">
        <v>3</v>
      </c>
      <c r="U1095" t="n">
        <v>1</v>
      </c>
      <c r="V1095" t="n">
        <v>28</v>
      </c>
      <c r="W1095" t="n">
        <v>504</v>
      </c>
    </row>
    <row r="1096">
      <c r="A1096" t="inlineStr">
        <is>
          <t>St. Ives Apricot Fresh Skin Face Scrub 170 gr - Multi Pack</t>
        </is>
      </c>
      <c r="B1096" t="inlineStr">
        <is>
          <t>0</t>
        </is>
      </c>
      <c r="C1096" t="inlineStr">
        <is>
          <t>1%</t>
        </is>
      </c>
      <c r="D1096" t="n">
        <v>136700</v>
      </c>
      <c r="E1096" t="n">
        <v>138000</v>
      </c>
      <c r="F1096" t="n">
        <v>136700</v>
      </c>
      <c r="G1096" t="n">
        <v>138000</v>
      </c>
      <c r="H1096" t="n">
        <v>136700</v>
      </c>
      <c r="I1096" t="n">
        <v>138000</v>
      </c>
      <c r="J1096" t="b">
        <v>1</v>
      </c>
      <c r="K1096" t="inlineStr">
        <is>
          <t>Unilever Indonesia Official Shop</t>
        </is>
      </c>
      <c r="L1096" t="inlineStr">
        <is>
          <t>KOTA BEKASI</t>
        </is>
      </c>
      <c r="M1096" t="n">
        <v>4231734621</v>
      </c>
      <c r="N1096" t="n">
        <v>14318452</v>
      </c>
      <c r="O1096">
        <f>HYPERLINK("https://shopee.co.id/api/v4/item/get?itemid=4231734621&amp;shopid=14318452", "St. Ives Apricot Fresh Skin Face Scrub 170 gr - Multi Pack")</f>
        <v/>
      </c>
      <c r="P1096" t="n">
        <v>10</v>
      </c>
      <c r="Q1096" t="n">
        <v>359</v>
      </c>
      <c r="R1096" t="n">
        <v>4.943661971830986</v>
      </c>
      <c r="S1096" t="n">
        <v>0</v>
      </c>
      <c r="T1096" t="n">
        <v>0</v>
      </c>
      <c r="U1096" t="n">
        <v>2</v>
      </c>
      <c r="V1096" t="n">
        <v>24</v>
      </c>
      <c r="W1096" t="n">
        <v>471</v>
      </c>
    </row>
    <row r="1097">
      <c r="A1097" t="inlineStr">
        <is>
          <t>Bango Bumbu Opor Ayam Khas Cepu 35 gr x2</t>
        </is>
      </c>
      <c r="B1097" t="inlineStr">
        <is>
          <t>Bango</t>
        </is>
      </c>
      <c r="C1097" t="inlineStr">
        <is>
          <t>13%</t>
        </is>
      </c>
      <c r="D1097" t="n">
        <v>11300</v>
      </c>
      <c r="E1097" t="n">
        <v>13000</v>
      </c>
      <c r="F1097" t="n">
        <v>11300</v>
      </c>
      <c r="G1097" t="n">
        <v>13000</v>
      </c>
      <c r="H1097" t="n">
        <v>11300</v>
      </c>
      <c r="I1097" t="n">
        <v>13000</v>
      </c>
      <c r="J1097" t="b">
        <v>1</v>
      </c>
      <c r="K1097" t="inlineStr">
        <is>
          <t>Unilever Indonesia Official Shop</t>
        </is>
      </c>
      <c r="L1097" t="inlineStr">
        <is>
          <t>KAB. BANYUASIN</t>
        </is>
      </c>
      <c r="M1097" t="n">
        <v>8830742247</v>
      </c>
      <c r="N1097" t="n">
        <v>14318452</v>
      </c>
      <c r="O1097">
        <f>HYPERLINK("https://shopee.co.id/api/v4/item/get?itemid=8830742247&amp;shopid=14318452", "Bango Bumbu Opor Ayam Khas Cepu 35 gr x2")</f>
        <v/>
      </c>
      <c r="P1097" t="n">
        <v>8</v>
      </c>
      <c r="Q1097" t="n">
        <v>134</v>
      </c>
      <c r="R1097" t="n">
        <v>4.956043956043956</v>
      </c>
      <c r="S1097" t="n">
        <v>0</v>
      </c>
      <c r="T1097" t="n">
        <v>0</v>
      </c>
      <c r="U1097" t="n">
        <v>0</v>
      </c>
      <c r="V1097" t="n">
        <v>8</v>
      </c>
      <c r="W1097" t="n">
        <v>174</v>
      </c>
    </row>
    <row r="1098">
      <c r="A1098" t="inlineStr">
        <is>
          <t>Pond's Vitamin Sheet Mask 5 Variants</t>
        </is>
      </c>
      <c r="B1098" t="inlineStr">
        <is>
          <t>Pond's</t>
        </is>
      </c>
      <c r="C1098" t="inlineStr">
        <is>
          <t>11%</t>
        </is>
      </c>
      <c r="D1098" t="n">
        <v>92500</v>
      </c>
      <c r="E1098" t="n">
        <v>104000</v>
      </c>
      <c r="F1098" t="n">
        <v>92500</v>
      </c>
      <c r="G1098" t="n">
        <v>104000</v>
      </c>
      <c r="H1098" t="n">
        <v>92500</v>
      </c>
      <c r="I1098" t="n">
        <v>104000</v>
      </c>
      <c r="J1098" t="b">
        <v>1</v>
      </c>
      <c r="K1098" t="inlineStr">
        <is>
          <t>Unilever Indonesia Official Shop</t>
        </is>
      </c>
      <c r="L1098" t="inlineStr">
        <is>
          <t>KOTA BALIKPAPAN</t>
        </is>
      </c>
      <c r="M1098" t="n">
        <v>3955927300</v>
      </c>
      <c r="N1098" t="n">
        <v>14318452</v>
      </c>
      <c r="O1098">
        <f>HYPERLINK("https://shopee.co.id/api/v4/item/get?itemid=3955927300&amp;shopid=14318452", "Pond's Vitamin Sheet Mask 5 Variants")</f>
        <v/>
      </c>
      <c r="P1098" t="n">
        <v>4</v>
      </c>
      <c r="Q1098" t="n">
        <v>58</v>
      </c>
      <c r="R1098" t="n">
        <v>4.953798767967146</v>
      </c>
      <c r="S1098" t="n">
        <v>1</v>
      </c>
      <c r="T1098" t="n">
        <v>0</v>
      </c>
      <c r="U1098" t="n">
        <v>5</v>
      </c>
      <c r="V1098" t="n">
        <v>31</v>
      </c>
      <c r="W1098" t="n">
        <v>937</v>
      </c>
    </row>
    <row r="1099">
      <c r="A1099" t="inlineStr">
        <is>
          <t>Lifebuoy Shampoo Strong &amp; Shiny 340 Ml - Multipack</t>
        </is>
      </c>
      <c r="B1099" t="inlineStr">
        <is>
          <t>0</t>
        </is>
      </c>
      <c r="C1099" t="inlineStr">
        <is>
          <t>1%</t>
        </is>
      </c>
      <c r="D1099" t="n">
        <v>132600</v>
      </c>
      <c r="E1099" t="n">
        <v>133900</v>
      </c>
      <c r="F1099" t="n">
        <v>132600</v>
      </c>
      <c r="G1099" t="n">
        <v>133900</v>
      </c>
      <c r="H1099" t="n">
        <v>132600</v>
      </c>
      <c r="I1099" t="n">
        <v>133900</v>
      </c>
      <c r="J1099" t="b">
        <v>1</v>
      </c>
      <c r="K1099" t="inlineStr">
        <is>
          <t>Unilever Indonesia Official Shop</t>
        </is>
      </c>
      <c r="L1099" t="inlineStr">
        <is>
          <t>KOTA BEKASI</t>
        </is>
      </c>
      <c r="M1099" t="n">
        <v>9717196016</v>
      </c>
      <c r="N1099" t="n">
        <v>14318452</v>
      </c>
      <c r="O1099">
        <f>HYPERLINK("https://shopee.co.id/api/v4/item/get?itemid=9717196016&amp;shopid=14318452", "Lifebuoy Shampoo Strong &amp; Shiny 340 Ml - Multipack")</f>
        <v/>
      </c>
      <c r="P1099" t="n">
        <v>10</v>
      </c>
      <c r="Q1099" t="n">
        <v>221</v>
      </c>
      <c r="R1099" t="n">
        <v>4.929328621908128</v>
      </c>
      <c r="S1099" t="n">
        <v>1</v>
      </c>
      <c r="T1099" t="n">
        <v>0</v>
      </c>
      <c r="U1099" t="n">
        <v>3</v>
      </c>
      <c r="V1099" t="n">
        <v>10</v>
      </c>
      <c r="W1099" t="n">
        <v>269</v>
      </c>
    </row>
    <row r="1100">
      <c r="A1100" t="inlineStr">
        <is>
          <t>POND'S Juice Mask Pack</t>
        </is>
      </c>
      <c r="B1100" t="inlineStr"/>
      <c r="C1100" t="inlineStr">
        <is>
          <t>12%</t>
        </is>
      </c>
      <c r="D1100" t="n">
        <v>53700</v>
      </c>
      <c r="E1100" t="n">
        <v>61100</v>
      </c>
      <c r="F1100" t="n">
        <v>53700</v>
      </c>
      <c r="G1100" t="n">
        <v>61100</v>
      </c>
      <c r="H1100" t="n">
        <v>53700</v>
      </c>
      <c r="I1100" t="n">
        <v>61100</v>
      </c>
      <c r="J1100" t="b">
        <v>1</v>
      </c>
      <c r="K1100" t="inlineStr">
        <is>
          <t>Unilever Indonesia Official Shop</t>
        </is>
      </c>
      <c r="L1100" t="inlineStr">
        <is>
          <t>KOTA BALIKPAPAN</t>
        </is>
      </c>
      <c r="M1100" t="n">
        <v>7532150464</v>
      </c>
      <c r="N1100" t="n">
        <v>14318452</v>
      </c>
      <c r="O1100">
        <f>HYPERLINK("https://shopee.co.id/api/v4/item/get?itemid=7532150464&amp;shopid=14318452", "POND'S Juice Mask Pack")</f>
        <v/>
      </c>
      <c r="P1100" t="n">
        <v>4</v>
      </c>
      <c r="Q1100" t="n">
        <v>39</v>
      </c>
      <c r="R1100" t="n">
        <v>4.959546925566343</v>
      </c>
      <c r="S1100" t="n">
        <v>0</v>
      </c>
      <c r="T1100" t="n">
        <v>0</v>
      </c>
      <c r="U1100" t="n">
        <v>2</v>
      </c>
      <c r="V1100" t="n">
        <v>46</v>
      </c>
      <c r="W1100" t="n">
        <v>1188</v>
      </c>
    </row>
    <row r="1101">
      <c r="A1101" t="inlineStr">
        <is>
          <t>CLEAR Shampoo Anti Bacterial Fresh Cool Lemon 300 ml</t>
        </is>
      </c>
      <c r="B1101" t="inlineStr">
        <is>
          <t>0</t>
        </is>
      </c>
      <c r="C1101" t="inlineStr">
        <is>
          <t>15%</t>
        </is>
      </c>
      <c r="D1101" t="n">
        <v>53900</v>
      </c>
      <c r="E1101" t="n">
        <v>63100</v>
      </c>
      <c r="F1101" t="n">
        <v>53900</v>
      </c>
      <c r="G1101" t="n">
        <v>63100</v>
      </c>
      <c r="H1101" t="n">
        <v>53900</v>
      </c>
      <c r="I1101" t="n">
        <v>63100</v>
      </c>
      <c r="J1101" t="b">
        <v>1</v>
      </c>
      <c r="K1101" t="inlineStr">
        <is>
          <t>Unilever Indonesia Official Shop</t>
        </is>
      </c>
      <c r="L1101" t="inlineStr">
        <is>
          <t>KOTA BEKASI</t>
        </is>
      </c>
      <c r="M1101" t="n">
        <v>1862500438</v>
      </c>
      <c r="N1101" t="n">
        <v>14318452</v>
      </c>
      <c r="O1101">
        <f>HYPERLINK("https://shopee.co.id/api/v4/item/get?itemid=1862500438&amp;shopid=14318452", "CLEAR Shampoo Anti Bacterial Fresh Cool Lemon 300 ml")</f>
        <v/>
      </c>
      <c r="P1101" t="n">
        <v>23</v>
      </c>
      <c r="Q1101" t="n">
        <v>227</v>
      </c>
      <c r="R1101" t="n">
        <v>4.893939393939394</v>
      </c>
      <c r="S1101" t="n">
        <v>11</v>
      </c>
      <c r="T1101" t="n">
        <v>7</v>
      </c>
      <c r="U1101" t="n">
        <v>39</v>
      </c>
      <c r="V1101" t="n">
        <v>130</v>
      </c>
      <c r="W1101" t="n">
        <v>2387</v>
      </c>
    </row>
    <row r="1102">
      <c r="A1102" t="inlineStr">
        <is>
          <t>Buavita Juice Jus Kemasan Rasa Buah Asli Mangga 250ml x 24 Pieces (1 Carton)</t>
        </is>
      </c>
      <c r="B1102" t="inlineStr">
        <is>
          <t>0</t>
        </is>
      </c>
      <c r="C1102" t="inlineStr">
        <is>
          <t>11%</t>
        </is>
      </c>
      <c r="D1102" t="n">
        <v>153700</v>
      </c>
      <c r="E1102" t="n">
        <v>173200</v>
      </c>
      <c r="F1102" t="n">
        <v>153700</v>
      </c>
      <c r="G1102" t="n">
        <v>173200</v>
      </c>
      <c r="H1102" t="n">
        <v>153700</v>
      </c>
      <c r="I1102" t="n">
        <v>173200</v>
      </c>
      <c r="J1102" t="b">
        <v>1</v>
      </c>
      <c r="K1102" t="inlineStr">
        <is>
          <t>Unilever Indonesia Official Shop</t>
        </is>
      </c>
      <c r="L1102" t="inlineStr">
        <is>
          <t>KOTA BEKASI</t>
        </is>
      </c>
      <c r="M1102" t="n">
        <v>7038382166</v>
      </c>
      <c r="N1102" t="n">
        <v>14318452</v>
      </c>
      <c r="O1102">
        <f>HYPERLINK("https://shopee.co.id/api/v4/item/get?itemid=7038382166&amp;shopid=14318452", "Buavita Juice Jus Kemasan Rasa Buah Asli Mangga 250ml x 24 Pieces (1 Carton)")</f>
        <v/>
      </c>
      <c r="P1102" t="n">
        <v>10</v>
      </c>
      <c r="Q1102" t="n">
        <v>53</v>
      </c>
      <c r="R1102" t="n">
        <v>4.888888888888889</v>
      </c>
      <c r="S1102" t="n">
        <v>1</v>
      </c>
      <c r="T1102" t="n">
        <v>0</v>
      </c>
      <c r="U1102" t="n">
        <v>5</v>
      </c>
      <c r="V1102" t="n">
        <v>6</v>
      </c>
      <c r="W1102" t="n">
        <v>168</v>
      </c>
    </row>
    <row r="1103">
      <c r="A1103" t="inlineStr">
        <is>
          <t>Bango Bumbu Opor Ayam Cepu 35gr</t>
        </is>
      </c>
      <c r="B1103" t="inlineStr">
        <is>
          <t>None</t>
        </is>
      </c>
      <c r="C1103" t="inlineStr">
        <is>
          <t>22%</t>
        </is>
      </c>
      <c r="D1103" t="n">
        <v>5100</v>
      </c>
      <c r="E1103" t="n">
        <v>6500</v>
      </c>
      <c r="F1103" t="n">
        <v>5100</v>
      </c>
      <c r="G1103" t="n">
        <v>6500</v>
      </c>
      <c r="H1103" t="n">
        <v>5100</v>
      </c>
      <c r="I1103" t="n">
        <v>6500</v>
      </c>
      <c r="J1103" t="b">
        <v>1</v>
      </c>
      <c r="K1103" t="inlineStr">
        <is>
          <t>Unilever Indonesia Official Shop</t>
        </is>
      </c>
      <c r="L1103" t="inlineStr">
        <is>
          <t>KOTA SEMARANG</t>
        </is>
      </c>
      <c r="M1103" t="n">
        <v>5331830182</v>
      </c>
      <c r="N1103" t="n">
        <v>14318452</v>
      </c>
      <c r="O1103">
        <f>HYPERLINK("https://shopee.co.id/api/v4/item/get?itemid=5331830182&amp;shopid=14318452", "Bango Bumbu Opor Ayam Cepu 35gr")</f>
        <v/>
      </c>
      <c r="P1103" t="n">
        <v>52</v>
      </c>
      <c r="Q1103" t="n">
        <v>50</v>
      </c>
      <c r="R1103" t="n">
        <v>4.932584269662922</v>
      </c>
      <c r="S1103" t="n">
        <v>7</v>
      </c>
      <c r="T1103" t="n">
        <v>2</v>
      </c>
      <c r="U1103" t="n">
        <v>8</v>
      </c>
      <c r="V1103" t="n">
        <v>58</v>
      </c>
      <c r="W1103" t="n">
        <v>1527</v>
      </c>
    </row>
    <row r="1104">
      <c r="A1104" t="inlineStr">
        <is>
          <t>POND'S VITAMIN DUO SHEET MASK / MASKER WAJAH BEETROOT + VITAMIN A 20G</t>
        </is>
      </c>
      <c r="B1104" t="inlineStr">
        <is>
          <t>Pond's</t>
        </is>
      </c>
      <c r="C1104" t="inlineStr">
        <is>
          <t>10%</t>
        </is>
      </c>
      <c r="D1104" t="n">
        <v>20100</v>
      </c>
      <c r="E1104" t="n">
        <v>22400</v>
      </c>
      <c r="F1104" t="n">
        <v>20100</v>
      </c>
      <c r="G1104" t="n">
        <v>22400</v>
      </c>
      <c r="H1104" t="n">
        <v>20100</v>
      </c>
      <c r="I1104" t="n">
        <v>22400</v>
      </c>
      <c r="J1104" t="b">
        <v>1</v>
      </c>
      <c r="K1104" t="inlineStr">
        <is>
          <t>Unilever Indonesia Official Shop</t>
        </is>
      </c>
      <c r="L1104" t="inlineStr">
        <is>
          <t>KAB. BANYUASIN</t>
        </is>
      </c>
      <c r="M1104" t="n">
        <v>5952482922</v>
      </c>
      <c r="N1104" t="n">
        <v>14318452</v>
      </c>
      <c r="O1104">
        <f>HYPERLINK("https://shopee.co.id/api/v4/item/get?itemid=5952482922&amp;shopid=14318452", "POND'S VITAMIN DUO SHEET MASK / MASKER WAJAH BEETROOT + VITAMIN A 20G")</f>
        <v/>
      </c>
      <c r="P1104" t="n">
        <v>4</v>
      </c>
      <c r="Q1104" t="n">
        <v>160</v>
      </c>
      <c r="R1104" t="n">
        <v>4.93376579037214</v>
      </c>
      <c r="S1104" t="n">
        <v>5</v>
      </c>
      <c r="T1104" t="n">
        <v>3</v>
      </c>
      <c r="U1104" t="n">
        <v>11</v>
      </c>
      <c r="V1104" t="n">
        <v>143</v>
      </c>
      <c r="W1104" t="n">
        <v>2767</v>
      </c>
    </row>
    <row r="1105">
      <c r="A1105" t="inlineStr">
        <is>
          <t>Rexona Women Anti Perspirant Deodorant Spray Free Spirit 150ml [Twin Pack]</t>
        </is>
      </c>
      <c r="B1105" t="inlineStr">
        <is>
          <t>Rexona</t>
        </is>
      </c>
      <c r="C1105" t="inlineStr">
        <is>
          <t>1%</t>
        </is>
      </c>
      <c r="D1105" t="n">
        <v>77700</v>
      </c>
      <c r="E1105" t="n">
        <v>78400</v>
      </c>
      <c r="F1105" t="n">
        <v>77700</v>
      </c>
      <c r="G1105" t="n">
        <v>78400</v>
      </c>
      <c r="H1105" t="n">
        <v>77700</v>
      </c>
      <c r="I1105" t="n">
        <v>78400</v>
      </c>
      <c r="J1105" t="b">
        <v>1</v>
      </c>
      <c r="K1105" t="inlineStr">
        <is>
          <t>Unilever Indonesia Official Shop</t>
        </is>
      </c>
      <c r="L1105" t="inlineStr">
        <is>
          <t>KOTA BEKASI</t>
        </is>
      </c>
      <c r="M1105" t="n">
        <v>3231862402</v>
      </c>
      <c r="N1105" t="n">
        <v>14318452</v>
      </c>
      <c r="O1105">
        <f>HYPERLINK("https://shopee.co.id/api/v4/item/get?itemid=3231862402&amp;shopid=14318452", "Rexona Women Anti Perspirant Deodorant Spray Free Spirit 150ml [Twin Pack]")</f>
        <v/>
      </c>
      <c r="P1105" t="n">
        <v>307</v>
      </c>
      <c r="Q1105" t="n">
        <v>473</v>
      </c>
      <c r="R1105" t="n">
        <v>4.950455005055612</v>
      </c>
      <c r="S1105" t="n">
        <v>1</v>
      </c>
      <c r="T1105" t="n">
        <v>0</v>
      </c>
      <c r="U1105" t="n">
        <v>4</v>
      </c>
      <c r="V1105" t="n">
        <v>37</v>
      </c>
      <c r="W1105" t="n">
        <v>947</v>
      </c>
    </row>
    <row r="1106">
      <c r="A1106" t="inlineStr">
        <is>
          <t>AXE MEN DEODORANT BODY SPRAY BLACK 135ML</t>
        </is>
      </c>
      <c r="B1106" t="inlineStr">
        <is>
          <t>None</t>
        </is>
      </c>
      <c r="C1106" t="inlineStr">
        <is>
          <t>27%</t>
        </is>
      </c>
      <c r="D1106" t="n">
        <v>29600</v>
      </c>
      <c r="E1106" t="n">
        <v>40800</v>
      </c>
      <c r="F1106" t="n">
        <v>29600</v>
      </c>
      <c r="G1106" t="n">
        <v>40800</v>
      </c>
      <c r="H1106" t="n">
        <v>29600</v>
      </c>
      <c r="I1106" t="n">
        <v>40800</v>
      </c>
      <c r="J1106" t="b">
        <v>0</v>
      </c>
      <c r="K1106" t="inlineStr">
        <is>
          <t>Unilever Indonesia Official Shop</t>
        </is>
      </c>
      <c r="L1106" t="inlineStr">
        <is>
          <t>KOTA BEKASI</t>
        </is>
      </c>
      <c r="M1106" t="n">
        <v>10652144875</v>
      </c>
      <c r="N1106" t="n">
        <v>14318452</v>
      </c>
      <c r="O1106">
        <f>HYPERLINK("https://shopee.co.id/api/v4/item/get?itemid=10652144875&amp;shopid=14318452", "AXE MEN DEODORANT BODY SPRAY BLACK 135ML")</f>
        <v/>
      </c>
      <c r="P1106" t="n">
        <v>637</v>
      </c>
      <c r="Q1106" t="n">
        <v>663</v>
      </c>
      <c r="R1106" t="n">
        <v>4.892497712717292</v>
      </c>
      <c r="S1106" t="n">
        <v>11</v>
      </c>
      <c r="T1106" t="n">
        <v>10</v>
      </c>
      <c r="U1106" t="n">
        <v>18</v>
      </c>
      <c r="V1106" t="n">
        <v>132</v>
      </c>
      <c r="W1106" t="n">
        <v>2017</v>
      </c>
    </row>
    <row r="1107">
      <c r="A1107" t="inlineStr">
        <is>
          <t>LUX Botanicals Gardenia &amp; Honey Body Mist 100ML Twin Pack</t>
        </is>
      </c>
      <c r="B1107" t="inlineStr">
        <is>
          <t>None</t>
        </is>
      </c>
      <c r="C1107" t="inlineStr">
        <is>
          <t>1%</t>
        </is>
      </c>
      <c r="D1107" t="n">
        <v>69300</v>
      </c>
      <c r="E1107" t="n">
        <v>70000</v>
      </c>
      <c r="F1107" t="n">
        <v>69300</v>
      </c>
      <c r="G1107" t="n">
        <v>70000</v>
      </c>
      <c r="H1107" t="n">
        <v>69300</v>
      </c>
      <c r="I1107" t="n">
        <v>70000</v>
      </c>
      <c r="J1107" t="b">
        <v>1</v>
      </c>
      <c r="K1107" t="inlineStr">
        <is>
          <t>Unilever Indonesia Official Shop</t>
        </is>
      </c>
      <c r="L1107" t="inlineStr">
        <is>
          <t>KOTA SEMARANG</t>
        </is>
      </c>
      <c r="M1107" t="n">
        <v>9885579490</v>
      </c>
      <c r="N1107" t="n">
        <v>14318452</v>
      </c>
      <c r="O1107">
        <f>HYPERLINK("https://shopee.co.id/api/v4/item/get?itemid=9885579490&amp;shopid=14318452", "LUX Botanicals Gardenia &amp; Honey Body Mist 100ML Twin Pack")</f>
        <v/>
      </c>
      <c r="P1107" t="n">
        <v>5</v>
      </c>
      <c r="Q1107" t="n">
        <v>36</v>
      </c>
      <c r="R1107" t="n">
        <v>4.908366533864542</v>
      </c>
      <c r="S1107" t="n">
        <v>1</v>
      </c>
      <c r="T1107" t="n">
        <v>1</v>
      </c>
      <c r="U1107" t="n">
        <v>3</v>
      </c>
      <c r="V1107" t="n">
        <v>10</v>
      </c>
      <c r="W1107" t="n">
        <v>236</v>
      </c>
    </row>
    <row r="1108">
      <c r="A1108" t="inlineStr">
        <is>
          <t>Citra Glow Recipe Juicy Sheet Mask / Masker Wajah Coconut Water + Blueberry 25g</t>
        </is>
      </c>
      <c r="B1108" t="inlineStr">
        <is>
          <t>None</t>
        </is>
      </c>
      <c r="C1108" t="inlineStr">
        <is>
          <t>1%</t>
        </is>
      </c>
      <c r="D1108" t="n">
        <v>18600</v>
      </c>
      <c r="E1108" t="n">
        <v>18700</v>
      </c>
      <c r="F1108" t="n">
        <v>18600</v>
      </c>
      <c r="G1108" t="n">
        <v>18700</v>
      </c>
      <c r="H1108" t="n">
        <v>18600</v>
      </c>
      <c r="I1108" t="n">
        <v>18700</v>
      </c>
      <c r="J1108" t="b">
        <v>1</v>
      </c>
      <c r="K1108" t="inlineStr">
        <is>
          <t>Unilever Indonesia Official Shop</t>
        </is>
      </c>
      <c r="L1108" t="inlineStr">
        <is>
          <t>KOTA BEKASI</t>
        </is>
      </c>
      <c r="M1108" t="n">
        <v>3620969625</v>
      </c>
      <c r="N1108" t="n">
        <v>14318452</v>
      </c>
      <c r="O1108">
        <f>HYPERLINK("https://shopee.co.id/api/v4/item/get?itemid=3620969625&amp;shopid=14318452", "Citra Glow Recipe Juicy Sheet Mask / Masker Wajah Coconut Water + Blueberry 25g")</f>
        <v/>
      </c>
      <c r="P1108" t="n">
        <v>2</v>
      </c>
      <c r="Q1108" t="n">
        <v>97</v>
      </c>
      <c r="R1108" t="n">
        <v>4.933088909257562</v>
      </c>
      <c r="S1108" t="n">
        <v>1</v>
      </c>
      <c r="T1108" t="n">
        <v>1</v>
      </c>
      <c r="U1108" t="n">
        <v>7</v>
      </c>
      <c r="V1108" t="n">
        <v>52</v>
      </c>
      <c r="W1108" t="n">
        <v>1030</v>
      </c>
    </row>
    <row r="1109">
      <c r="A1109" t="inlineStr">
        <is>
          <t>Super Pell Pembersih Lantai Fresh Apple 770 ml Twinpack</t>
        </is>
      </c>
      <c r="B1109" t="inlineStr">
        <is>
          <t>None</t>
        </is>
      </c>
      <c r="C1109" t="inlineStr">
        <is>
          <t>29%</t>
        </is>
      </c>
      <c r="D1109" t="n">
        <v>25900</v>
      </c>
      <c r="E1109" t="n">
        <v>36600</v>
      </c>
      <c r="F1109" t="n">
        <v>25900</v>
      </c>
      <c r="G1109" t="n">
        <v>36600</v>
      </c>
      <c r="H1109" t="n">
        <v>25900</v>
      </c>
      <c r="I1109" t="n">
        <v>36600</v>
      </c>
      <c r="J1109" t="b">
        <v>1</v>
      </c>
      <c r="K1109" t="inlineStr">
        <is>
          <t>Unilever Indonesia Official Shop</t>
        </is>
      </c>
      <c r="L1109" t="inlineStr">
        <is>
          <t>KOTA BEKASI</t>
        </is>
      </c>
      <c r="M1109" t="n">
        <v>4058376611</v>
      </c>
      <c r="N1109" t="n">
        <v>14318452</v>
      </c>
      <c r="O1109">
        <f>HYPERLINK("https://shopee.co.id/api/v4/item/get?itemid=4058376611&amp;shopid=14318452", "Super Pell Pembersih Lantai Fresh Apple 770 ml Twinpack")</f>
        <v/>
      </c>
      <c r="P1109" t="n">
        <v>48</v>
      </c>
      <c r="Q1109" t="n">
        <v>867</v>
      </c>
      <c r="R1109" t="n">
        <v>4.966417910447761</v>
      </c>
      <c r="S1109" t="n">
        <v>1</v>
      </c>
      <c r="T1109" t="n">
        <v>0</v>
      </c>
      <c r="U1109" t="n">
        <v>0</v>
      </c>
      <c r="V1109" t="n">
        <v>5</v>
      </c>
      <c r="W1109" t="n">
        <v>262</v>
      </c>
    </row>
    <row r="1110">
      <c r="A1110" t="inlineStr">
        <is>
          <t>Tresemme Shampoo For Colored Hair Color Radiance &amp; Repair 250ml</t>
        </is>
      </c>
      <c r="B1110" t="inlineStr"/>
      <c r="C1110" t="inlineStr">
        <is>
          <t>16%</t>
        </is>
      </c>
      <c r="D1110" t="n">
        <v>86700</v>
      </c>
      <c r="E1110" t="n">
        <v>102800</v>
      </c>
      <c r="F1110" t="n">
        <v>86700</v>
      </c>
      <c r="G1110" t="n">
        <v>102800</v>
      </c>
      <c r="H1110" t="n">
        <v>86700</v>
      </c>
      <c r="I1110" t="n">
        <v>102800</v>
      </c>
      <c r="J1110" t="b">
        <v>1</v>
      </c>
      <c r="K1110" t="inlineStr">
        <is>
          <t>Unilever Indonesia Official Shop</t>
        </is>
      </c>
      <c r="L1110" t="inlineStr">
        <is>
          <t>KOTA MAKASSAR</t>
        </is>
      </c>
      <c r="M1110" t="n">
        <v>5115713129</v>
      </c>
      <c r="N1110" t="n">
        <v>14318452</v>
      </c>
      <c r="O1110">
        <f>HYPERLINK("https://shopee.co.id/api/v4/item/get?itemid=5115713129&amp;shopid=14318452", "Tresemme Shampoo For Colored Hair Color Radiance &amp; Repair 250ml")</f>
        <v/>
      </c>
      <c r="P1110" t="n">
        <v>47</v>
      </c>
      <c r="Q1110" t="n">
        <v>1</v>
      </c>
      <c r="R1110" t="n">
        <v>4.900598802395209</v>
      </c>
      <c r="S1110" t="n">
        <v>1</v>
      </c>
      <c r="T1110" t="n">
        <v>6</v>
      </c>
      <c r="U1110" t="n">
        <v>14</v>
      </c>
      <c r="V1110" t="n">
        <v>36</v>
      </c>
      <c r="W1110" t="n">
        <v>779</v>
      </c>
    </row>
    <row r="1111">
      <c r="A1111" t="inlineStr">
        <is>
          <t>POND'S VITAMIN DUO SHEET MASK / MASKER WAJAH COCONUT WATER + VIT B3</t>
        </is>
      </c>
      <c r="B1111" t="inlineStr">
        <is>
          <t>Pond's</t>
        </is>
      </c>
      <c r="C1111" t="inlineStr">
        <is>
          <t>30%</t>
        </is>
      </c>
      <c r="D1111" t="n">
        <v>15600</v>
      </c>
      <c r="E1111" t="n">
        <v>22400</v>
      </c>
      <c r="F1111" t="n">
        <v>15600</v>
      </c>
      <c r="G1111" t="n">
        <v>22400</v>
      </c>
      <c r="H1111" t="n">
        <v>15600</v>
      </c>
      <c r="I1111" t="n">
        <v>22400</v>
      </c>
      <c r="J1111" t="b">
        <v>1</v>
      </c>
      <c r="K1111" t="inlineStr">
        <is>
          <t>Unilever Indonesia Official Shop</t>
        </is>
      </c>
      <c r="L1111" t="inlineStr">
        <is>
          <t>KOTA SURABAYA</t>
        </is>
      </c>
      <c r="M1111" t="n">
        <v>5552488346</v>
      </c>
      <c r="N1111" t="n">
        <v>14318452</v>
      </c>
      <c r="O1111">
        <f>HYPERLINK("https://shopee.co.id/api/v4/item/get?itemid=5552488346&amp;shopid=14318452", "POND'S VITAMIN DUO SHEET MASK / MASKER WAJAH COCONUT WATER + VIT B3")</f>
        <v/>
      </c>
      <c r="P1111" t="n">
        <v>4</v>
      </c>
      <c r="Q1111" t="n">
        <v>50</v>
      </c>
      <c r="R1111" t="n">
        <v>4.920781527531084</v>
      </c>
      <c r="S1111" t="n">
        <v>5</v>
      </c>
      <c r="T1111" t="n">
        <v>3</v>
      </c>
      <c r="U1111" t="n">
        <v>15</v>
      </c>
      <c r="V1111" t="n">
        <v>164</v>
      </c>
      <c r="W1111" t="n">
        <v>2628</v>
      </c>
    </row>
    <row r="1112">
      <c r="A1112" t="inlineStr">
        <is>
          <t>Lux Magical Spell Sabun Cair Refill 400ml Multi Pack</t>
        </is>
      </c>
      <c r="B1112" t="inlineStr">
        <is>
          <t>0</t>
        </is>
      </c>
      <c r="C1112" t="inlineStr">
        <is>
          <t>27%</t>
        </is>
      </c>
      <c r="D1112" t="n">
        <v>67500</v>
      </c>
      <c r="E1112" t="n">
        <v>92600</v>
      </c>
      <c r="F1112" t="n">
        <v>67500</v>
      </c>
      <c r="G1112" t="n">
        <v>92600</v>
      </c>
      <c r="H1112" t="n">
        <v>67500</v>
      </c>
      <c r="I1112" t="n">
        <v>92600</v>
      </c>
      <c r="J1112" t="b">
        <v>1</v>
      </c>
      <c r="K1112" t="inlineStr">
        <is>
          <t>Unilever Indonesia Official Shop</t>
        </is>
      </c>
      <c r="L1112" t="inlineStr">
        <is>
          <t>KOTA SEMARANG</t>
        </is>
      </c>
      <c r="M1112" t="n">
        <v>6731347706</v>
      </c>
      <c r="N1112" t="n">
        <v>14318452</v>
      </c>
      <c r="O1112">
        <f>HYPERLINK("https://shopee.co.id/api/v4/item/get?itemid=6731347706&amp;shopid=14318452", "Lux Magical Spell Sabun Cair Refill 400ml Multi Pack")</f>
        <v/>
      </c>
      <c r="P1112" t="n">
        <v>22</v>
      </c>
      <c r="Q1112" t="n">
        <v>10</v>
      </c>
      <c r="R1112" t="n">
        <v>4.940633245382585</v>
      </c>
      <c r="S1112" t="n">
        <v>2</v>
      </c>
      <c r="T1112" t="n">
        <v>1</v>
      </c>
      <c r="U1112" t="n">
        <v>6</v>
      </c>
      <c r="V1112" t="n">
        <v>22</v>
      </c>
      <c r="W1112" t="n">
        <v>727</v>
      </c>
    </row>
    <row r="1113">
      <c r="A1113" t="inlineStr">
        <is>
          <t>Rexona Deodorant Body Spray Free Spirit 150 ml-Antiperspirant Deodorant Deodorant Spray Body Parfum</t>
        </is>
      </c>
      <c r="B1113" t="inlineStr">
        <is>
          <t>Rexona</t>
        </is>
      </c>
      <c r="C1113" t="inlineStr">
        <is>
          <t>1%</t>
        </is>
      </c>
      <c r="D1113" t="n">
        <v>42500</v>
      </c>
      <c r="E1113" t="n">
        <v>42900</v>
      </c>
      <c r="F1113" t="n">
        <v>42500</v>
      </c>
      <c r="G1113" t="n">
        <v>42900</v>
      </c>
      <c r="H1113" t="n">
        <v>42500</v>
      </c>
      <c r="I1113" t="n">
        <v>42900</v>
      </c>
      <c r="J1113" t="b">
        <v>1</v>
      </c>
      <c r="K1113" t="inlineStr">
        <is>
          <t>Unilever Indonesia Official Shop</t>
        </is>
      </c>
      <c r="L1113" t="inlineStr">
        <is>
          <t>KOTA BEKASI</t>
        </is>
      </c>
      <c r="M1113" t="n">
        <v>1008956416</v>
      </c>
      <c r="N1113" t="n">
        <v>14318452</v>
      </c>
      <c r="O1113">
        <f>HYPERLINK("https://shopee.co.id/api/v4/item/get?itemid=1008956416&amp;shopid=14318452", "Rexona Deodorant Body Spray Free Spirit 150 ml-Antiperspirant Deodorant Deodorant Spray Body Parfum")</f>
        <v/>
      </c>
      <c r="P1113" t="n">
        <v>228</v>
      </c>
      <c r="Q1113" t="n">
        <v>950</v>
      </c>
      <c r="R1113" t="n">
        <v>4.911463187325256</v>
      </c>
      <c r="S1113" t="n">
        <v>13</v>
      </c>
      <c r="T1113" t="n">
        <v>10</v>
      </c>
      <c r="U1113" t="n">
        <v>27</v>
      </c>
      <c r="V1113" t="n">
        <v>156</v>
      </c>
      <c r="W1113" t="n">
        <v>3015</v>
      </c>
    </row>
    <row r="1114">
      <c r="A1114" t="inlineStr">
        <is>
          <t>CLEAR SAMPO ANTI KETOMBE COCONUT+RICE FRESHNESS 300ML - BOTTLE</t>
        </is>
      </c>
      <c r="B1114" t="inlineStr">
        <is>
          <t>None</t>
        </is>
      </c>
      <c r="C1114" t="inlineStr">
        <is>
          <t>15%</t>
        </is>
      </c>
      <c r="D1114" t="n">
        <v>52700</v>
      </c>
      <c r="E1114" t="n">
        <v>61800</v>
      </c>
      <c r="F1114" t="n">
        <v>52700</v>
      </c>
      <c r="G1114" t="n">
        <v>61800</v>
      </c>
      <c r="H1114" t="n">
        <v>52700</v>
      </c>
      <c r="I1114" t="n">
        <v>61800</v>
      </c>
      <c r="J1114" t="b">
        <v>0</v>
      </c>
      <c r="K1114" t="inlineStr">
        <is>
          <t>Unilever Indonesia Official Shop</t>
        </is>
      </c>
      <c r="L1114" t="inlineStr">
        <is>
          <t>KOTA SEMARANG</t>
        </is>
      </c>
      <c r="M1114" t="n">
        <v>5896777608</v>
      </c>
      <c r="N1114" t="n">
        <v>14318452</v>
      </c>
      <c r="O1114">
        <f>HYPERLINK("https://shopee.co.id/api/v4/item/get?itemid=5896777608&amp;shopid=14318452", "CLEAR SAMPO ANTI KETOMBE COCONUT+RICE FRESHNESS 300ML - BOTTLE")</f>
        <v/>
      </c>
      <c r="P1114" t="n">
        <v>146</v>
      </c>
      <c r="Q1114" t="n">
        <v>146</v>
      </c>
      <c r="R1114" t="n">
        <v>4.871014492753623</v>
      </c>
      <c r="S1114" t="n">
        <v>9</v>
      </c>
      <c r="T1114" t="n">
        <v>2</v>
      </c>
      <c r="U1114" t="n">
        <v>10</v>
      </c>
      <c r="V1114" t="n">
        <v>27</v>
      </c>
      <c r="W1114" t="n">
        <v>642</v>
      </c>
    </row>
    <row r="1115">
      <c r="A1115" t="inlineStr">
        <is>
          <t>Sunsilk Shampoo Soft &amp; Smooth 680ml Multi Pack</t>
        </is>
      </c>
      <c r="B1115" t="inlineStr">
        <is>
          <t>Sunsilk</t>
        </is>
      </c>
      <c r="C1115" t="inlineStr">
        <is>
          <t>22%</t>
        </is>
      </c>
      <c r="D1115" t="n">
        <v>199800</v>
      </c>
      <c r="E1115" t="n">
        <v>257600</v>
      </c>
      <c r="F1115" t="n">
        <v>199800</v>
      </c>
      <c r="G1115" t="n">
        <v>257600</v>
      </c>
      <c r="H1115" t="n">
        <v>199800</v>
      </c>
      <c r="I1115" t="n">
        <v>257600</v>
      </c>
      <c r="J1115" t="b">
        <v>1</v>
      </c>
      <c r="K1115" t="inlineStr">
        <is>
          <t>Unilever Indonesia Official Shop</t>
        </is>
      </c>
      <c r="L1115" t="inlineStr">
        <is>
          <t>KOTA BEKASI</t>
        </is>
      </c>
      <c r="M1115" t="n">
        <v>3731833942</v>
      </c>
      <c r="N1115" t="n">
        <v>14318452</v>
      </c>
      <c r="O1115">
        <f>HYPERLINK("https://shopee.co.id/api/v4/item/get?itemid=3731833942&amp;shopid=14318452", "Sunsilk Shampoo Soft &amp; Smooth 680ml Multi Pack")</f>
        <v/>
      </c>
      <c r="P1115" t="n">
        <v>85</v>
      </c>
      <c r="Q1115" t="n">
        <v>457</v>
      </c>
      <c r="R1115" t="n">
        <v>4.903079710144928</v>
      </c>
      <c r="S1115" t="n">
        <v>8</v>
      </c>
      <c r="T1115" t="n">
        <v>6</v>
      </c>
      <c r="U1115" t="n">
        <v>9</v>
      </c>
      <c r="V1115" t="n">
        <v>43</v>
      </c>
      <c r="W1115" t="n">
        <v>1039</v>
      </c>
    </row>
    <row r="1116">
      <c r="A1116" t="inlineStr">
        <is>
          <t>BUY 2x Vaseline Intensive Care Aloe Vera Lotion Soothe 400 Ml FREE VASELINE LIP CARE ROSY TINTED 10G</t>
        </is>
      </c>
      <c r="B1116" t="inlineStr">
        <is>
          <t>None</t>
        </is>
      </c>
      <c r="C1116" t="inlineStr">
        <is>
          <t>6%</t>
        </is>
      </c>
      <c r="D1116" t="n">
        <v>119100</v>
      </c>
      <c r="E1116" t="n">
        <v>127100</v>
      </c>
      <c r="F1116" t="n">
        <v>119100</v>
      </c>
      <c r="G1116" t="n">
        <v>127100</v>
      </c>
      <c r="H1116" t="n">
        <v>119100</v>
      </c>
      <c r="I1116" t="n">
        <v>127100</v>
      </c>
      <c r="J1116" t="b">
        <v>1</v>
      </c>
      <c r="K1116" t="inlineStr">
        <is>
          <t>Unilever Indonesia Official Shop</t>
        </is>
      </c>
      <c r="L1116" t="inlineStr">
        <is>
          <t>KOTA BEKASI</t>
        </is>
      </c>
      <c r="M1116" t="n">
        <v>12404715059</v>
      </c>
      <c r="N1116" t="n">
        <v>14318452</v>
      </c>
      <c r="O1116">
        <f>HYPERLINK("https://shopee.co.id/api/v4/item/get?itemid=12404715059&amp;shopid=14318452", "BUY 2x Vaseline Intensive Care Aloe Vera Lotion Soothe 400 Ml FREE VASELINE LIP CARE ROSY TINTED 10G")</f>
        <v/>
      </c>
      <c r="P1116" t="n">
        <v>9</v>
      </c>
      <c r="Q1116" t="n">
        <v>189</v>
      </c>
      <c r="R1116" t="n">
        <v>4.890804597701149</v>
      </c>
      <c r="S1116" t="n">
        <v>3</v>
      </c>
      <c r="T1116" t="n">
        <v>0</v>
      </c>
      <c r="U1116" t="n">
        <v>3</v>
      </c>
      <c r="V1116" t="n">
        <v>20</v>
      </c>
      <c r="W1116" t="n">
        <v>322</v>
      </c>
    </row>
    <row r="1117">
      <c r="A1117" t="inlineStr">
        <is>
          <t>Rexona Men Inivinsible Antibac Roll On 45 Ml - Twin Pack</t>
        </is>
      </c>
      <c r="B1117" t="inlineStr">
        <is>
          <t>0</t>
        </is>
      </c>
      <c r="C1117" t="inlineStr">
        <is>
          <t>1%</t>
        </is>
      </c>
      <c r="D1117" t="n">
        <v>44100</v>
      </c>
      <c r="E1117" t="n">
        <v>44500</v>
      </c>
      <c r="F1117" t="n">
        <v>44100</v>
      </c>
      <c r="G1117" t="n">
        <v>44500</v>
      </c>
      <c r="H1117" t="n">
        <v>44100</v>
      </c>
      <c r="I1117" t="n">
        <v>44500</v>
      </c>
      <c r="J1117" t="b">
        <v>1</v>
      </c>
      <c r="K1117" t="inlineStr">
        <is>
          <t>Unilever Indonesia Official Shop</t>
        </is>
      </c>
      <c r="L1117" t="inlineStr">
        <is>
          <t>KOTA BEKASI</t>
        </is>
      </c>
      <c r="M1117" t="n">
        <v>6879833182</v>
      </c>
      <c r="N1117" t="n">
        <v>14318452</v>
      </c>
      <c r="O1117">
        <f>HYPERLINK("https://shopee.co.id/api/v4/item/get?itemid=6879833182&amp;shopid=14318452", "Rexona Men Inivinsible Antibac Roll On 45 Ml - Twin Pack")</f>
        <v/>
      </c>
      <c r="P1117" t="n">
        <v>157</v>
      </c>
      <c r="Q1117" t="n">
        <v>286</v>
      </c>
      <c r="R1117" t="n">
        <v>4.869063772048847</v>
      </c>
      <c r="S1117" t="n">
        <v>16</v>
      </c>
      <c r="T1117" t="n">
        <v>6</v>
      </c>
      <c r="U1117" t="n">
        <v>18</v>
      </c>
      <c r="V1117" t="n">
        <v>79</v>
      </c>
      <c r="W1117" t="n">
        <v>1356</v>
      </c>
    </row>
    <row r="1118">
      <c r="A1118" t="inlineStr">
        <is>
          <t>Citra Pearly Glow Uv Face Moisturizer 40gr Twin Pack</t>
        </is>
      </c>
      <c r="B1118" t="inlineStr">
        <is>
          <t>Citra</t>
        </is>
      </c>
      <c r="C1118" t="inlineStr">
        <is>
          <t>1%</t>
        </is>
      </c>
      <c r="D1118" t="n">
        <v>88700</v>
      </c>
      <c r="E1118" t="n">
        <v>89500</v>
      </c>
      <c r="F1118" t="n">
        <v>88700</v>
      </c>
      <c r="G1118" t="n">
        <v>89500</v>
      </c>
      <c r="H1118" t="n">
        <v>88700</v>
      </c>
      <c r="I1118" t="n">
        <v>89500</v>
      </c>
      <c r="J1118" t="b">
        <v>1</v>
      </c>
      <c r="K1118" t="inlineStr">
        <is>
          <t>Unilever Indonesia Official Shop</t>
        </is>
      </c>
      <c r="L1118" t="inlineStr">
        <is>
          <t>KOTA BEKASI</t>
        </is>
      </c>
      <c r="M1118" t="n">
        <v>6030961789</v>
      </c>
      <c r="N1118" t="n">
        <v>14318452</v>
      </c>
      <c r="O1118">
        <f>HYPERLINK("https://shopee.co.id/api/v4/item/get?itemid=6030961789&amp;shopid=14318452", "Citra Pearly Glow Uv Face Moisturizer 40gr Twin Pack")</f>
        <v/>
      </c>
      <c r="P1118" t="n">
        <v>121</v>
      </c>
      <c r="Q1118" t="n">
        <v>377</v>
      </c>
      <c r="R1118" t="n">
        <v>4.861111111111111</v>
      </c>
      <c r="S1118" t="n">
        <v>8</v>
      </c>
      <c r="T1118" t="n">
        <v>4</v>
      </c>
      <c r="U1118" t="n">
        <v>9</v>
      </c>
      <c r="V1118" t="n">
        <v>47</v>
      </c>
      <c r="W1118" t="n">
        <v>689</v>
      </c>
    </row>
    <row r="1119">
      <c r="A1119" t="inlineStr">
        <is>
          <t>Rinso Anti Noda Powder 770 gr - Twin Pack</t>
        </is>
      </c>
      <c r="B1119" t="inlineStr">
        <is>
          <t>0</t>
        </is>
      </c>
      <c r="C1119" t="inlineStr">
        <is>
          <t>23%</t>
        </is>
      </c>
      <c r="D1119" t="n">
        <v>52100</v>
      </c>
      <c r="E1119" t="n">
        <v>67400</v>
      </c>
      <c r="F1119" t="n">
        <v>52100</v>
      </c>
      <c r="G1119" t="n">
        <v>67400</v>
      </c>
      <c r="H1119" t="n">
        <v>52100</v>
      </c>
      <c r="I1119" t="n">
        <v>67400</v>
      </c>
      <c r="J1119" t="b">
        <v>1</v>
      </c>
      <c r="K1119" t="inlineStr">
        <is>
          <t>Unilever Indonesia Official Shop</t>
        </is>
      </c>
      <c r="L1119" t="inlineStr">
        <is>
          <t>KOTA BEKASI</t>
        </is>
      </c>
      <c r="M1119" t="n">
        <v>4031739842</v>
      </c>
      <c r="N1119" t="n">
        <v>14318452</v>
      </c>
      <c r="O1119">
        <f>HYPERLINK("https://shopee.co.id/api/v4/item/get?itemid=4031739842&amp;shopid=14318452", "Rinso Anti Noda Powder 770 gr - Twin Pack")</f>
        <v/>
      </c>
      <c r="P1119" t="n">
        <v>40</v>
      </c>
      <c r="Q1119" t="n">
        <v>169</v>
      </c>
      <c r="R1119" t="n">
        <v>4.960655737704918</v>
      </c>
      <c r="S1119" t="n">
        <v>1</v>
      </c>
      <c r="T1119" t="n">
        <v>1</v>
      </c>
      <c r="U1119" t="n">
        <v>0</v>
      </c>
      <c r="V1119" t="n">
        <v>17</v>
      </c>
      <c r="W1119" t="n">
        <v>591</v>
      </c>
    </row>
    <row r="1120">
      <c r="A1120" t="inlineStr">
        <is>
          <t>Pepsodent Kids Toothbrush Sikat Gigi Anak Extra Soft isi 1 - Perawatan Gigi</t>
        </is>
      </c>
      <c r="B1120" t="inlineStr">
        <is>
          <t>None</t>
        </is>
      </c>
      <c r="C1120" t="inlineStr">
        <is>
          <t>18%</t>
        </is>
      </c>
      <c r="D1120" t="n">
        <v>7300</v>
      </c>
      <c r="E1120" t="n">
        <v>8900</v>
      </c>
      <c r="F1120" t="n">
        <v>7300</v>
      </c>
      <c r="G1120" t="n">
        <v>8900</v>
      </c>
      <c r="H1120" t="n">
        <v>7300</v>
      </c>
      <c r="I1120" t="n">
        <v>8900</v>
      </c>
      <c r="J1120" t="b">
        <v>1</v>
      </c>
      <c r="K1120" t="inlineStr">
        <is>
          <t>Unilever Indonesia Official Shop</t>
        </is>
      </c>
      <c r="L1120" t="inlineStr">
        <is>
          <t>KOTA BEKASI</t>
        </is>
      </c>
      <c r="M1120" t="n">
        <v>9675299169</v>
      </c>
      <c r="N1120" t="n">
        <v>14318452</v>
      </c>
      <c r="O1120">
        <f>HYPERLINK("https://shopee.co.id/api/v4/item/get?itemid=9675299169&amp;shopid=14318452", "Pepsodent Kids Toothbrush Sikat Gigi Anak Extra Soft isi 1 - Perawatan Gigi")</f>
        <v/>
      </c>
      <c r="P1120" t="n">
        <v>5706</v>
      </c>
      <c r="Q1120" t="n">
        <v>2334</v>
      </c>
      <c r="R1120" t="n">
        <v>4.915815794957282</v>
      </c>
      <c r="S1120" t="n">
        <v>41</v>
      </c>
      <c r="T1120" t="n">
        <v>13</v>
      </c>
      <c r="U1120" t="n">
        <v>61</v>
      </c>
      <c r="V1120" t="n">
        <v>487</v>
      </c>
      <c r="W1120" t="n">
        <v>8997</v>
      </c>
    </row>
    <row r="1121">
      <c r="A1121" t="inlineStr">
        <is>
          <t>Tresemme Shampoo Keratin Smooth 340ml Multi Pack</t>
        </is>
      </c>
      <c r="B1121" t="inlineStr">
        <is>
          <t>0</t>
        </is>
      </c>
      <c r="C1121" t="inlineStr">
        <is>
          <t>21%</t>
        </is>
      </c>
      <c r="D1121" t="n">
        <v>174200</v>
      </c>
      <c r="E1121" t="n">
        <v>219600</v>
      </c>
      <c r="F1121" t="n">
        <v>174200</v>
      </c>
      <c r="G1121" t="n">
        <v>219600</v>
      </c>
      <c r="H1121" t="n">
        <v>174200</v>
      </c>
      <c r="I1121" t="n">
        <v>219600</v>
      </c>
      <c r="J1121" t="b">
        <v>1</v>
      </c>
      <c r="K1121" t="inlineStr">
        <is>
          <t>Unilever Indonesia Official Shop</t>
        </is>
      </c>
      <c r="L1121" t="inlineStr">
        <is>
          <t>KOTA BEKASI</t>
        </is>
      </c>
      <c r="M1121" t="n">
        <v>4931749146</v>
      </c>
      <c r="N1121" t="n">
        <v>14318452</v>
      </c>
      <c r="O1121">
        <f>HYPERLINK("https://shopee.co.id/api/v4/item/get?itemid=4931749146&amp;shopid=14318452", "Tresemme Shampoo Keratin Smooth 340ml Multi Pack")</f>
        <v/>
      </c>
      <c r="P1121" t="n">
        <v>7</v>
      </c>
      <c r="Q1121" t="n">
        <v>156</v>
      </c>
      <c r="R1121" t="n">
        <v>4.887323943661972</v>
      </c>
      <c r="S1121" t="n">
        <v>5</v>
      </c>
      <c r="T1121" t="n">
        <v>7</v>
      </c>
      <c r="U1121" t="n">
        <v>13</v>
      </c>
      <c r="V1121" t="n">
        <v>48</v>
      </c>
      <c r="W1121" t="n">
        <v>924</v>
      </c>
    </row>
    <row r="1122">
      <c r="A1122" t="inlineStr">
        <is>
          <t>Clear Shampoo Lemon Fresh Anti-Dandruff 300Ml - Twin Pack</t>
        </is>
      </c>
      <c r="B1122" t="inlineStr">
        <is>
          <t>0</t>
        </is>
      </c>
      <c r="C1122" t="inlineStr">
        <is>
          <t>15%</t>
        </is>
      </c>
      <c r="D1122" t="n">
        <v>107700</v>
      </c>
      <c r="E1122" t="n">
        <v>126100</v>
      </c>
      <c r="F1122" t="n">
        <v>107700</v>
      </c>
      <c r="G1122" t="n">
        <v>126100</v>
      </c>
      <c r="H1122" t="n">
        <v>107700</v>
      </c>
      <c r="I1122" t="n">
        <v>126100</v>
      </c>
      <c r="J1122" t="b">
        <v>1</v>
      </c>
      <c r="K1122" t="inlineStr">
        <is>
          <t>Unilever Indonesia Official Shop</t>
        </is>
      </c>
      <c r="L1122" t="inlineStr">
        <is>
          <t>KOTA BEKASI</t>
        </is>
      </c>
      <c r="M1122" t="n">
        <v>3231151064</v>
      </c>
      <c r="N1122" t="n">
        <v>14318452</v>
      </c>
      <c r="O1122">
        <f>HYPERLINK("https://shopee.co.id/api/v4/item/get?itemid=3231151064&amp;shopid=14318452", "Clear Shampoo Lemon Fresh Anti-Dandruff 300Ml - Twin Pack")</f>
        <v/>
      </c>
      <c r="P1122" t="n">
        <v>11</v>
      </c>
      <c r="Q1122" t="n">
        <v>112</v>
      </c>
      <c r="R1122" t="n">
        <v>4.928571428571429</v>
      </c>
      <c r="S1122" t="n">
        <v>0</v>
      </c>
      <c r="T1122" t="n">
        <v>0</v>
      </c>
      <c r="U1122" t="n">
        <v>1</v>
      </c>
      <c r="V1122" t="n">
        <v>4</v>
      </c>
      <c r="W1122" t="n">
        <v>79</v>
      </c>
    </row>
    <row r="1123">
      <c r="A1123" t="inlineStr">
        <is>
          <t>Sahaja Spray Higienis Untuk Sajadah &amp; Mukena 220 ml - Twinpack</t>
        </is>
      </c>
      <c r="B1123" t="inlineStr"/>
      <c r="C1123" t="inlineStr">
        <is>
          <t>15%</t>
        </is>
      </c>
      <c r="D1123" t="n">
        <v>47500</v>
      </c>
      <c r="E1123" t="n">
        <v>56000</v>
      </c>
      <c r="F1123" t="n">
        <v>47500</v>
      </c>
      <c r="G1123" t="n">
        <v>56000</v>
      </c>
      <c r="H1123" t="n">
        <v>47500</v>
      </c>
      <c r="I1123" t="n">
        <v>56000</v>
      </c>
      <c r="J1123" t="b">
        <v>1</v>
      </c>
      <c r="K1123" t="inlineStr">
        <is>
          <t>Unilever Indonesia Official Shop</t>
        </is>
      </c>
      <c r="L1123" t="inlineStr">
        <is>
          <t>KOTA BEKASI</t>
        </is>
      </c>
      <c r="M1123" t="n">
        <v>3148764342</v>
      </c>
      <c r="N1123" t="n">
        <v>14318452</v>
      </c>
      <c r="O1123">
        <f>HYPERLINK("https://shopee.co.id/api/v4/item/get?itemid=3148764342&amp;shopid=14318452", "Sahaja Spray Higienis Untuk Sajadah &amp; Mukena 220 ml - Twinpack")</f>
        <v/>
      </c>
      <c r="P1123" t="n">
        <v>2</v>
      </c>
      <c r="Q1123" t="n">
        <v>1254</v>
      </c>
      <c r="R1123" t="n">
        <v>4.892397660818713</v>
      </c>
      <c r="S1123" t="n">
        <v>5</v>
      </c>
      <c r="T1123" t="n">
        <v>3</v>
      </c>
      <c r="U1123" t="n">
        <v>10</v>
      </c>
      <c r="V1123" t="n">
        <v>43</v>
      </c>
      <c r="W1123" t="n">
        <v>794</v>
      </c>
    </row>
    <row r="1124">
      <c r="A1124" t="inlineStr">
        <is>
          <t>ST.IVES GLOWING APRICOT SHEET MASK / MASKER WAJAH</t>
        </is>
      </c>
      <c r="B1124" t="inlineStr">
        <is>
          <t>St.Ives</t>
        </is>
      </c>
      <c r="C1124" t="inlineStr">
        <is>
          <t>25%</t>
        </is>
      </c>
      <c r="D1124" t="n">
        <v>23400</v>
      </c>
      <c r="E1124" t="n">
        <v>31200</v>
      </c>
      <c r="F1124" t="n">
        <v>23400</v>
      </c>
      <c r="G1124" t="n">
        <v>31200</v>
      </c>
      <c r="H1124" t="n">
        <v>23400</v>
      </c>
      <c r="I1124" t="n">
        <v>31200</v>
      </c>
      <c r="J1124" t="b">
        <v>1</v>
      </c>
      <c r="K1124" t="inlineStr">
        <is>
          <t>Unilever Indonesia Official Shop</t>
        </is>
      </c>
      <c r="L1124" t="inlineStr">
        <is>
          <t>KOTA SEMARANG</t>
        </is>
      </c>
      <c r="M1124" t="n">
        <v>5617078147</v>
      </c>
      <c r="N1124" t="n">
        <v>14318452</v>
      </c>
      <c r="O1124">
        <f>HYPERLINK("https://shopee.co.id/api/v4/item/get?itemid=5617078147&amp;shopid=14318452", "ST.IVES GLOWING APRICOT SHEET MASK / MASKER WAJAH")</f>
        <v/>
      </c>
      <c r="P1124" t="n">
        <v>26</v>
      </c>
      <c r="Q1124" t="n">
        <v>50</v>
      </c>
      <c r="R1124" t="n">
        <v>4.885615251299827</v>
      </c>
      <c r="S1124" t="n">
        <v>4</v>
      </c>
      <c r="T1124" t="n">
        <v>6</v>
      </c>
      <c r="U1124" t="n">
        <v>16</v>
      </c>
      <c r="V1124" t="n">
        <v>66</v>
      </c>
      <c r="W1124" t="n">
        <v>1062</v>
      </c>
    </row>
    <row r="1125">
      <c r="A1125" t="inlineStr">
        <is>
          <t>Lux Botanicals Body Wash Refill Blue Peony 400ml Twin Pack</t>
        </is>
      </c>
      <c r="B1125" t="inlineStr">
        <is>
          <t>0</t>
        </is>
      </c>
      <c r="C1125" t="inlineStr">
        <is>
          <t>28%</t>
        </is>
      </c>
      <c r="D1125" t="n">
        <v>45000</v>
      </c>
      <c r="E1125" t="n">
        <v>62800</v>
      </c>
      <c r="F1125" t="n">
        <v>45000</v>
      </c>
      <c r="G1125" t="n">
        <v>62800</v>
      </c>
      <c r="H1125" t="n">
        <v>45000</v>
      </c>
      <c r="I1125" t="n">
        <v>62800</v>
      </c>
      <c r="J1125" t="b">
        <v>1</v>
      </c>
      <c r="K1125" t="inlineStr">
        <is>
          <t>Unilever Indonesia Official Shop</t>
        </is>
      </c>
      <c r="L1125" t="inlineStr">
        <is>
          <t>KOTA BEKASI</t>
        </is>
      </c>
      <c r="M1125" t="n">
        <v>7331355999</v>
      </c>
      <c r="N1125" t="n">
        <v>14318452</v>
      </c>
      <c r="O1125">
        <f>HYPERLINK("https://shopee.co.id/api/v4/item/get?itemid=7331355999&amp;shopid=14318452", "Lux Botanicals Body Wash Refill Blue Peony 400ml Twin Pack")</f>
        <v/>
      </c>
      <c r="P1125" t="n">
        <v>52</v>
      </c>
      <c r="Q1125" t="n">
        <v>10</v>
      </c>
      <c r="R1125" t="n">
        <v>4.891701828410689</v>
      </c>
      <c r="S1125" t="n">
        <v>5</v>
      </c>
      <c r="T1125" t="n">
        <v>3</v>
      </c>
      <c r="U1125" t="n">
        <v>8</v>
      </c>
      <c r="V1125" t="n">
        <v>32</v>
      </c>
      <c r="W1125" t="n">
        <v>663</v>
      </c>
    </row>
    <row r="1126">
      <c r="A1126" t="inlineStr">
        <is>
          <t>Pond'S Tone Up Milk Mask / Masker Wajah Vitamin C 25G x2</t>
        </is>
      </c>
      <c r="B1126" t="inlineStr">
        <is>
          <t>0</t>
        </is>
      </c>
      <c r="C1126" t="inlineStr">
        <is>
          <t>12%</t>
        </is>
      </c>
      <c r="D1126" t="n">
        <v>40200</v>
      </c>
      <c r="E1126" t="n">
        <v>45600</v>
      </c>
      <c r="F1126" t="n">
        <v>40200</v>
      </c>
      <c r="G1126" t="n">
        <v>45600</v>
      </c>
      <c r="H1126" t="n">
        <v>40200</v>
      </c>
      <c r="I1126" t="n">
        <v>45600</v>
      </c>
      <c r="J1126" t="b">
        <v>1</v>
      </c>
      <c r="K1126" t="inlineStr">
        <is>
          <t>Unilever Indonesia Official Shop</t>
        </is>
      </c>
      <c r="L1126" t="inlineStr">
        <is>
          <t>KOTA BEKASI</t>
        </is>
      </c>
      <c r="M1126" t="n">
        <v>3768172639</v>
      </c>
      <c r="N1126" t="n">
        <v>14318452</v>
      </c>
      <c r="O1126">
        <f>HYPERLINK("https://shopee.co.id/api/v4/item/get?itemid=3768172639&amp;shopid=14318452", "Pond'S Tone Up Milk Mask / Masker Wajah Vitamin C 25G x2")</f>
        <v/>
      </c>
      <c r="P1126" t="n">
        <v>22</v>
      </c>
      <c r="Q1126" t="n">
        <v>256</v>
      </c>
      <c r="R1126" t="n">
        <v>4.953995157384988</v>
      </c>
      <c r="S1126" t="n">
        <v>0</v>
      </c>
      <c r="T1126" t="n">
        <v>0</v>
      </c>
      <c r="U1126" t="n">
        <v>1</v>
      </c>
      <c r="V1126" t="n">
        <v>17</v>
      </c>
      <c r="W1126" t="n">
        <v>395</v>
      </c>
    </row>
    <row r="1127">
      <c r="A1127" t="inlineStr">
        <is>
          <t>ST.IVES SOOTHING OATMEAL SHEET MASK / MASKER WAJAH</t>
        </is>
      </c>
      <c r="B1127" t="inlineStr">
        <is>
          <t>St.Ives</t>
        </is>
      </c>
      <c r="C1127" t="inlineStr">
        <is>
          <t>12%</t>
        </is>
      </c>
      <c r="D1127" t="n">
        <v>27600</v>
      </c>
      <c r="E1127" t="n">
        <v>31200</v>
      </c>
      <c r="F1127" t="n">
        <v>27600</v>
      </c>
      <c r="G1127" t="n">
        <v>31200</v>
      </c>
      <c r="H1127" t="n">
        <v>27600</v>
      </c>
      <c r="I1127" t="n">
        <v>31200</v>
      </c>
      <c r="J1127" t="b">
        <v>1</v>
      </c>
      <c r="K1127" t="inlineStr">
        <is>
          <t>Unilever Indonesia Official Shop</t>
        </is>
      </c>
      <c r="L1127" t="inlineStr">
        <is>
          <t>KOTA DENPASAR</t>
        </is>
      </c>
      <c r="M1127" t="n">
        <v>5617078379</v>
      </c>
      <c r="N1127" t="n">
        <v>14318452</v>
      </c>
      <c r="O1127">
        <f>HYPERLINK("https://shopee.co.id/api/v4/item/get?itemid=5617078379&amp;shopid=14318452", "ST.IVES SOOTHING OATMEAL SHEET MASK / MASKER WAJAH")</f>
        <v/>
      </c>
      <c r="P1127" t="n">
        <v>3</v>
      </c>
      <c r="Q1127" t="n">
        <v>116</v>
      </c>
      <c r="R1127" t="n">
        <v>4.901323706377858</v>
      </c>
      <c r="S1127" t="n">
        <v>6</v>
      </c>
      <c r="T1127" t="n">
        <v>2</v>
      </c>
      <c r="U1127" t="n">
        <v>7</v>
      </c>
      <c r="V1127" t="n">
        <v>38</v>
      </c>
      <c r="W1127" t="n">
        <v>778</v>
      </c>
    </row>
    <row r="1128">
      <c r="A1128" t="inlineStr">
        <is>
          <t>St. Ives Nourished &amp; Smooth Oatmeal Face Scrub &amp; Mask 170 gr -Twin Pack</t>
        </is>
      </c>
      <c r="B1128" t="inlineStr">
        <is>
          <t>0</t>
        </is>
      </c>
      <c r="C1128" t="inlineStr">
        <is>
          <t>1%</t>
        </is>
      </c>
      <c r="D1128" t="n">
        <v>136700</v>
      </c>
      <c r="E1128" t="n">
        <v>138000</v>
      </c>
      <c r="F1128" t="n">
        <v>136700</v>
      </c>
      <c r="G1128" t="n">
        <v>138000</v>
      </c>
      <c r="H1128" t="n">
        <v>136700</v>
      </c>
      <c r="I1128" t="n">
        <v>138000</v>
      </c>
      <c r="J1128" t="b">
        <v>1</v>
      </c>
      <c r="K1128" t="inlineStr">
        <is>
          <t>Unilever Indonesia Official Shop</t>
        </is>
      </c>
      <c r="L1128" t="inlineStr">
        <is>
          <t>KOTA BEKASI</t>
        </is>
      </c>
      <c r="M1128" t="n">
        <v>4631729463</v>
      </c>
      <c r="N1128" t="n">
        <v>14318452</v>
      </c>
      <c r="O1128">
        <f>HYPERLINK("https://shopee.co.id/api/v4/item/get?itemid=4631729463&amp;shopid=14318452", "St. Ives Nourished &amp; Smooth Oatmeal Face Scrub &amp; Mask 170 gr -Twin Pack")</f>
        <v/>
      </c>
      <c r="P1128" t="n">
        <v>6</v>
      </c>
      <c r="Q1128" t="n">
        <v>50</v>
      </c>
      <c r="R1128" t="n">
        <v>4.883610451306414</v>
      </c>
      <c r="S1128" t="n">
        <v>3</v>
      </c>
      <c r="T1128" t="n">
        <v>1</v>
      </c>
      <c r="U1128" t="n">
        <v>2</v>
      </c>
      <c r="V1128" t="n">
        <v>30</v>
      </c>
      <c r="W1128" t="n">
        <v>385</v>
      </c>
    </row>
    <row r="1129">
      <c r="A1129" t="inlineStr">
        <is>
          <t>Zwitsal Baby Bath Natural dengan Minyak Telon 200ml Twin Pack</t>
        </is>
      </c>
      <c r="B1129" t="inlineStr">
        <is>
          <t>0</t>
        </is>
      </c>
      <c r="C1129" t="inlineStr">
        <is>
          <t>16%</t>
        </is>
      </c>
      <c r="D1129" t="n">
        <v>43700</v>
      </c>
      <c r="E1129" t="n">
        <v>51800</v>
      </c>
      <c r="F1129" t="n">
        <v>43700</v>
      </c>
      <c r="G1129" t="n">
        <v>51800</v>
      </c>
      <c r="H1129" t="n">
        <v>43700</v>
      </c>
      <c r="I1129" t="n">
        <v>51800</v>
      </c>
      <c r="J1129" t="b">
        <v>1</v>
      </c>
      <c r="K1129" t="inlineStr">
        <is>
          <t>Unilever Indonesia Official Shop</t>
        </is>
      </c>
      <c r="L1129" t="inlineStr">
        <is>
          <t>KOTA BEKASI</t>
        </is>
      </c>
      <c r="M1129" t="n">
        <v>6231353523</v>
      </c>
      <c r="N1129" t="n">
        <v>14318452</v>
      </c>
      <c r="O1129">
        <f>HYPERLINK("https://shopee.co.id/api/v4/item/get?itemid=6231353523&amp;shopid=14318452", "Zwitsal Baby Bath Natural dengan Minyak Telon 200ml Twin Pack")</f>
        <v/>
      </c>
      <c r="P1129" t="n">
        <v>8</v>
      </c>
      <c r="Q1129" t="n">
        <v>126</v>
      </c>
      <c r="R1129" t="n">
        <v>4.9</v>
      </c>
      <c r="S1129" t="n">
        <v>2</v>
      </c>
      <c r="T1129" t="n">
        <v>2</v>
      </c>
      <c r="U1129" t="n">
        <v>3</v>
      </c>
      <c r="V1129" t="n">
        <v>24</v>
      </c>
      <c r="W1129" t="n">
        <v>409</v>
      </c>
    </row>
    <row r="1130">
      <c r="A1130" t="inlineStr">
        <is>
          <t>Jawara Saus Sambal Hot 340 ml - Twin Pack</t>
        </is>
      </c>
      <c r="B1130" t="inlineStr">
        <is>
          <t>0</t>
        </is>
      </c>
      <c r="C1130" t="inlineStr">
        <is>
          <t>17%</t>
        </is>
      </c>
      <c r="D1130" t="n">
        <v>35700</v>
      </c>
      <c r="E1130" t="n">
        <v>43100</v>
      </c>
      <c r="F1130" t="n">
        <v>35700</v>
      </c>
      <c r="G1130" t="n">
        <v>43100</v>
      </c>
      <c r="H1130" t="n">
        <v>35700</v>
      </c>
      <c r="I1130" t="n">
        <v>43100</v>
      </c>
      <c r="J1130" t="b">
        <v>1</v>
      </c>
      <c r="K1130" t="inlineStr">
        <is>
          <t>Unilever Indonesia Official Shop</t>
        </is>
      </c>
      <c r="L1130" t="inlineStr">
        <is>
          <t>KOTA BEKASI</t>
        </is>
      </c>
      <c r="M1130" t="n">
        <v>6131397632</v>
      </c>
      <c r="N1130" t="n">
        <v>14318452</v>
      </c>
      <c r="O1130">
        <f>HYPERLINK("https://shopee.co.id/api/v4/item/get?itemid=6131397632&amp;shopid=14318452", "Jawara Saus Sambal Hot 340 ml - Twin Pack")</f>
        <v/>
      </c>
      <c r="P1130" t="n">
        <v>18</v>
      </c>
      <c r="Q1130" t="n">
        <v>154</v>
      </c>
      <c r="R1130" t="n">
        <v>4.910505836575876</v>
      </c>
      <c r="S1130" t="n">
        <v>1</v>
      </c>
      <c r="T1130" t="n">
        <v>3</v>
      </c>
      <c r="U1130" t="n">
        <v>1</v>
      </c>
      <c r="V1130" t="n">
        <v>8</v>
      </c>
      <c r="W1130" t="n">
        <v>244</v>
      </c>
    </row>
    <row r="1131">
      <c r="A1131" t="inlineStr">
        <is>
          <t>Buy 2 Zwitsal Baby Bath Hair And Body Natural Aloe Vera 450 Ml Free Zwitsal Rich Honey 200ml + Hair Lot 50ml</t>
        </is>
      </c>
      <c r="B1131" t="inlineStr"/>
      <c r="C1131" t="inlineStr">
        <is>
          <t>36%</t>
        </is>
      </c>
      <c r="D1131" t="n">
        <v>73300</v>
      </c>
      <c r="E1131" t="n">
        <v>113900</v>
      </c>
      <c r="F1131" t="n">
        <v>73300</v>
      </c>
      <c r="G1131" t="n">
        <v>113900</v>
      </c>
      <c r="H1131" t="n">
        <v>73300</v>
      </c>
      <c r="I1131" t="n">
        <v>113900</v>
      </c>
      <c r="J1131" t="b">
        <v>0</v>
      </c>
      <c r="K1131" t="inlineStr">
        <is>
          <t>Unilever Indonesia Official Shop</t>
        </is>
      </c>
      <c r="L1131" t="inlineStr">
        <is>
          <t>KOTA BEKASI</t>
        </is>
      </c>
      <c r="M1131" t="n">
        <v>15600750592</v>
      </c>
      <c r="N1131" t="n">
        <v>14318452</v>
      </c>
      <c r="O1131">
        <f>HYPERLINK("https://shopee.co.id/api/v4/item/get?itemid=15600750592&amp;shopid=14318452", "Buy 2 Zwitsal Baby Bath Hair And Body Natural Aloe Vera 450 Ml Free Zwitsal Rich Honey 200ml + Hair Lot 50ml")</f>
        <v/>
      </c>
      <c r="P1131" t="n">
        <v>76</v>
      </c>
      <c r="Q1131" t="n">
        <v>99</v>
      </c>
      <c r="R1131" t="n">
        <v>4.926286509040334</v>
      </c>
      <c r="S1131" t="n">
        <v>2</v>
      </c>
      <c r="T1131" t="n">
        <v>1</v>
      </c>
      <c r="U1131" t="n">
        <v>3</v>
      </c>
      <c r="V1131" t="n">
        <v>36</v>
      </c>
      <c r="W1131" t="n">
        <v>677</v>
      </c>
    </row>
    <row r="1132">
      <c r="A1132" t="inlineStr">
        <is>
          <t>Lifebuoy Antibacterial Body Wash Lemon Fresh 250 ml + Refill Cool Fresh 250 ml</t>
        </is>
      </c>
      <c r="B1132" t="inlineStr">
        <is>
          <t>Lifebuoy</t>
        </is>
      </c>
      <c r="C1132" t="inlineStr">
        <is>
          <t>30%</t>
        </is>
      </c>
      <c r="D1132" t="n">
        <v>35400</v>
      </c>
      <c r="E1132" t="n">
        <v>50300</v>
      </c>
      <c r="F1132" t="n">
        <v>35400</v>
      </c>
      <c r="G1132" t="n">
        <v>50300</v>
      </c>
      <c r="H1132" t="n">
        <v>35400</v>
      </c>
      <c r="I1132" t="n">
        <v>50300</v>
      </c>
      <c r="J1132" t="b">
        <v>1</v>
      </c>
      <c r="K1132" t="inlineStr">
        <is>
          <t>Unilever Indonesia Official Shop</t>
        </is>
      </c>
      <c r="L1132" t="inlineStr">
        <is>
          <t>KOTA BEKASI</t>
        </is>
      </c>
      <c r="M1132" t="n">
        <v>9020328067</v>
      </c>
      <c r="N1132" t="n">
        <v>14318452</v>
      </c>
      <c r="O1132">
        <f>HYPERLINK("https://shopee.co.id/api/v4/item/get?itemid=9020328067&amp;shopid=14318452", "Lifebuoy Antibacterial Body Wash Lemon Fresh 250 ml + Refill Cool Fresh 250 ml")</f>
        <v/>
      </c>
      <c r="P1132" t="n">
        <v>15</v>
      </c>
      <c r="Q1132" t="n">
        <v>250</v>
      </c>
      <c r="R1132" t="n">
        <v>4.891238670694864</v>
      </c>
      <c r="S1132" t="n">
        <v>1</v>
      </c>
      <c r="T1132" t="n">
        <v>1</v>
      </c>
      <c r="U1132" t="n">
        <v>4</v>
      </c>
      <c r="V1132" t="n">
        <v>21</v>
      </c>
      <c r="W1132" t="n">
        <v>304</v>
      </c>
    </row>
    <row r="1133">
      <c r="A1133" t="inlineStr">
        <is>
          <t>Simple Cleansing Water 200 ml</t>
        </is>
      </c>
      <c r="B1133" t="inlineStr">
        <is>
          <t>0</t>
        </is>
      </c>
      <c r="C1133" t="inlineStr">
        <is>
          <t>1%</t>
        </is>
      </c>
      <c r="D1133" t="n">
        <v>76800</v>
      </c>
      <c r="E1133" t="n">
        <v>77500</v>
      </c>
      <c r="F1133" t="n">
        <v>76800</v>
      </c>
      <c r="G1133" t="n">
        <v>77500</v>
      </c>
      <c r="H1133" t="n">
        <v>76800</v>
      </c>
      <c r="I1133" t="n">
        <v>77500</v>
      </c>
      <c r="J1133" t="b">
        <v>1</v>
      </c>
      <c r="K1133" t="inlineStr">
        <is>
          <t>Unilever Indonesia Official Shop</t>
        </is>
      </c>
      <c r="L1133" t="inlineStr">
        <is>
          <t>KOTA BEKASI</t>
        </is>
      </c>
      <c r="M1133" t="n">
        <v>2583041728</v>
      </c>
      <c r="N1133" t="n">
        <v>14318452</v>
      </c>
      <c r="O1133">
        <f>HYPERLINK("https://shopee.co.id/api/v4/item/get?itemid=2583041728&amp;shopid=14318452", "Simple Cleansing Water 200 ml")</f>
        <v/>
      </c>
      <c r="P1133" t="n">
        <v>60</v>
      </c>
      <c r="Q1133" t="n">
        <v>132</v>
      </c>
      <c r="R1133" t="n">
        <v>4.820267686424474</v>
      </c>
      <c r="S1133" t="n">
        <v>6</v>
      </c>
      <c r="T1133" t="n">
        <v>3</v>
      </c>
      <c r="U1133" t="n">
        <v>12</v>
      </c>
      <c r="V1133" t="n">
        <v>37</v>
      </c>
      <c r="W1133" t="n">
        <v>465</v>
      </c>
    </row>
    <row r="1134">
      <c r="A1134" t="inlineStr">
        <is>
          <t>Dove Aqua Moisture Body Wash Refill 400ml Multi Pack</t>
        </is>
      </c>
      <c r="B1134" t="inlineStr">
        <is>
          <t>0</t>
        </is>
      </c>
      <c r="C1134" t="inlineStr">
        <is>
          <t>18%</t>
        </is>
      </c>
      <c r="D1134" t="n">
        <v>113600</v>
      </c>
      <c r="E1134" t="n">
        <v>138800</v>
      </c>
      <c r="F1134" t="n">
        <v>113600</v>
      </c>
      <c r="G1134" t="n">
        <v>138800</v>
      </c>
      <c r="H1134" t="n">
        <v>113600</v>
      </c>
      <c r="I1134" t="n">
        <v>138800</v>
      </c>
      <c r="J1134" t="b">
        <v>1</v>
      </c>
      <c r="K1134" t="inlineStr">
        <is>
          <t>Unilever Indonesia Official Shop</t>
        </is>
      </c>
      <c r="L1134" t="inlineStr">
        <is>
          <t>KOTA BEKASI</t>
        </is>
      </c>
      <c r="M1134" t="n">
        <v>5531325578</v>
      </c>
      <c r="N1134" t="n">
        <v>14318452</v>
      </c>
      <c r="O1134">
        <f>HYPERLINK("https://shopee.co.id/api/v4/item/get?itemid=5531325578&amp;shopid=14318452", "Dove Aqua Moisture Body Wash Refill 400ml Multi Pack")</f>
        <v/>
      </c>
      <c r="P1134" t="n">
        <v>8</v>
      </c>
      <c r="Q1134" t="n">
        <v>214</v>
      </c>
      <c r="R1134" t="n">
        <v>4.969230769230769</v>
      </c>
      <c r="S1134" t="n">
        <v>0</v>
      </c>
      <c r="T1134" t="n">
        <v>0</v>
      </c>
      <c r="U1134" t="n">
        <v>0</v>
      </c>
      <c r="V1134" t="n">
        <v>6</v>
      </c>
      <c r="W1134" t="n">
        <v>189</v>
      </c>
    </row>
    <row r="1135">
      <c r="A1135" t="inlineStr">
        <is>
          <t xml:space="preserve">Dove Shampoo Nutritive Solution Total Damage Treatment 680 ml Multi Pack </t>
        </is>
      </c>
      <c r="B1135" t="inlineStr">
        <is>
          <t>0</t>
        </is>
      </c>
      <c r="C1135" t="inlineStr">
        <is>
          <t>3%</t>
        </is>
      </c>
      <c r="D1135" t="n">
        <v>272700</v>
      </c>
      <c r="E1135" t="n">
        <v>279900</v>
      </c>
      <c r="F1135" t="n">
        <v>272700</v>
      </c>
      <c r="G1135" t="n">
        <v>279900</v>
      </c>
      <c r="H1135" t="n">
        <v>272700</v>
      </c>
      <c r="I1135" t="n">
        <v>279900</v>
      </c>
      <c r="J1135" t="b">
        <v>1</v>
      </c>
      <c r="K1135" t="inlineStr">
        <is>
          <t>Unilever Indonesia Official Shop</t>
        </is>
      </c>
      <c r="L1135" t="inlineStr">
        <is>
          <t>KOTA BEKASI</t>
        </is>
      </c>
      <c r="M1135" t="n">
        <v>6031163835</v>
      </c>
      <c r="N1135" t="n">
        <v>14318452</v>
      </c>
      <c r="O1135">
        <f>HYPERLINK("https://shopee.co.id/api/v4/item/get?itemid=6031163835&amp;shopid=14318452", "Dove Shampoo Nutritive Solution Total Damage Treatment 680 ml Multi Pack ")</f>
        <v/>
      </c>
      <c r="P1135" t="n">
        <v>44</v>
      </c>
      <c r="Q1135" t="n">
        <v>439</v>
      </c>
      <c r="R1135" t="n">
        <v>4.850622406639004</v>
      </c>
      <c r="S1135" t="n">
        <v>8</v>
      </c>
      <c r="T1135" t="n">
        <v>5</v>
      </c>
      <c r="U1135" t="n">
        <v>12</v>
      </c>
      <c r="V1135" t="n">
        <v>48</v>
      </c>
      <c r="W1135" t="n">
        <v>653</v>
      </c>
    </row>
    <row r="1136">
      <c r="A1136" t="inlineStr">
        <is>
          <t>Sunlight Lime New Refill 1100Ml x2 Free Wipol Spray Disinfektan Pembersih Serbaguna PowerClean 500ml</t>
        </is>
      </c>
      <c r="B1136" t="inlineStr">
        <is>
          <t>0</t>
        </is>
      </c>
      <c r="C1136" t="inlineStr">
        <is>
          <t>11%</t>
        </is>
      </c>
      <c r="D1136" t="n">
        <v>87200</v>
      </c>
      <c r="E1136" t="n">
        <v>97700</v>
      </c>
      <c r="F1136" t="n">
        <v>87200</v>
      </c>
      <c r="G1136" t="n">
        <v>97700</v>
      </c>
      <c r="H1136" t="n">
        <v>87200</v>
      </c>
      <c r="I1136" t="n">
        <v>97700</v>
      </c>
      <c r="J1136" t="b">
        <v>1</v>
      </c>
      <c r="K1136" t="inlineStr">
        <is>
          <t>Unilever Indonesia Official Shop</t>
        </is>
      </c>
      <c r="L1136" t="inlineStr">
        <is>
          <t>KOTA BEKASI</t>
        </is>
      </c>
      <c r="M1136" t="n">
        <v>6377329754</v>
      </c>
      <c r="N1136" t="n">
        <v>14318452</v>
      </c>
      <c r="O1136">
        <f>HYPERLINK("https://shopee.co.id/api/v4/item/get?itemid=6377329754&amp;shopid=14318452", "Sunlight Lime New Refill 1100Ml x2 Free Wipol Spray Disinfektan Pembersih Serbaguna PowerClean 500ml")</f>
        <v/>
      </c>
      <c r="P1136" t="n">
        <v>13</v>
      </c>
      <c r="Q1136" t="n">
        <v>818</v>
      </c>
      <c r="R1136" t="n">
        <v>4.906666666666666</v>
      </c>
      <c r="S1136" t="n">
        <v>3</v>
      </c>
      <c r="T1136" t="n">
        <v>2</v>
      </c>
      <c r="U1136" t="n">
        <v>1</v>
      </c>
      <c r="V1136" t="n">
        <v>8</v>
      </c>
      <c r="W1136" t="n">
        <v>286</v>
      </c>
    </row>
    <row r="1137">
      <c r="A1137" t="inlineStr">
        <is>
          <t>St Ives Cleanse &amp; Hydrate Aloe Vera Facial Wipes</t>
        </is>
      </c>
      <c r="B1137" t="inlineStr"/>
      <c r="C1137" t="inlineStr">
        <is>
          <t>12%</t>
        </is>
      </c>
      <c r="D1137" t="n">
        <v>59200</v>
      </c>
      <c r="E1137" t="n">
        <v>67000</v>
      </c>
      <c r="F1137" t="n">
        <v>59200</v>
      </c>
      <c r="G1137" t="n">
        <v>67000</v>
      </c>
      <c r="H1137" t="n">
        <v>59200</v>
      </c>
      <c r="I1137" t="n">
        <v>67000</v>
      </c>
      <c r="J1137" t="b">
        <v>1</v>
      </c>
      <c r="K1137" t="inlineStr">
        <is>
          <t>Unilever Indonesia Official Shop</t>
        </is>
      </c>
      <c r="L1137" t="inlineStr">
        <is>
          <t>KOTA BALIKPAPAN</t>
        </is>
      </c>
      <c r="M1137" t="n">
        <v>6150171248</v>
      </c>
      <c r="N1137" t="n">
        <v>14318452</v>
      </c>
      <c r="O1137">
        <f>HYPERLINK("https://shopee.co.id/api/v4/item/get?itemid=6150171248&amp;shopid=14318452", "St Ives Cleanse &amp; Hydrate Aloe Vera Facial Wipes")</f>
        <v/>
      </c>
      <c r="P1137" t="n">
        <v>8</v>
      </c>
      <c r="Q1137" t="n">
        <v>3</v>
      </c>
      <c r="R1137" t="n">
        <v>4.854961832061068</v>
      </c>
      <c r="S1137" t="n">
        <v>3</v>
      </c>
      <c r="T1137" t="n">
        <v>1</v>
      </c>
      <c r="U1137" t="n">
        <v>2</v>
      </c>
      <c r="V1137" t="n">
        <v>19</v>
      </c>
      <c r="W1137" t="n">
        <v>237</v>
      </c>
    </row>
    <row r="1138">
      <c r="A1138" t="inlineStr">
        <is>
          <t>St. Ives Apricot Fresh Skin Face Scrub 170 gr - Multi Pack isi 3</t>
        </is>
      </c>
      <c r="B1138" t="inlineStr">
        <is>
          <t>0</t>
        </is>
      </c>
      <c r="C1138" t="inlineStr">
        <is>
          <t>3%</t>
        </is>
      </c>
      <c r="D1138" t="n">
        <v>200200</v>
      </c>
      <c r="E1138" t="n">
        <v>207000</v>
      </c>
      <c r="F1138" t="n">
        <v>200200</v>
      </c>
      <c r="G1138" t="n">
        <v>207000</v>
      </c>
      <c r="H1138" t="n">
        <v>200200</v>
      </c>
      <c r="I1138" t="n">
        <v>207000</v>
      </c>
      <c r="J1138" t="b">
        <v>1</v>
      </c>
      <c r="K1138" t="inlineStr">
        <is>
          <t>Unilever Indonesia Official Shop</t>
        </is>
      </c>
      <c r="L1138" t="inlineStr">
        <is>
          <t>KOTA BEKASI</t>
        </is>
      </c>
      <c r="M1138" t="n">
        <v>4031730361</v>
      </c>
      <c r="N1138" t="n">
        <v>14318452</v>
      </c>
      <c r="O1138">
        <f>HYPERLINK("https://shopee.co.id/api/v4/item/get?itemid=4031730361&amp;shopid=14318452", "St. Ives Apricot Fresh Skin Face Scrub 170 gr - Multi Pack isi 3")</f>
        <v/>
      </c>
      <c r="P1138" t="n">
        <v>3</v>
      </c>
      <c r="Q1138" t="n">
        <v>240</v>
      </c>
      <c r="R1138" t="n">
        <v>4.973451327433628</v>
      </c>
      <c r="S1138" t="n">
        <v>0</v>
      </c>
      <c r="T1138" t="n">
        <v>0</v>
      </c>
      <c r="U1138" t="n">
        <v>0</v>
      </c>
      <c r="V1138" t="n">
        <v>3</v>
      </c>
      <c r="W1138" t="n">
        <v>110</v>
      </c>
    </row>
    <row r="1139">
      <c r="A1139" t="inlineStr">
        <is>
          <t>Citra Glow Recipe Juicy Sheet Mask Sakura + Aloe Vera 25 g Twinpack</t>
        </is>
      </c>
      <c r="B1139" t="inlineStr">
        <is>
          <t>0</t>
        </is>
      </c>
      <c r="C1139" t="inlineStr">
        <is>
          <t>1%</t>
        </is>
      </c>
      <c r="D1139" t="n">
        <v>35500</v>
      </c>
      <c r="E1139" t="n">
        <v>35800</v>
      </c>
      <c r="F1139" t="n">
        <v>35500</v>
      </c>
      <c r="G1139" t="n">
        <v>35800</v>
      </c>
      <c r="H1139" t="n">
        <v>35500</v>
      </c>
      <c r="I1139" t="n">
        <v>35800</v>
      </c>
      <c r="J1139" t="b">
        <v>1</v>
      </c>
      <c r="K1139" t="inlineStr">
        <is>
          <t>Unilever Indonesia Official Shop</t>
        </is>
      </c>
      <c r="L1139" t="inlineStr">
        <is>
          <t>KOTA SEMARANG</t>
        </is>
      </c>
      <c r="M1139" t="n">
        <v>7031053519</v>
      </c>
      <c r="N1139" t="n">
        <v>14318452</v>
      </c>
      <c r="O1139">
        <f>HYPERLINK("https://shopee.co.id/api/v4/item/get?itemid=7031053519&amp;shopid=14318452", "Citra Glow Recipe Juicy Sheet Mask Sakura + Aloe Vera 25 g Twinpack")</f>
        <v/>
      </c>
      <c r="P1139" t="n">
        <v>6</v>
      </c>
      <c r="Q1139" t="n">
        <v>214</v>
      </c>
      <c r="R1139" t="n">
        <v>4.96078431372549</v>
      </c>
      <c r="S1139" t="n">
        <v>0</v>
      </c>
      <c r="T1139" t="n">
        <v>0</v>
      </c>
      <c r="U1139" t="n">
        <v>1</v>
      </c>
      <c r="V1139" t="n">
        <v>20</v>
      </c>
      <c r="W1139" t="n">
        <v>540</v>
      </c>
    </row>
    <row r="1140">
      <c r="A1140" t="inlineStr">
        <is>
          <t>Dove Deeply Nourishing Body Wash Pump 550ml Twin Pack</t>
        </is>
      </c>
      <c r="B1140" t="inlineStr">
        <is>
          <t>Dove</t>
        </is>
      </c>
      <c r="C1140" t="inlineStr">
        <is>
          <t>20%</t>
        </is>
      </c>
      <c r="D1140" t="n">
        <v>130300</v>
      </c>
      <c r="E1140" t="n">
        <v>163700</v>
      </c>
      <c r="F1140" t="n">
        <v>130300</v>
      </c>
      <c r="G1140" t="n">
        <v>163700</v>
      </c>
      <c r="H1140" t="n">
        <v>130300</v>
      </c>
      <c r="I1140" t="n">
        <v>163700</v>
      </c>
      <c r="J1140" t="b">
        <v>1</v>
      </c>
      <c r="K1140" t="inlineStr">
        <is>
          <t>Unilever Indonesia Official Shop</t>
        </is>
      </c>
      <c r="L1140" t="inlineStr">
        <is>
          <t>KOTA BEKASI</t>
        </is>
      </c>
      <c r="M1140" t="n">
        <v>4231178233</v>
      </c>
      <c r="N1140" t="n">
        <v>14318452</v>
      </c>
      <c r="O1140">
        <f>HYPERLINK("https://shopee.co.id/api/v4/item/get?itemid=4231178233&amp;shopid=14318452", "Dove Deeply Nourishing Body Wash Pump 550ml Twin Pack")</f>
        <v/>
      </c>
      <c r="P1140" t="n">
        <v>12</v>
      </c>
      <c r="Q1140" t="n">
        <v>253</v>
      </c>
      <c r="R1140" t="n">
        <v>4.84725050916497</v>
      </c>
      <c r="S1140" t="n">
        <v>3</v>
      </c>
      <c r="T1140" t="n">
        <v>4</v>
      </c>
      <c r="U1140" t="n">
        <v>15</v>
      </c>
      <c r="V1140" t="n">
        <v>27</v>
      </c>
      <c r="W1140" t="n">
        <v>444</v>
      </c>
    </row>
    <row r="1141">
      <c r="A1141" t="inlineStr">
        <is>
          <t>Lux Velvet Jasmine Sabun Cair Refill 450ml Twin Pack</t>
        </is>
      </c>
      <c r="B1141" t="inlineStr">
        <is>
          <t>0</t>
        </is>
      </c>
      <c r="C1141" t="inlineStr">
        <is>
          <t>27%</t>
        </is>
      </c>
      <c r="D1141" t="n">
        <v>45000</v>
      </c>
      <c r="E1141" t="n">
        <v>61800</v>
      </c>
      <c r="F1141" t="n">
        <v>45000</v>
      </c>
      <c r="G1141" t="n">
        <v>61800</v>
      </c>
      <c r="H1141" t="n">
        <v>45000</v>
      </c>
      <c r="I1141" t="n">
        <v>61800</v>
      </c>
      <c r="J1141" t="b">
        <v>1</v>
      </c>
      <c r="K1141" t="inlineStr">
        <is>
          <t>Unilever Indonesia Official Shop</t>
        </is>
      </c>
      <c r="L1141" t="inlineStr">
        <is>
          <t>KOTA PEKANBARU</t>
        </is>
      </c>
      <c r="M1141" t="n">
        <v>3331459430</v>
      </c>
      <c r="N1141" t="n">
        <v>14318452</v>
      </c>
      <c r="O1141">
        <f>HYPERLINK("https://shopee.co.id/api/v4/item/get?itemid=3331459430&amp;shopid=14318452", "Lux Velvet Jasmine Sabun Cair Refill 450ml Twin Pack")</f>
        <v/>
      </c>
      <c r="P1141" t="n">
        <v>36</v>
      </c>
      <c r="Q1141" t="n">
        <v>10</v>
      </c>
      <c r="R1141" t="n">
        <v>4.893333333333334</v>
      </c>
      <c r="S1141" t="n">
        <v>5</v>
      </c>
      <c r="T1141" t="n">
        <v>2</v>
      </c>
      <c r="U1141" t="n">
        <v>7</v>
      </c>
      <c r="V1141" t="n">
        <v>27</v>
      </c>
      <c r="W1141" t="n">
        <v>560</v>
      </c>
    </row>
    <row r="1142">
      <c r="A1142" t="inlineStr">
        <is>
          <t>LIPTON TEA RITUAL TEH HIJAU CELUP 15S</t>
        </is>
      </c>
      <c r="B1142" t="inlineStr"/>
      <c r="C1142" t="inlineStr">
        <is>
          <t>1%</t>
        </is>
      </c>
      <c r="D1142" t="n">
        <v>25800</v>
      </c>
      <c r="E1142" t="n">
        <v>26000</v>
      </c>
      <c r="F1142" t="n">
        <v>25800</v>
      </c>
      <c r="G1142" t="n">
        <v>26000</v>
      </c>
      <c r="H1142" t="n">
        <v>25800</v>
      </c>
      <c r="I1142" t="n">
        <v>26000</v>
      </c>
      <c r="J1142" t="b">
        <v>0</v>
      </c>
      <c r="K1142" t="inlineStr">
        <is>
          <t>Unilever Indonesia Official Shop</t>
        </is>
      </c>
      <c r="L1142" t="inlineStr">
        <is>
          <t>KOTA BEKASI</t>
        </is>
      </c>
      <c r="M1142" t="n">
        <v>13542162573</v>
      </c>
      <c r="N1142" t="n">
        <v>14318452</v>
      </c>
      <c r="O1142">
        <f>HYPERLINK("https://shopee.co.id/api/v4/item/get?itemid=13542162573&amp;shopid=14318452", "LIPTON TEA RITUAL TEH HIJAU CELUP 15S")</f>
        <v/>
      </c>
      <c r="P1142" t="n">
        <v>34</v>
      </c>
      <c r="Q1142" t="n">
        <v>16</v>
      </c>
      <c r="R1142" t="n">
        <v>4.910714285714286</v>
      </c>
      <c r="S1142" t="n">
        <v>0</v>
      </c>
      <c r="T1142" t="n">
        <v>1</v>
      </c>
      <c r="U1142" t="n">
        <v>3</v>
      </c>
      <c r="V1142" t="n">
        <v>21</v>
      </c>
      <c r="W1142" t="n">
        <v>311</v>
      </c>
    </row>
    <row r="1143">
      <c r="A1143" t="inlineStr">
        <is>
          <t>LIPTON REFRESH TEH HIJAU CELUP 15S</t>
        </is>
      </c>
      <c r="B1143" t="inlineStr"/>
      <c r="C1143" t="inlineStr">
        <is>
          <t>1%</t>
        </is>
      </c>
      <c r="D1143" t="n">
        <v>25800</v>
      </c>
      <c r="E1143" t="n">
        <v>26000</v>
      </c>
      <c r="F1143" t="n">
        <v>25800</v>
      </c>
      <c r="G1143" t="n">
        <v>26000</v>
      </c>
      <c r="H1143" t="n">
        <v>25800</v>
      </c>
      <c r="I1143" t="n">
        <v>26000</v>
      </c>
      <c r="J1143" t="b">
        <v>0</v>
      </c>
      <c r="K1143" t="inlineStr">
        <is>
          <t>Unilever Indonesia Official Shop</t>
        </is>
      </c>
      <c r="L1143" t="inlineStr">
        <is>
          <t>KOTA BEKASI</t>
        </is>
      </c>
      <c r="M1143" t="n">
        <v>12442175846</v>
      </c>
      <c r="N1143" t="n">
        <v>14318452</v>
      </c>
      <c r="O1143">
        <f>HYPERLINK("https://shopee.co.id/api/v4/item/get?itemid=12442175846&amp;shopid=14318452", "LIPTON REFRESH TEH HIJAU CELUP 15S")</f>
        <v/>
      </c>
      <c r="P1143" t="n">
        <v>29</v>
      </c>
      <c r="Q1143" t="n">
        <v>76</v>
      </c>
      <c r="R1143" t="n">
        <v>4.933962264150943</v>
      </c>
      <c r="S1143" t="n">
        <v>0</v>
      </c>
      <c r="T1143" t="n">
        <v>0</v>
      </c>
      <c r="U1143" t="n">
        <v>2</v>
      </c>
      <c r="V1143" t="n">
        <v>17</v>
      </c>
      <c r="W1143" t="n">
        <v>299</v>
      </c>
    </row>
    <row r="1144">
      <c r="A1144" t="inlineStr">
        <is>
          <t>Pond's Vitamin Duo SHeet Mask / Masker Wajah Beetroot + Vitamin A 20 g</t>
        </is>
      </c>
      <c r="B1144" t="inlineStr">
        <is>
          <t>Pond's</t>
        </is>
      </c>
      <c r="C1144" t="inlineStr">
        <is>
          <t>11%</t>
        </is>
      </c>
      <c r="D1144" t="n">
        <v>19100</v>
      </c>
      <c r="E1144" t="n">
        <v>21400</v>
      </c>
      <c r="F1144" t="n">
        <v>19100</v>
      </c>
      <c r="G1144" t="n">
        <v>21400</v>
      </c>
      <c r="H1144" t="n">
        <v>19100</v>
      </c>
      <c r="I1144" t="n">
        <v>21400</v>
      </c>
      <c r="J1144" t="b">
        <v>1</v>
      </c>
      <c r="K1144" t="inlineStr">
        <is>
          <t>Unilever Indonesia Official Shop</t>
        </is>
      </c>
      <c r="L1144" t="inlineStr">
        <is>
          <t>KAB. BANYUASIN</t>
        </is>
      </c>
      <c r="M1144" t="n">
        <v>7160814172</v>
      </c>
      <c r="N1144" t="n">
        <v>14318452</v>
      </c>
      <c r="O1144">
        <f>HYPERLINK("https://shopee.co.id/api/v4/item/get?itemid=7160814172&amp;shopid=14318452", "Pond's Vitamin Duo SHeet Mask / Masker Wajah Beetroot + Vitamin A 20 g")</f>
        <v/>
      </c>
      <c r="P1144" t="n">
        <v>17</v>
      </c>
      <c r="Q1144" t="n">
        <v>160</v>
      </c>
      <c r="R1144" t="n">
        <v>4.92</v>
      </c>
      <c r="S1144" t="n">
        <v>2</v>
      </c>
      <c r="T1144" t="n">
        <v>0</v>
      </c>
      <c r="U1144" t="n">
        <v>1</v>
      </c>
      <c r="V1144" t="n">
        <v>18</v>
      </c>
      <c r="W1144" t="n">
        <v>329</v>
      </c>
    </row>
    <row r="1145">
      <c r="A1145" t="inlineStr">
        <is>
          <t>Lifebuoy Sabun Cuci Tangan Antiseptik Pump 200 Ml + Refill 180 Ml (x2)</t>
        </is>
      </c>
      <c r="B1145" t="inlineStr">
        <is>
          <t>Lifebuoy</t>
        </is>
      </c>
      <c r="C1145" t="inlineStr">
        <is>
          <t>17%</t>
        </is>
      </c>
      <c r="D1145" t="n">
        <v>37400</v>
      </c>
      <c r="E1145" t="n">
        <v>44800</v>
      </c>
      <c r="F1145" t="n">
        <v>37400</v>
      </c>
      <c r="G1145" t="n">
        <v>44800</v>
      </c>
      <c r="H1145" t="n">
        <v>37400</v>
      </c>
      <c r="I1145" t="n">
        <v>44800</v>
      </c>
      <c r="J1145" t="b">
        <v>0</v>
      </c>
      <c r="K1145" t="inlineStr">
        <is>
          <t>Unilever Indonesia Official Shop</t>
        </is>
      </c>
      <c r="L1145" t="inlineStr">
        <is>
          <t>KOTA BEKASI</t>
        </is>
      </c>
      <c r="M1145" t="n">
        <v>3879926559</v>
      </c>
      <c r="N1145" t="n">
        <v>14318452</v>
      </c>
      <c r="O1145">
        <f>HYPERLINK("https://shopee.co.id/api/v4/item/get?itemid=3879926559&amp;shopid=14318452", "Lifebuoy Sabun Cuci Tangan Antiseptik Pump 200 Ml + Refill 180 Ml (x2)")</f>
        <v/>
      </c>
      <c r="P1145" t="n">
        <v>7</v>
      </c>
      <c r="Q1145" t="n">
        <v>68</v>
      </c>
      <c r="R1145" t="n">
        <v>4.854166666666667</v>
      </c>
      <c r="S1145" t="n">
        <v>5</v>
      </c>
      <c r="T1145" t="n">
        <v>2</v>
      </c>
      <c r="U1145" t="n">
        <v>2</v>
      </c>
      <c r="V1145" t="n">
        <v>12</v>
      </c>
      <c r="W1145" t="n">
        <v>267</v>
      </c>
    </row>
    <row r="1146">
      <c r="A1146" t="inlineStr">
        <is>
          <t>St Ives Revitalizing Revitalizing Acai</t>
        </is>
      </c>
      <c r="B1146" t="inlineStr">
        <is>
          <t>None</t>
        </is>
      </c>
      <c r="C1146" t="inlineStr">
        <is>
          <t>34%</t>
        </is>
      </c>
      <c r="D1146" t="n">
        <v>22800</v>
      </c>
      <c r="E1146" t="n">
        <v>34300</v>
      </c>
      <c r="F1146" t="n">
        <v>22800</v>
      </c>
      <c r="G1146" t="n">
        <v>34300</v>
      </c>
      <c r="H1146" t="n">
        <v>22800</v>
      </c>
      <c r="I1146" t="n">
        <v>34300</v>
      </c>
      <c r="J1146" t="b">
        <v>1</v>
      </c>
      <c r="K1146" t="inlineStr">
        <is>
          <t>Unilever Indonesia Official Shop</t>
        </is>
      </c>
      <c r="L1146" t="inlineStr">
        <is>
          <t>KOTA BEKASI</t>
        </is>
      </c>
      <c r="M1146" t="n">
        <v>6150171224</v>
      </c>
      <c r="N1146" t="n">
        <v>14318452</v>
      </c>
      <c r="O1146">
        <f>HYPERLINK("https://shopee.co.id/api/v4/item/get?itemid=6150171224&amp;shopid=14318452", "St Ives Revitalizing Revitalizing Acai")</f>
        <v/>
      </c>
      <c r="P1146" t="n">
        <v>7</v>
      </c>
      <c r="Q1146" t="n">
        <v>50</v>
      </c>
      <c r="R1146" t="n">
        <v>4.793456032719837</v>
      </c>
      <c r="S1146" t="n">
        <v>6</v>
      </c>
      <c r="T1146" t="n">
        <v>6</v>
      </c>
      <c r="U1146" t="n">
        <v>12</v>
      </c>
      <c r="V1146" t="n">
        <v>38</v>
      </c>
      <c r="W1146" t="n">
        <v>428</v>
      </c>
    </row>
    <row r="1147">
      <c r="A1147" t="inlineStr">
        <is>
          <t>Lifebuoy Sabun Cair Total 10 Pump 500 ml Multi Pack</t>
        </is>
      </c>
      <c r="B1147" t="inlineStr">
        <is>
          <t>Lifebuoy</t>
        </is>
      </c>
      <c r="C1147" t="inlineStr">
        <is>
          <t>20%</t>
        </is>
      </c>
      <c r="D1147" t="n">
        <v>141900</v>
      </c>
      <c r="E1147" t="n">
        <v>178300</v>
      </c>
      <c r="F1147" t="n">
        <v>141900</v>
      </c>
      <c r="G1147" t="n">
        <v>178300</v>
      </c>
      <c r="H1147" t="n">
        <v>141900</v>
      </c>
      <c r="I1147" t="n">
        <v>178300</v>
      </c>
      <c r="J1147" t="b">
        <v>1</v>
      </c>
      <c r="K1147" t="inlineStr">
        <is>
          <t>Unilever Indonesia Official Shop</t>
        </is>
      </c>
      <c r="L1147" t="inlineStr">
        <is>
          <t>KOTA BEKASI</t>
        </is>
      </c>
      <c r="M1147" t="n">
        <v>7231333283</v>
      </c>
      <c r="N1147" t="n">
        <v>14318452</v>
      </c>
      <c r="O1147">
        <f>HYPERLINK("https://shopee.co.id/api/v4/item/get?itemid=7231333283&amp;shopid=14318452", "Lifebuoy Sabun Cair Total 10 Pump 500 ml Multi Pack")</f>
        <v/>
      </c>
      <c r="P1147" t="n">
        <v>5</v>
      </c>
      <c r="Q1147" t="n">
        <v>81</v>
      </c>
      <c r="R1147" t="n">
        <v>4.837320574162679</v>
      </c>
      <c r="S1147" t="n">
        <v>1</v>
      </c>
      <c r="T1147" t="n">
        <v>1</v>
      </c>
      <c r="U1147" t="n">
        <v>6</v>
      </c>
      <c r="V1147" t="n">
        <v>15</v>
      </c>
      <c r="W1147" t="n">
        <v>186</v>
      </c>
    </row>
    <row r="1148">
      <c r="A1148" t="inlineStr">
        <is>
          <t>St. Ives Renewing Body Lotion Collagen &amp; Elastin 400ml</t>
        </is>
      </c>
      <c r="B1148" t="inlineStr"/>
      <c r="C1148" t="inlineStr">
        <is>
          <t>15%</t>
        </is>
      </c>
      <c r="D1148" t="n">
        <v>70100</v>
      </c>
      <c r="E1148" t="n">
        <v>82000</v>
      </c>
      <c r="F1148" t="n">
        <v>70100</v>
      </c>
      <c r="G1148" t="n">
        <v>82000</v>
      </c>
      <c r="H1148" t="n">
        <v>70100</v>
      </c>
      <c r="I1148" t="n">
        <v>82000</v>
      </c>
      <c r="J1148" t="b">
        <v>1</v>
      </c>
      <c r="K1148" t="inlineStr">
        <is>
          <t>Unilever Indonesia Official Shop</t>
        </is>
      </c>
      <c r="L1148" t="inlineStr">
        <is>
          <t>KOTA BEKASI</t>
        </is>
      </c>
      <c r="M1148" t="n">
        <v>10650692224</v>
      </c>
      <c r="N1148" t="n">
        <v>14318452</v>
      </c>
      <c r="O1148">
        <f>HYPERLINK("https://shopee.co.id/api/v4/item/get?itemid=10650692224&amp;shopid=14318452", "St. Ives Renewing Body Lotion Collagen &amp; Elastin 400ml")</f>
        <v/>
      </c>
      <c r="P1148" t="n">
        <v>29</v>
      </c>
      <c r="Q1148" t="n">
        <v>90</v>
      </c>
      <c r="R1148" t="n">
        <v>4.904761904761905</v>
      </c>
      <c r="S1148" t="n">
        <v>4</v>
      </c>
      <c r="T1148" t="n">
        <v>0</v>
      </c>
      <c r="U1148" t="n">
        <v>2</v>
      </c>
      <c r="V1148" t="n">
        <v>20</v>
      </c>
      <c r="W1148" t="n">
        <v>394</v>
      </c>
    </row>
    <row r="1149">
      <c r="A1149" t="inlineStr">
        <is>
          <t>Citra Fresh Multifunction Gel Tomato Bright UV+Sheet Mask Activated Charcoal+Pomegranate</t>
        </is>
      </c>
      <c r="B1149" t="inlineStr">
        <is>
          <t>Citra</t>
        </is>
      </c>
      <c r="C1149" t="inlineStr">
        <is>
          <t>1%</t>
        </is>
      </c>
      <c r="D1149" t="n">
        <v>47400</v>
      </c>
      <c r="E1149" t="n">
        <v>47800</v>
      </c>
      <c r="F1149" t="n">
        <v>47400</v>
      </c>
      <c r="G1149" t="n">
        <v>47800</v>
      </c>
      <c r="H1149" t="n">
        <v>47400</v>
      </c>
      <c r="I1149" t="n">
        <v>47800</v>
      </c>
      <c r="J1149" t="b">
        <v>1</v>
      </c>
      <c r="K1149" t="inlineStr">
        <is>
          <t>Unilever Indonesia Official Shop</t>
        </is>
      </c>
      <c r="L1149" t="inlineStr">
        <is>
          <t>KOTA BEKASI</t>
        </is>
      </c>
      <c r="M1149" t="n">
        <v>7031884236</v>
      </c>
      <c r="N1149" t="n">
        <v>14318452</v>
      </c>
      <c r="O1149">
        <f>HYPERLINK("https://shopee.co.id/api/v4/item/get?itemid=7031884236&amp;shopid=14318452", "Citra Fresh Multifunction Gel Tomato Bright UV+Sheet Mask Activated Charcoal+Pomegranate")</f>
        <v/>
      </c>
      <c r="P1149" t="n">
        <v>1</v>
      </c>
      <c r="Q1149" t="n">
        <v>219</v>
      </c>
      <c r="R1149" t="n">
        <v>4.875925925925926</v>
      </c>
      <c r="S1149" t="n">
        <v>1</v>
      </c>
      <c r="T1149" t="n">
        <v>2</v>
      </c>
      <c r="U1149" t="n">
        <v>8</v>
      </c>
      <c r="V1149" t="n">
        <v>41</v>
      </c>
      <c r="W1149" t="n">
        <v>488</v>
      </c>
    </row>
    <row r="1150">
      <c r="A1150" t="inlineStr">
        <is>
          <t>AXE MEN DEODORANT BODY SPRAY APOLLO 135ML</t>
        </is>
      </c>
      <c r="B1150" t="inlineStr"/>
      <c r="C1150" t="inlineStr">
        <is>
          <t>3%</t>
        </is>
      </c>
      <c r="D1150" t="n">
        <v>37500</v>
      </c>
      <c r="E1150" t="n">
        <v>38500</v>
      </c>
      <c r="F1150" t="n">
        <v>37500</v>
      </c>
      <c r="G1150" t="n">
        <v>38500</v>
      </c>
      <c r="H1150" t="n">
        <v>37500</v>
      </c>
      <c r="I1150" t="n">
        <v>38500</v>
      </c>
      <c r="J1150" t="b">
        <v>0</v>
      </c>
      <c r="K1150" t="inlineStr">
        <is>
          <t>Unilever Indonesia Official Shop</t>
        </is>
      </c>
      <c r="L1150" t="inlineStr">
        <is>
          <t>KOTA BEKASI</t>
        </is>
      </c>
      <c r="M1150" t="n">
        <v>12515554025</v>
      </c>
      <c r="N1150" t="n">
        <v>14318452</v>
      </c>
      <c r="O1150">
        <f>HYPERLINK("https://shopee.co.id/api/v4/item/get?itemid=12515554025&amp;shopid=14318452", "AXE MEN DEODORANT BODY SPRAY APOLLO 135ML")</f>
        <v/>
      </c>
      <c r="P1150" t="n">
        <v>293</v>
      </c>
      <c r="Q1150" t="n">
        <v>244</v>
      </c>
      <c r="R1150" t="n">
        <v>4.90056134723336</v>
      </c>
      <c r="S1150" t="n">
        <v>6</v>
      </c>
      <c r="T1150" t="n">
        <v>2</v>
      </c>
      <c r="U1150" t="n">
        <v>9</v>
      </c>
      <c r="V1150" t="n">
        <v>76</v>
      </c>
      <c r="W1150" t="n">
        <v>1154</v>
      </c>
    </row>
    <row r="1151">
      <c r="A1151" t="inlineStr">
        <is>
          <t>POND'S VITAMIN DUO SHEET MASK / MASKER WAJAH TOMAT + VIT B6 20G</t>
        </is>
      </c>
      <c r="B1151" t="inlineStr">
        <is>
          <t>Pond's</t>
        </is>
      </c>
      <c r="C1151" t="inlineStr">
        <is>
          <t>15%</t>
        </is>
      </c>
      <c r="D1151" t="n">
        <v>18200</v>
      </c>
      <c r="E1151" t="n">
        <v>21400</v>
      </c>
      <c r="F1151" t="n">
        <v>18200</v>
      </c>
      <c r="G1151" t="n">
        <v>21400</v>
      </c>
      <c r="H1151" t="n">
        <v>18200</v>
      </c>
      <c r="I1151" t="n">
        <v>21400</v>
      </c>
      <c r="J1151" t="b">
        <v>1</v>
      </c>
      <c r="K1151" t="inlineStr">
        <is>
          <t>Unilever Indonesia Official Shop</t>
        </is>
      </c>
      <c r="L1151" t="inlineStr">
        <is>
          <t>KOTA BEKASI</t>
        </is>
      </c>
      <c r="M1151" t="n">
        <v>4760826951</v>
      </c>
      <c r="N1151" t="n">
        <v>14318452</v>
      </c>
      <c r="O1151">
        <f>HYPERLINK("https://shopee.co.id/api/v4/item/get?itemid=4760826951&amp;shopid=14318452", "POND'S VITAMIN DUO SHEET MASK / MASKER WAJAH TOMAT + VIT B6 20G")</f>
        <v/>
      </c>
      <c r="P1151" t="n">
        <v>10</v>
      </c>
      <c r="Q1151" t="n">
        <v>349</v>
      </c>
      <c r="R1151" t="n">
        <v>4.921671018276762</v>
      </c>
      <c r="S1151" t="n">
        <v>1</v>
      </c>
      <c r="T1151" t="n">
        <v>1</v>
      </c>
      <c r="U1151" t="n">
        <v>3</v>
      </c>
      <c r="V1151" t="n">
        <v>17</v>
      </c>
      <c r="W1151" t="n">
        <v>361</v>
      </c>
    </row>
    <row r="1152">
      <c r="A1152" t="inlineStr">
        <is>
          <t>Pond's Pure Bright 2in1 Sheet Mask Brighten Skin 25 gr</t>
        </is>
      </c>
      <c r="B1152" t="inlineStr">
        <is>
          <t>Pond's</t>
        </is>
      </c>
      <c r="C1152" t="inlineStr">
        <is>
          <t>12%</t>
        </is>
      </c>
      <c r="D1152" t="n">
        <v>21900</v>
      </c>
      <c r="E1152" t="n">
        <v>25000</v>
      </c>
      <c r="F1152" t="n">
        <v>21900</v>
      </c>
      <c r="G1152" t="n">
        <v>25000</v>
      </c>
      <c r="H1152" t="n">
        <v>21900</v>
      </c>
      <c r="I1152" t="n">
        <v>25000</v>
      </c>
      <c r="J1152" t="b">
        <v>1</v>
      </c>
      <c r="K1152" t="inlineStr">
        <is>
          <t>Unilever Indonesia Official Shop</t>
        </is>
      </c>
      <c r="L1152" t="inlineStr">
        <is>
          <t>KAB. BANYUASIN</t>
        </is>
      </c>
      <c r="M1152" t="n">
        <v>7557021871</v>
      </c>
      <c r="N1152" t="n">
        <v>14318452</v>
      </c>
      <c r="O1152">
        <f>HYPERLINK("https://shopee.co.id/api/v4/item/get?itemid=7557021871&amp;shopid=14318452", "Pond's Pure Bright 2in1 Sheet Mask Brighten Skin 25 gr")</f>
        <v/>
      </c>
      <c r="P1152" t="n">
        <v>43</v>
      </c>
      <c r="Q1152" t="n">
        <v>69</v>
      </c>
      <c r="R1152" t="n">
        <v>4.839473684210526</v>
      </c>
      <c r="S1152" t="n">
        <v>6</v>
      </c>
      <c r="T1152" t="n">
        <v>0</v>
      </c>
      <c r="U1152" t="n">
        <v>3</v>
      </c>
      <c r="V1152" t="n">
        <v>31</v>
      </c>
      <c r="W1152" t="n">
        <v>340</v>
      </c>
    </row>
    <row r="1153">
      <c r="A1153" t="inlineStr">
        <is>
          <t>Dove Silk Dry Antiperspirant Deodorant Roll On 40 ml - Multi Pack</t>
        </is>
      </c>
      <c r="B1153" t="inlineStr">
        <is>
          <t>0</t>
        </is>
      </c>
      <c r="C1153" t="inlineStr">
        <is>
          <t>19%</t>
        </is>
      </c>
      <c r="D1153" t="n">
        <v>57100</v>
      </c>
      <c r="E1153" t="n">
        <v>70800</v>
      </c>
      <c r="F1153" t="n">
        <v>57100</v>
      </c>
      <c r="G1153" t="n">
        <v>70800</v>
      </c>
      <c r="H1153" t="n">
        <v>57100</v>
      </c>
      <c r="I1153" t="n">
        <v>70800</v>
      </c>
      <c r="J1153" t="b">
        <v>1</v>
      </c>
      <c r="K1153" t="inlineStr">
        <is>
          <t>Unilever Indonesia Official Shop</t>
        </is>
      </c>
      <c r="L1153" t="inlineStr">
        <is>
          <t>KOTA BEKASI</t>
        </is>
      </c>
      <c r="M1153" t="n">
        <v>5431055223</v>
      </c>
      <c r="N1153" t="n">
        <v>14318452</v>
      </c>
      <c r="O1153">
        <f>HYPERLINK("https://shopee.co.id/api/v4/item/get?itemid=5431055223&amp;shopid=14318452", "Dove Silk Dry Antiperspirant Deodorant Roll On 40 ml - Multi Pack")</f>
        <v/>
      </c>
      <c r="P1153" t="n">
        <v>18</v>
      </c>
      <c r="Q1153" t="n">
        <v>108</v>
      </c>
      <c r="R1153" t="n">
        <v>4.945686900958466</v>
      </c>
      <c r="S1153" t="n">
        <v>0</v>
      </c>
      <c r="T1153" t="n">
        <v>0</v>
      </c>
      <c r="U1153" t="n">
        <v>1</v>
      </c>
      <c r="V1153" t="n">
        <v>15</v>
      </c>
      <c r="W1153" t="n">
        <v>297</v>
      </c>
    </row>
    <row r="1154">
      <c r="A1154" t="inlineStr">
        <is>
          <t>Simple Waterboost Micellar Facial Gel Wash 150 ml</t>
        </is>
      </c>
      <c r="B1154" t="inlineStr"/>
      <c r="C1154" t="inlineStr">
        <is>
          <t>1%</t>
        </is>
      </c>
      <c r="D1154" t="n">
        <v>67300</v>
      </c>
      <c r="E1154" t="n">
        <v>67900</v>
      </c>
      <c r="F1154" t="n">
        <v>67300</v>
      </c>
      <c r="G1154" t="n">
        <v>67900</v>
      </c>
      <c r="H1154" t="n">
        <v>67300</v>
      </c>
      <c r="I1154" t="n">
        <v>67900</v>
      </c>
      <c r="J1154" t="b">
        <v>1</v>
      </c>
      <c r="K1154" t="inlineStr">
        <is>
          <t>Unilever Indonesia Official Shop</t>
        </is>
      </c>
      <c r="L1154" t="inlineStr">
        <is>
          <t>KOTA BEKASI</t>
        </is>
      </c>
      <c r="M1154" t="n">
        <v>6134599451</v>
      </c>
      <c r="N1154" t="n">
        <v>14318452</v>
      </c>
      <c r="O1154">
        <f>HYPERLINK("https://shopee.co.id/api/v4/item/get?itemid=6134599451&amp;shopid=14318452", "Simple Waterboost Micellar Facial Gel Wash 150 ml")</f>
        <v/>
      </c>
      <c r="P1154" t="n">
        <v>707</v>
      </c>
      <c r="Q1154" t="n">
        <v>73</v>
      </c>
      <c r="R1154" t="n">
        <v>4.88498845265589</v>
      </c>
      <c r="S1154" t="n">
        <v>18</v>
      </c>
      <c r="T1154" t="n">
        <v>8</v>
      </c>
      <c r="U1154" t="n">
        <v>18</v>
      </c>
      <c r="V1154" t="n">
        <v>117</v>
      </c>
      <c r="W1154" t="n">
        <v>2004</v>
      </c>
    </row>
    <row r="1155">
      <c r="A1155" t="inlineStr">
        <is>
          <t>Buavita Orange 1000ml Twin Pack</t>
        </is>
      </c>
      <c r="B1155" t="inlineStr">
        <is>
          <t>0</t>
        </is>
      </c>
      <c r="C1155" t="inlineStr">
        <is>
          <t>32%</t>
        </is>
      </c>
      <c r="D1155" t="n">
        <v>37200</v>
      </c>
      <c r="E1155" t="n">
        <v>54400</v>
      </c>
      <c r="F1155" t="n">
        <v>37200</v>
      </c>
      <c r="G1155" t="n">
        <v>54400</v>
      </c>
      <c r="H1155" t="n">
        <v>37200</v>
      </c>
      <c r="I1155" t="n">
        <v>54400</v>
      </c>
      <c r="J1155" t="b">
        <v>1</v>
      </c>
      <c r="K1155" t="inlineStr">
        <is>
          <t>Unilever Indonesia Official Shop</t>
        </is>
      </c>
      <c r="L1155" t="inlineStr">
        <is>
          <t>KOTA SURABAYA</t>
        </is>
      </c>
      <c r="M1155" t="n">
        <v>4431825078</v>
      </c>
      <c r="N1155" t="n">
        <v>14318452</v>
      </c>
      <c r="O1155">
        <f>HYPERLINK("https://shopee.co.id/api/v4/item/get?itemid=4431825078&amp;shopid=14318452", "Buavita Orange 1000ml Twin Pack")</f>
        <v/>
      </c>
      <c r="P1155" t="n">
        <v>17</v>
      </c>
      <c r="Q1155" t="n">
        <v>20</v>
      </c>
      <c r="R1155" t="n">
        <v>4.784313725490196</v>
      </c>
      <c r="S1155" t="n">
        <v>4</v>
      </c>
      <c r="T1155" t="n">
        <v>4</v>
      </c>
      <c r="U1155" t="n">
        <v>7</v>
      </c>
      <c r="V1155" t="n">
        <v>16</v>
      </c>
      <c r="W1155" t="n">
        <v>225</v>
      </c>
    </row>
    <row r="1156">
      <c r="A1156" t="inlineStr">
        <is>
          <t>Sunsilk Shampoo Black Shine 900ml - Shampo Rambut, Perawatan Rambut Hitam, Rambut Berkilau</t>
        </is>
      </c>
      <c r="B1156" t="inlineStr"/>
      <c r="C1156" t="inlineStr">
        <is>
          <t>15%</t>
        </is>
      </c>
      <c r="D1156" t="n">
        <v>78200</v>
      </c>
      <c r="E1156" t="n">
        <v>92000</v>
      </c>
      <c r="F1156" t="n">
        <v>78200</v>
      </c>
      <c r="G1156" t="n">
        <v>92000</v>
      </c>
      <c r="H1156" t="n">
        <v>78200</v>
      </c>
      <c r="I1156" t="n">
        <v>92000</v>
      </c>
      <c r="J1156" t="b">
        <v>1</v>
      </c>
      <c r="K1156" t="inlineStr">
        <is>
          <t>Unilever Indonesia Official Shop</t>
        </is>
      </c>
      <c r="L1156" t="inlineStr">
        <is>
          <t>KOTA DENPASAR</t>
        </is>
      </c>
      <c r="M1156" t="n">
        <v>11647329646</v>
      </c>
      <c r="N1156" t="n">
        <v>14318452</v>
      </c>
      <c r="O1156">
        <f>HYPERLINK("https://shopee.co.id/api/v4/item/get?itemid=11647329646&amp;shopid=14318452", "Sunsilk Shampoo Black Shine 900ml - Shampo Rambut, Perawatan Rambut Hitam, Rambut Berkilau")</f>
        <v/>
      </c>
      <c r="P1156" t="n">
        <v>210</v>
      </c>
      <c r="Q1156" t="n">
        <v>175</v>
      </c>
      <c r="R1156" t="n">
        <v>4.937551695616212</v>
      </c>
      <c r="S1156" t="n">
        <v>6</v>
      </c>
      <c r="T1156" t="n">
        <v>3</v>
      </c>
      <c r="U1156" t="n">
        <v>13</v>
      </c>
      <c r="V1156" t="n">
        <v>95</v>
      </c>
      <c r="W1156" t="n">
        <v>2302</v>
      </c>
    </row>
    <row r="1157">
      <c r="A1157" t="inlineStr">
        <is>
          <t>Lifebuoy Antibacterial Body Wash Matcha Green Tea 300 ml</t>
        </is>
      </c>
      <c r="B1157" t="inlineStr">
        <is>
          <t>0</t>
        </is>
      </c>
      <c r="C1157" t="inlineStr">
        <is>
          <t>9%</t>
        </is>
      </c>
      <c r="D1157" t="n">
        <v>41500</v>
      </c>
      <c r="E1157" t="n">
        <v>45700</v>
      </c>
      <c r="F1157" t="n">
        <v>41500</v>
      </c>
      <c r="G1157" t="n">
        <v>45700</v>
      </c>
      <c r="H1157" t="n">
        <v>41500</v>
      </c>
      <c r="I1157" t="n">
        <v>45700</v>
      </c>
      <c r="J1157" t="b">
        <v>1</v>
      </c>
      <c r="K1157" t="inlineStr">
        <is>
          <t>Unilever Indonesia Official Shop</t>
        </is>
      </c>
      <c r="L1157" t="inlineStr">
        <is>
          <t>KOTA BEKASI</t>
        </is>
      </c>
      <c r="M1157" t="n">
        <v>1862435219</v>
      </c>
      <c r="N1157" t="n">
        <v>14318452</v>
      </c>
      <c r="O1157">
        <f>HYPERLINK("https://shopee.co.id/api/v4/item/get?itemid=1862435219&amp;shopid=14318452", "Lifebuoy Antibacterial Body Wash Matcha Green Tea 300 ml")</f>
        <v/>
      </c>
      <c r="P1157" t="n">
        <v>8</v>
      </c>
      <c r="Q1157" t="n">
        <v>44</v>
      </c>
      <c r="R1157" t="n">
        <v>4.895787139689578</v>
      </c>
      <c r="S1157" t="n">
        <v>3</v>
      </c>
      <c r="T1157" t="n">
        <v>1</v>
      </c>
      <c r="U1157" t="n">
        <v>4</v>
      </c>
      <c r="V1157" t="n">
        <v>24</v>
      </c>
      <c r="W1157" t="n">
        <v>419</v>
      </c>
    </row>
    <row r="1158">
      <c r="A1158" t="inlineStr">
        <is>
          <t>Royco Cream of Chicken Multi Pack 8pcs</t>
        </is>
      </c>
      <c r="B1158" t="inlineStr"/>
      <c r="C1158" t="inlineStr">
        <is>
          <t>23%</t>
        </is>
      </c>
      <c r="D1158" t="n">
        <v>69100</v>
      </c>
      <c r="E1158" t="n">
        <v>90000</v>
      </c>
      <c r="F1158" t="n">
        <v>69100</v>
      </c>
      <c r="G1158" t="n">
        <v>90000</v>
      </c>
      <c r="H1158" t="n">
        <v>69100</v>
      </c>
      <c r="I1158" t="n">
        <v>90000</v>
      </c>
      <c r="J1158" t="b">
        <v>1</v>
      </c>
      <c r="K1158" t="inlineStr">
        <is>
          <t>Unilever Indonesia Official Shop</t>
        </is>
      </c>
      <c r="L1158" t="inlineStr">
        <is>
          <t>KOTA BEKASI</t>
        </is>
      </c>
      <c r="M1158" t="n">
        <v>3632277089</v>
      </c>
      <c r="N1158" t="n">
        <v>14318452</v>
      </c>
      <c r="O1158">
        <f>HYPERLINK("https://shopee.co.id/api/v4/item/get?itemid=3632277089&amp;shopid=14318452", "Royco Cream of Chicken Multi Pack 8pcs")</f>
        <v/>
      </c>
      <c r="P1158" t="n">
        <v>7</v>
      </c>
      <c r="Q1158" t="n">
        <v>67</v>
      </c>
      <c r="R1158" t="n">
        <v>4.956521739130435</v>
      </c>
      <c r="S1158" t="n">
        <v>0</v>
      </c>
      <c r="T1158" t="n">
        <v>0</v>
      </c>
      <c r="U1158" t="n">
        <v>1</v>
      </c>
      <c r="V1158" t="n">
        <v>5</v>
      </c>
      <c r="W1158" t="n">
        <v>155</v>
      </c>
    </row>
    <row r="1159">
      <c r="A1159" t="inlineStr">
        <is>
          <t>Lifebuoy Sabun Mandi Cair Mild Care Pump 500 ml Multi Pack</t>
        </is>
      </c>
      <c r="B1159" t="inlineStr">
        <is>
          <t>Lifebuoy</t>
        </is>
      </c>
      <c r="C1159" t="inlineStr">
        <is>
          <t>18%</t>
        </is>
      </c>
      <c r="D1159" t="n">
        <v>148900</v>
      </c>
      <c r="E1159" t="n">
        <v>181600</v>
      </c>
      <c r="F1159" t="n">
        <v>148900</v>
      </c>
      <c r="G1159" t="n">
        <v>181600</v>
      </c>
      <c r="H1159" t="n">
        <v>148900</v>
      </c>
      <c r="I1159" t="n">
        <v>181600</v>
      </c>
      <c r="J1159" t="b">
        <v>1</v>
      </c>
      <c r="K1159" t="inlineStr">
        <is>
          <t>Unilever Indonesia Official Shop</t>
        </is>
      </c>
      <c r="L1159" t="inlineStr">
        <is>
          <t>KOTA BEKASI</t>
        </is>
      </c>
      <c r="M1159" t="n">
        <v>5131335448</v>
      </c>
      <c r="N1159" t="n">
        <v>14318452</v>
      </c>
      <c r="O1159">
        <f>HYPERLINK("https://shopee.co.id/api/v4/item/get?itemid=5131335448&amp;shopid=14318452", "Lifebuoy Sabun Mandi Cair Mild Care Pump 500 ml Multi Pack")</f>
        <v/>
      </c>
      <c r="P1159" t="n">
        <v>1</v>
      </c>
      <c r="Q1159" t="n">
        <v>92</v>
      </c>
      <c r="R1159" t="n">
        <v>4.797413793103448</v>
      </c>
      <c r="S1159" t="n">
        <v>6</v>
      </c>
      <c r="T1159" t="n">
        <v>1</v>
      </c>
      <c r="U1159" t="n">
        <v>1</v>
      </c>
      <c r="V1159" t="n">
        <v>18</v>
      </c>
      <c r="W1159" t="n">
        <v>206</v>
      </c>
    </row>
    <row r="1160">
      <c r="A1160" t="inlineStr">
        <is>
          <t>Rinso Molto Detergen Cair Kemasan Daur Ulang Perfume Essence Double Clean Fresh 200ML 4X</t>
        </is>
      </c>
      <c r="B1160" t="inlineStr">
        <is>
          <t>None</t>
        </is>
      </c>
      <c r="C1160" t="inlineStr">
        <is>
          <t>9%</t>
        </is>
      </c>
      <c r="D1160" t="n">
        <v>18300</v>
      </c>
      <c r="E1160" t="n">
        <v>20000</v>
      </c>
      <c r="F1160" t="n">
        <v>18300</v>
      </c>
      <c r="G1160" t="n">
        <v>20000</v>
      </c>
      <c r="H1160" t="n">
        <v>18300</v>
      </c>
      <c r="I1160" t="n">
        <v>20000</v>
      </c>
      <c r="J1160" t="b">
        <v>0</v>
      </c>
      <c r="K1160" t="inlineStr">
        <is>
          <t>Unilever Indonesia Official Shop</t>
        </is>
      </c>
      <c r="L1160" t="inlineStr">
        <is>
          <t>KOTA BEKASI</t>
        </is>
      </c>
      <c r="M1160" t="n">
        <v>6095763983</v>
      </c>
      <c r="N1160" t="n">
        <v>14318452</v>
      </c>
      <c r="O1160">
        <f>HYPERLINK("https://shopee.co.id/api/v4/item/get?itemid=6095763983&amp;shopid=14318452", "Rinso Molto Detergen Cair Kemasan Daur Ulang Perfume Essence Double Clean Fresh 200ML 4X")</f>
        <v/>
      </c>
      <c r="P1160" t="n">
        <v>461</v>
      </c>
      <c r="Q1160" t="n">
        <v>1720</v>
      </c>
      <c r="R1160" t="n">
        <v>4.918970448045758</v>
      </c>
      <c r="S1160" t="n">
        <v>1</v>
      </c>
      <c r="T1160" t="n">
        <v>4</v>
      </c>
      <c r="U1160" t="n">
        <v>10</v>
      </c>
      <c r="V1160" t="n">
        <v>49</v>
      </c>
      <c r="W1160" t="n">
        <v>986</v>
      </c>
    </row>
    <row r="1161">
      <c r="A1161" t="inlineStr">
        <is>
          <t>Lifebuoy Sabun Mandi Mild Care 850 Ml &amp; Wipol Pembersih Lantai 780 Ml</t>
        </is>
      </c>
      <c r="B1161" t="inlineStr">
        <is>
          <t>Lifebuoy</t>
        </is>
      </c>
      <c r="C1161" t="inlineStr">
        <is>
          <t>34%</t>
        </is>
      </c>
      <c r="D1161" t="n">
        <v>52700</v>
      </c>
      <c r="E1161" t="n">
        <v>80400</v>
      </c>
      <c r="F1161" t="n">
        <v>52700</v>
      </c>
      <c r="G1161" t="n">
        <v>80400</v>
      </c>
      <c r="H1161" t="n">
        <v>52700</v>
      </c>
      <c r="I1161" t="n">
        <v>80400</v>
      </c>
      <c r="J1161" t="b">
        <v>1</v>
      </c>
      <c r="K1161" t="inlineStr">
        <is>
          <t>Unilever Indonesia Official Shop</t>
        </is>
      </c>
      <c r="L1161" t="inlineStr">
        <is>
          <t>KOTA SEMARANG</t>
        </is>
      </c>
      <c r="M1161" t="n">
        <v>8017226211</v>
      </c>
      <c r="N1161" t="n">
        <v>14318452</v>
      </c>
      <c r="O1161">
        <f>HYPERLINK("https://shopee.co.id/api/v4/item/get?itemid=8017226211&amp;shopid=14318452", "Lifebuoy Sabun Mandi Mild Care 850 Ml &amp; Wipol Pembersih Lantai 780 Ml")</f>
        <v/>
      </c>
      <c r="P1161" t="n">
        <v>24</v>
      </c>
      <c r="Q1161" t="n">
        <v>50</v>
      </c>
      <c r="R1161" t="n">
        <v>4.940414507772021</v>
      </c>
      <c r="S1161" t="n">
        <v>1</v>
      </c>
      <c r="T1161" t="n">
        <v>1</v>
      </c>
      <c r="U1161" t="n">
        <v>0</v>
      </c>
      <c r="V1161" t="n">
        <v>16</v>
      </c>
      <c r="W1161" t="n">
        <v>368</v>
      </c>
    </row>
    <row r="1162">
      <c r="A1162" t="inlineStr">
        <is>
          <t>Vaseline Lip Care Tinted Lip Balm Rosy Tinted Pencerah Bibir 10 Grx2</t>
        </is>
      </c>
      <c r="B1162" t="inlineStr"/>
      <c r="C1162" t="inlineStr">
        <is>
          <t>13%</t>
        </is>
      </c>
      <c r="D1162" t="n">
        <v>52000</v>
      </c>
      <c r="E1162" t="n">
        <v>59900</v>
      </c>
      <c r="F1162" t="n">
        <v>52000</v>
      </c>
      <c r="G1162" t="n">
        <v>59900</v>
      </c>
      <c r="H1162" t="n">
        <v>52000</v>
      </c>
      <c r="I1162" t="n">
        <v>59900</v>
      </c>
      <c r="J1162" t="b">
        <v>0</v>
      </c>
      <c r="K1162" t="inlineStr">
        <is>
          <t>Unilever Indonesia Official Shop</t>
        </is>
      </c>
      <c r="L1162" t="inlineStr">
        <is>
          <t>KOTA BEKASI</t>
        </is>
      </c>
      <c r="M1162" t="n">
        <v>12853568673</v>
      </c>
      <c r="N1162" t="n">
        <v>14318452</v>
      </c>
      <c r="O1162">
        <f>HYPERLINK("https://shopee.co.id/api/v4/item/get?itemid=12853568673&amp;shopid=14318452", "Vaseline Lip Care Tinted Lip Balm Rosy Tinted Pencerah Bibir 10 Grx2")</f>
        <v/>
      </c>
      <c r="P1162" t="n">
        <v>303</v>
      </c>
      <c r="Q1162" t="n">
        <v>2956</v>
      </c>
      <c r="R1162" t="n">
        <v>4.915981735159817</v>
      </c>
      <c r="S1162" t="n">
        <v>3</v>
      </c>
      <c r="T1162" t="n">
        <v>1</v>
      </c>
      <c r="U1162" t="n">
        <v>5</v>
      </c>
      <c r="V1162" t="n">
        <v>67</v>
      </c>
      <c r="W1162" t="n">
        <v>1019</v>
      </c>
    </row>
    <row r="1163">
      <c r="A1163" t="inlineStr">
        <is>
          <t>Lux Velvet Jasmine Sabun Cair Refill 450ml (Paket Isi 4)</t>
        </is>
      </c>
      <c r="B1163" t="inlineStr">
        <is>
          <t>0</t>
        </is>
      </c>
      <c r="C1163" t="inlineStr">
        <is>
          <t>27%</t>
        </is>
      </c>
      <c r="D1163" t="n">
        <v>89900</v>
      </c>
      <c r="E1163" t="n">
        <v>123500</v>
      </c>
      <c r="F1163" t="n">
        <v>89900</v>
      </c>
      <c r="G1163" t="n">
        <v>123500</v>
      </c>
      <c r="H1163" t="n">
        <v>89900</v>
      </c>
      <c r="I1163" t="n">
        <v>123500</v>
      </c>
      <c r="J1163" t="b">
        <v>1</v>
      </c>
      <c r="K1163" t="inlineStr">
        <is>
          <t>Unilever Indonesia Official Shop</t>
        </is>
      </c>
      <c r="L1163" t="inlineStr">
        <is>
          <t>KOTA PEKANBARU</t>
        </is>
      </c>
      <c r="M1163" t="n">
        <v>6831367422</v>
      </c>
      <c r="N1163" t="n">
        <v>14318452</v>
      </c>
      <c r="O1163">
        <f>HYPERLINK("https://shopee.co.id/api/v4/item/get?itemid=6831367422&amp;shopid=14318452", "Lux Velvet Jasmine Sabun Cair Refill 450ml (Paket Isi 4)")</f>
        <v/>
      </c>
      <c r="P1163" t="n">
        <v>31</v>
      </c>
      <c r="Q1163" t="n">
        <v>10</v>
      </c>
      <c r="R1163" t="n">
        <v>4.891385767790262</v>
      </c>
      <c r="S1163" t="n">
        <v>3</v>
      </c>
      <c r="T1163" t="n">
        <v>0</v>
      </c>
      <c r="U1163" t="n">
        <v>5</v>
      </c>
      <c r="V1163" t="n">
        <v>7</v>
      </c>
      <c r="W1163" t="n">
        <v>252</v>
      </c>
    </row>
    <row r="1164">
      <c r="A1164" t="inlineStr">
        <is>
          <t>LUX Botanicals Antibacterial Hand Wash Freesia &amp; Tea Refill 220ML Multi Pack</t>
        </is>
      </c>
      <c r="B1164" t="inlineStr">
        <is>
          <t>None</t>
        </is>
      </c>
      <c r="C1164" t="inlineStr">
        <is>
          <t>1%</t>
        </is>
      </c>
      <c r="D1164" t="n">
        <v>43100</v>
      </c>
      <c r="E1164" t="n">
        <v>43500</v>
      </c>
      <c r="F1164" t="n">
        <v>43100</v>
      </c>
      <c r="G1164" t="n">
        <v>43500</v>
      </c>
      <c r="H1164" t="n">
        <v>43100</v>
      </c>
      <c r="I1164" t="n">
        <v>43500</v>
      </c>
      <c r="J1164" t="b">
        <v>1</v>
      </c>
      <c r="K1164" t="inlineStr">
        <is>
          <t>Unilever Indonesia Official Shop</t>
        </is>
      </c>
      <c r="L1164" t="inlineStr">
        <is>
          <t>KOTA SURABAYA</t>
        </is>
      </c>
      <c r="M1164" t="n">
        <v>8985586707</v>
      </c>
      <c r="N1164" t="n">
        <v>14318452</v>
      </c>
      <c r="O1164">
        <f>HYPERLINK("https://shopee.co.id/api/v4/item/get?itemid=8985586707&amp;shopid=14318452", "LUX Botanicals Antibacterial Hand Wash Freesia &amp; Tea Refill 220ML Multi Pack")</f>
        <v/>
      </c>
      <c r="P1164" t="n">
        <v>35</v>
      </c>
      <c r="Q1164" t="n">
        <v>16</v>
      </c>
      <c r="R1164" t="n">
        <v>4.912280701754386</v>
      </c>
      <c r="S1164" t="n">
        <v>1</v>
      </c>
      <c r="T1164" t="n">
        <v>0</v>
      </c>
      <c r="U1164" t="n">
        <v>2</v>
      </c>
      <c r="V1164" t="n">
        <v>12</v>
      </c>
      <c r="W1164" t="n">
        <v>213</v>
      </c>
    </row>
    <row r="1165">
      <c r="A1165" t="inlineStr">
        <is>
          <t>Molto Pewangi Pakaian Floral Bliss 1800 Ml - Pelembut Dan Pewangi Pakaian, Pelembut Baju</t>
        </is>
      </c>
      <c r="B1165" t="inlineStr"/>
      <c r="C1165" t="inlineStr">
        <is>
          <t>11%</t>
        </is>
      </c>
      <c r="D1165" t="n">
        <v>29100</v>
      </c>
      <c r="E1165" t="n">
        <v>32600</v>
      </c>
      <c r="F1165" t="n">
        <v>29100</v>
      </c>
      <c r="G1165" t="n">
        <v>32600</v>
      </c>
      <c r="H1165" t="n">
        <v>29100</v>
      </c>
      <c r="I1165" t="n">
        <v>32600</v>
      </c>
      <c r="J1165" t="b">
        <v>0</v>
      </c>
      <c r="K1165" t="inlineStr">
        <is>
          <t>Unilever Indonesia Official Shop</t>
        </is>
      </c>
      <c r="L1165" t="inlineStr">
        <is>
          <t>KOTA BEKASI</t>
        </is>
      </c>
      <c r="M1165" t="n">
        <v>11957010816</v>
      </c>
      <c r="N1165" t="n">
        <v>14318452</v>
      </c>
      <c r="O1165">
        <f>HYPERLINK("https://shopee.co.id/api/v4/item/get?itemid=11957010816&amp;shopid=14318452", "Molto Pewangi Pakaian Floral Bliss 1800 Ml - Pelembut Dan Pewangi Pakaian, Pelembut Baju")</f>
        <v/>
      </c>
      <c r="P1165" t="n">
        <v>120</v>
      </c>
      <c r="Q1165" t="n">
        <v>307</v>
      </c>
      <c r="R1165" t="n">
        <v>4.944091486658196</v>
      </c>
      <c r="S1165" t="n">
        <v>5</v>
      </c>
      <c r="T1165" t="n">
        <v>4</v>
      </c>
      <c r="U1165" t="n">
        <v>10</v>
      </c>
      <c r="V1165" t="n">
        <v>84</v>
      </c>
      <c r="W1165" t="n">
        <v>2259</v>
      </c>
    </row>
    <row r="1166">
      <c r="A1166" t="inlineStr">
        <is>
          <t>3x Zwitsal Detergent 755ml free Zwitsal Eau de Toilette</t>
        </is>
      </c>
      <c r="B1166" t="inlineStr"/>
      <c r="C1166" t="inlineStr">
        <is>
          <t>56%</t>
        </is>
      </c>
      <c r="D1166" t="n">
        <v>71300</v>
      </c>
      <c r="E1166" t="n">
        <v>163800</v>
      </c>
      <c r="F1166" t="n">
        <v>71300</v>
      </c>
      <c r="G1166" t="n">
        <v>163800</v>
      </c>
      <c r="H1166" t="n">
        <v>71300</v>
      </c>
      <c r="I1166" t="n">
        <v>163800</v>
      </c>
      <c r="J1166" t="b">
        <v>1</v>
      </c>
      <c r="K1166" t="inlineStr">
        <is>
          <t>Unilever Indonesia Official Shop</t>
        </is>
      </c>
      <c r="L1166" t="inlineStr">
        <is>
          <t>KOTA PEKANBARU</t>
        </is>
      </c>
      <c r="M1166" t="n">
        <v>13605831904</v>
      </c>
      <c r="N1166" t="n">
        <v>14318452</v>
      </c>
      <c r="O1166">
        <f>HYPERLINK("https://shopee.co.id/api/v4/item/get?itemid=13605831904&amp;shopid=14318452", "3x Zwitsal Detergent 755ml free Zwitsal Eau de Toilette")</f>
        <v/>
      </c>
      <c r="P1166" t="n">
        <v>103</v>
      </c>
      <c r="Q1166" t="n">
        <v>9</v>
      </c>
      <c r="R1166" t="n">
        <v>4.87434554973822</v>
      </c>
      <c r="S1166" t="n">
        <v>2</v>
      </c>
      <c r="T1166" t="n">
        <v>2</v>
      </c>
      <c r="U1166" t="n">
        <v>6</v>
      </c>
      <c r="V1166" t="n">
        <v>22</v>
      </c>
      <c r="W1166" t="n">
        <v>350</v>
      </c>
    </row>
    <row r="1167">
      <c r="A1167" t="inlineStr">
        <is>
          <t>PEPSODENT SIKAT GIGI EXPERT CLEAN 3PC</t>
        </is>
      </c>
      <c r="B1167" t="inlineStr"/>
      <c r="C1167" t="inlineStr">
        <is>
          <t>21%</t>
        </is>
      </c>
      <c r="D1167" t="n">
        <v>18400</v>
      </c>
      <c r="E1167" t="n">
        <v>23400</v>
      </c>
      <c r="F1167" t="n">
        <v>18400</v>
      </c>
      <c r="G1167" t="n">
        <v>23400</v>
      </c>
      <c r="H1167" t="n">
        <v>18400</v>
      </c>
      <c r="I1167" t="n">
        <v>23400</v>
      </c>
      <c r="J1167" t="b">
        <v>0</v>
      </c>
      <c r="K1167" t="inlineStr">
        <is>
          <t>Unilever Indonesia Official Shop</t>
        </is>
      </c>
      <c r="L1167" t="inlineStr">
        <is>
          <t>KOTA BEKASI</t>
        </is>
      </c>
      <c r="M1167" t="n">
        <v>13651619329</v>
      </c>
      <c r="N1167" t="n">
        <v>14318452</v>
      </c>
      <c r="O1167">
        <f>HYPERLINK("https://shopee.co.id/api/v4/item/get?itemid=13651619329&amp;shopid=14318452", "PEPSODENT SIKAT GIGI EXPERT CLEAN 3PC")</f>
        <v/>
      </c>
      <c r="P1167" t="n">
        <v>2104</v>
      </c>
      <c r="Q1167" t="n">
        <v>1454</v>
      </c>
      <c r="R1167" t="n">
        <v>4.893269713711702</v>
      </c>
      <c r="S1167" t="n">
        <v>18</v>
      </c>
      <c r="T1167" t="n">
        <v>7</v>
      </c>
      <c r="U1167" t="n">
        <v>30</v>
      </c>
      <c r="V1167" t="n">
        <v>272</v>
      </c>
      <c r="W1167" t="n">
        <v>3655</v>
      </c>
    </row>
    <row r="1168">
      <c r="A1168" t="inlineStr">
        <is>
          <t>Lux Botanicals Body Wash Refill Velvet Jasmine Kulit Halus 825ml</t>
        </is>
      </c>
      <c r="B1168" t="inlineStr">
        <is>
          <t>LUX</t>
        </is>
      </c>
      <c r="C1168" t="inlineStr">
        <is>
          <t>32%</t>
        </is>
      </c>
      <c r="D1168" t="n">
        <v>39300</v>
      </c>
      <c r="E1168" t="n">
        <v>57600</v>
      </c>
      <c r="F1168" t="n">
        <v>39300</v>
      </c>
      <c r="G1168" t="n">
        <v>57600</v>
      </c>
      <c r="H1168" t="n">
        <v>39300</v>
      </c>
      <c r="I1168" t="n">
        <v>57600</v>
      </c>
      <c r="J1168" t="b">
        <v>0</v>
      </c>
      <c r="K1168" t="inlineStr">
        <is>
          <t>Unilever Indonesia Official Shop</t>
        </is>
      </c>
      <c r="L1168" t="inlineStr">
        <is>
          <t>KOTA BEKASI</t>
        </is>
      </c>
      <c r="M1168" t="n">
        <v>4083912285</v>
      </c>
      <c r="N1168" t="n">
        <v>14318452</v>
      </c>
      <c r="O1168">
        <f>HYPERLINK("https://shopee.co.id/api/v4/item/get?itemid=4083912285&amp;shopid=14318452", "Lux Botanicals Body Wash Refill Velvet Jasmine Kulit Halus 825ml")</f>
        <v/>
      </c>
      <c r="P1168" t="n">
        <v>52</v>
      </c>
      <c r="Q1168" t="n">
        <v>309</v>
      </c>
      <c r="R1168" t="n">
        <v>4.936868686868687</v>
      </c>
      <c r="S1168" t="n">
        <v>3</v>
      </c>
      <c r="T1168" t="n">
        <v>1</v>
      </c>
      <c r="U1168" t="n">
        <v>3</v>
      </c>
      <c r="V1168" t="n">
        <v>29</v>
      </c>
      <c r="W1168" t="n">
        <v>756</v>
      </c>
    </row>
    <row r="1169">
      <c r="A1169" t="inlineStr">
        <is>
          <t>St. Ives Hydrating Body Lotion Vitamin E &amp; Avocado 400ml</t>
        </is>
      </c>
      <c r="B1169" t="inlineStr"/>
      <c r="C1169" t="inlineStr">
        <is>
          <t>40%</t>
        </is>
      </c>
      <c r="D1169" t="n">
        <v>49400</v>
      </c>
      <c r="E1169" t="n">
        <v>82000</v>
      </c>
      <c r="F1169" t="n">
        <v>49400</v>
      </c>
      <c r="G1169" t="n">
        <v>82000</v>
      </c>
      <c r="H1169" t="n">
        <v>49400</v>
      </c>
      <c r="I1169" t="n">
        <v>82000</v>
      </c>
      <c r="J1169" t="b">
        <v>0</v>
      </c>
      <c r="K1169" t="inlineStr">
        <is>
          <t>Unilever Indonesia Official Shop</t>
        </is>
      </c>
      <c r="L1169" t="inlineStr">
        <is>
          <t>KOTA BEKASI</t>
        </is>
      </c>
      <c r="M1169" t="n">
        <v>3093025647</v>
      </c>
      <c r="N1169" t="n">
        <v>14318452</v>
      </c>
      <c r="O1169">
        <f>HYPERLINK("https://shopee.co.id/api/v4/item/get?itemid=3093025647&amp;shopid=14318452", "St. Ives Hydrating Body Lotion Vitamin E &amp; Avocado 400ml")</f>
        <v/>
      </c>
      <c r="P1169" t="n">
        <v>16</v>
      </c>
      <c r="Q1169" t="n">
        <v>47</v>
      </c>
      <c r="R1169" t="n">
        <v>4.861189801699717</v>
      </c>
      <c r="S1169" t="n">
        <v>2</v>
      </c>
      <c r="T1169" t="n">
        <v>1</v>
      </c>
      <c r="U1169" t="n">
        <v>4</v>
      </c>
      <c r="V1169" t="n">
        <v>30</v>
      </c>
      <c r="W1169" t="n">
        <v>316</v>
      </c>
    </row>
    <row r="1170">
      <c r="A1170" t="inlineStr">
        <is>
          <t>Pepsodent Action 123 Pasta Gigi Herbal 120G + 30G</t>
        </is>
      </c>
      <c r="B1170" t="inlineStr"/>
      <c r="C1170" t="inlineStr">
        <is>
          <t>19%</t>
        </is>
      </c>
      <c r="D1170" t="n">
        <v>13300</v>
      </c>
      <c r="E1170" t="n">
        <v>16500</v>
      </c>
      <c r="F1170" t="n">
        <v>13300</v>
      </c>
      <c r="G1170" t="n">
        <v>16500</v>
      </c>
      <c r="H1170" t="n">
        <v>13300</v>
      </c>
      <c r="I1170" t="n">
        <v>16500</v>
      </c>
      <c r="J1170" t="b">
        <v>0</v>
      </c>
      <c r="K1170" t="inlineStr">
        <is>
          <t>Unilever Indonesia Official Shop</t>
        </is>
      </c>
      <c r="L1170" t="inlineStr">
        <is>
          <t>KOTA BALIKPAPAN</t>
        </is>
      </c>
      <c r="M1170" t="n">
        <v>13551615894</v>
      </c>
      <c r="N1170" t="n">
        <v>14318452</v>
      </c>
      <c r="O1170">
        <f>HYPERLINK("https://shopee.co.id/api/v4/item/get?itemid=13551615894&amp;shopid=14318452", "Pepsodent Action 123 Pasta Gigi Herbal 120G + 30G")</f>
        <v/>
      </c>
      <c r="P1170" t="n">
        <v>584</v>
      </c>
      <c r="Q1170" t="n">
        <v>11</v>
      </c>
      <c r="R1170" t="n">
        <v>4.868421052631579</v>
      </c>
      <c r="S1170" t="n">
        <v>5</v>
      </c>
      <c r="T1170" t="n">
        <v>4</v>
      </c>
      <c r="U1170" t="n">
        <v>11</v>
      </c>
      <c r="V1170" t="n">
        <v>56</v>
      </c>
      <c r="W1170" t="n">
        <v>760</v>
      </c>
    </row>
    <row r="1171">
      <c r="A1171" t="inlineStr">
        <is>
          <t>St. Ives Face Scrub &amp; Sheet Mask Apricot</t>
        </is>
      </c>
      <c r="B1171" t="inlineStr">
        <is>
          <t>St.Ives</t>
        </is>
      </c>
      <c r="C1171" t="inlineStr">
        <is>
          <t>22%</t>
        </is>
      </c>
      <c r="D1171" t="n">
        <v>83100</v>
      </c>
      <c r="E1171" t="n">
        <v>106800</v>
      </c>
      <c r="F1171" t="n">
        <v>83100</v>
      </c>
      <c r="G1171" t="n">
        <v>106800</v>
      </c>
      <c r="H1171" t="n">
        <v>83100</v>
      </c>
      <c r="I1171" t="n">
        <v>106800</v>
      </c>
      <c r="J1171" t="b">
        <v>1</v>
      </c>
      <c r="K1171" t="inlineStr">
        <is>
          <t>Unilever Indonesia Official Shop</t>
        </is>
      </c>
      <c r="L1171" t="inlineStr">
        <is>
          <t>KOTA SEMARANG</t>
        </is>
      </c>
      <c r="M1171" t="n">
        <v>7045462378</v>
      </c>
      <c r="N1171" t="n">
        <v>14318452</v>
      </c>
      <c r="O1171">
        <f>HYPERLINK("https://shopee.co.id/api/v4/item/get?itemid=7045462378&amp;shopid=14318452", "St. Ives Face Scrub &amp; Sheet Mask Apricot")</f>
        <v/>
      </c>
      <c r="P1171" t="n">
        <v>5</v>
      </c>
      <c r="Q1171" t="n">
        <v>132</v>
      </c>
      <c r="R1171" t="n">
        <v>4.90561797752809</v>
      </c>
      <c r="S1171" t="n">
        <v>1</v>
      </c>
      <c r="T1171" t="n">
        <v>1</v>
      </c>
      <c r="U1171" t="n">
        <v>3</v>
      </c>
      <c r="V1171" t="n">
        <v>29</v>
      </c>
      <c r="W1171" t="n">
        <v>411</v>
      </c>
    </row>
    <row r="1172">
      <c r="A1172" t="inlineStr">
        <is>
          <t>St. Ives Face Scrub Oatmeal &amp; Sheet Mask Apricot</t>
        </is>
      </c>
      <c r="B1172" t="inlineStr">
        <is>
          <t>St.Ives</t>
        </is>
      </c>
      <c r="C1172" t="inlineStr">
        <is>
          <t>22%</t>
        </is>
      </c>
      <c r="D1172" t="n">
        <v>83100</v>
      </c>
      <c r="E1172" t="n">
        <v>106800</v>
      </c>
      <c r="F1172" t="n">
        <v>83100</v>
      </c>
      <c r="G1172" t="n">
        <v>106800</v>
      </c>
      <c r="H1172" t="n">
        <v>83100</v>
      </c>
      <c r="I1172" t="n">
        <v>106800</v>
      </c>
      <c r="J1172" t="b">
        <v>1</v>
      </c>
      <c r="K1172" t="inlineStr">
        <is>
          <t>Unilever Indonesia Official Shop</t>
        </is>
      </c>
      <c r="L1172" t="inlineStr">
        <is>
          <t>KOTA SEMARANG</t>
        </is>
      </c>
      <c r="M1172" t="n">
        <v>7145469097</v>
      </c>
      <c r="N1172" t="n">
        <v>14318452</v>
      </c>
      <c r="O1172">
        <f>HYPERLINK("https://shopee.co.id/api/v4/item/get?itemid=7145469097&amp;shopid=14318452", "St. Ives Face Scrub Oatmeal &amp; Sheet Mask Apricot")</f>
        <v/>
      </c>
      <c r="P1172" t="n">
        <v>1</v>
      </c>
      <c r="Q1172" t="n">
        <v>40</v>
      </c>
      <c r="R1172" t="n">
        <v>4.933184855233853</v>
      </c>
      <c r="S1172" t="n">
        <v>0</v>
      </c>
      <c r="T1172" t="n">
        <v>0</v>
      </c>
      <c r="U1172" t="n">
        <v>2</v>
      </c>
      <c r="V1172" t="n">
        <v>26</v>
      </c>
      <c r="W1172" t="n">
        <v>421</v>
      </c>
    </row>
    <row r="1173">
      <c r="A1173" t="inlineStr">
        <is>
          <t>Buavita Orange 1000ml Multi Pack</t>
        </is>
      </c>
      <c r="B1173" t="inlineStr">
        <is>
          <t>0</t>
        </is>
      </c>
      <c r="C1173" t="inlineStr">
        <is>
          <t>33%</t>
        </is>
      </c>
      <c r="D1173" t="n">
        <v>54300</v>
      </c>
      <c r="E1173" t="n">
        <v>81600</v>
      </c>
      <c r="F1173" t="n">
        <v>54300</v>
      </c>
      <c r="G1173" t="n">
        <v>81600</v>
      </c>
      <c r="H1173" t="n">
        <v>54300</v>
      </c>
      <c r="I1173" t="n">
        <v>81600</v>
      </c>
      <c r="J1173" t="b">
        <v>1</v>
      </c>
      <c r="K1173" t="inlineStr">
        <is>
          <t>Unilever Indonesia Official Shop</t>
        </is>
      </c>
      <c r="L1173" t="inlineStr">
        <is>
          <t>KOTA SURABAYA</t>
        </is>
      </c>
      <c r="M1173" t="n">
        <v>6231823914</v>
      </c>
      <c r="N1173" t="n">
        <v>14318452</v>
      </c>
      <c r="O1173">
        <f>HYPERLINK("https://shopee.co.id/api/v4/item/get?itemid=6231823914&amp;shopid=14318452", "Buavita Orange 1000ml Multi Pack")</f>
        <v/>
      </c>
      <c r="P1173" t="n">
        <v>9</v>
      </c>
      <c r="Q1173" t="n">
        <v>13</v>
      </c>
      <c r="R1173" t="n">
        <v>4.87248322147651</v>
      </c>
      <c r="S1173" t="n">
        <v>3</v>
      </c>
      <c r="T1173" t="n">
        <v>0</v>
      </c>
      <c r="U1173" t="n">
        <v>4</v>
      </c>
      <c r="V1173" t="n">
        <v>3</v>
      </c>
      <c r="W1173" t="n">
        <v>140</v>
      </c>
    </row>
    <row r="1174">
      <c r="A1174" t="inlineStr">
        <is>
          <t>[Ponds Glow Up Stage Bundle] Ponds Bright Beauty Serum Facial Foam 100G Twin Pack</t>
        </is>
      </c>
      <c r="B1174" t="inlineStr"/>
      <c r="C1174" t="inlineStr">
        <is>
          <t>17%</t>
        </is>
      </c>
      <c r="D1174" t="n">
        <v>56100</v>
      </c>
      <c r="E1174" t="n">
        <v>67500</v>
      </c>
      <c r="F1174" t="n">
        <v>56100</v>
      </c>
      <c r="G1174" t="n">
        <v>67500</v>
      </c>
      <c r="H1174" t="n">
        <v>56100</v>
      </c>
      <c r="I1174" t="n">
        <v>67500</v>
      </c>
      <c r="J1174" t="b">
        <v>0</v>
      </c>
      <c r="K1174" t="inlineStr">
        <is>
          <t>Unilever Indonesia Official Shop</t>
        </is>
      </c>
      <c r="L1174" t="inlineStr">
        <is>
          <t>KOTA BEKASI</t>
        </is>
      </c>
      <c r="M1174" t="n">
        <v>15704525678</v>
      </c>
      <c r="N1174" t="n">
        <v>14318452</v>
      </c>
      <c r="O1174">
        <f>HYPERLINK("https://shopee.co.id/api/v4/item/get?itemid=15704525678&amp;shopid=14318452", "[Ponds Glow Up Stage Bundle] Ponds Bright Beauty Serum Facial Foam 100G Twin Pack")</f>
        <v/>
      </c>
      <c r="P1174" t="n">
        <v>812</v>
      </c>
      <c r="Q1174" t="n">
        <v>2626</v>
      </c>
      <c r="R1174" t="n">
        <v>4.910027472527473</v>
      </c>
      <c r="S1174" t="n">
        <v>5</v>
      </c>
      <c r="T1174" t="n">
        <v>4</v>
      </c>
      <c r="U1174" t="n">
        <v>16</v>
      </c>
      <c r="V1174" t="n">
        <v>67</v>
      </c>
      <c r="W1174" t="n">
        <v>1364</v>
      </c>
    </row>
    <row r="1175">
      <c r="A1175" t="inlineStr">
        <is>
          <t>LUX Botanicals White Freesia &amp; Tea Tree Body Mist 100ML Twin Pack</t>
        </is>
      </c>
      <c r="B1175" t="inlineStr">
        <is>
          <t>None</t>
        </is>
      </c>
      <c r="C1175" t="inlineStr">
        <is>
          <t>1%</t>
        </is>
      </c>
      <c r="D1175" t="n">
        <v>69300</v>
      </c>
      <c r="E1175" t="n">
        <v>70000</v>
      </c>
      <c r="F1175" t="n">
        <v>69300</v>
      </c>
      <c r="G1175" t="n">
        <v>70000</v>
      </c>
      <c r="H1175" t="n">
        <v>69300</v>
      </c>
      <c r="I1175" t="n">
        <v>70000</v>
      </c>
      <c r="J1175" t="b">
        <v>1</v>
      </c>
      <c r="K1175" t="inlineStr">
        <is>
          <t>Unilever Indonesia Official Shop</t>
        </is>
      </c>
      <c r="L1175" t="inlineStr">
        <is>
          <t>KOTA BEKASI</t>
        </is>
      </c>
      <c r="M1175" t="n">
        <v>11223002462</v>
      </c>
      <c r="N1175" t="n">
        <v>14318452</v>
      </c>
      <c r="O1175">
        <f>HYPERLINK("https://shopee.co.id/api/v4/item/get?itemid=11223002462&amp;shopid=14318452", "LUX Botanicals White Freesia &amp; Tea Tree Body Mist 100ML Twin Pack")</f>
        <v/>
      </c>
      <c r="P1175" t="n">
        <v>9</v>
      </c>
      <c r="Q1175" t="n">
        <v>71</v>
      </c>
      <c r="R1175" t="n">
        <v>4.876760563380282</v>
      </c>
      <c r="S1175" t="n">
        <v>0</v>
      </c>
      <c r="T1175" t="n">
        <v>0</v>
      </c>
      <c r="U1175" t="n">
        <v>8</v>
      </c>
      <c r="V1175" t="n">
        <v>19</v>
      </c>
      <c r="W1175" t="n">
        <v>257</v>
      </c>
    </row>
    <row r="1176">
      <c r="A1176" t="inlineStr">
        <is>
          <t>Rinso Molto Deterjen Cair Perfume Essence 1.5 L - Deterjen Parfum, Deterjen Pewangi</t>
        </is>
      </c>
      <c r="B1176" t="inlineStr"/>
      <c r="C1176" t="inlineStr">
        <is>
          <t>21%</t>
        </is>
      </c>
      <c r="D1176" t="n">
        <v>42000</v>
      </c>
      <c r="E1176" t="n">
        <v>53200</v>
      </c>
      <c r="F1176" t="n">
        <v>42000</v>
      </c>
      <c r="G1176" t="n">
        <v>53200</v>
      </c>
      <c r="H1176" t="n">
        <v>42000</v>
      </c>
      <c r="I1176" t="n">
        <v>53200</v>
      </c>
      <c r="J1176" t="b">
        <v>0</v>
      </c>
      <c r="K1176" t="inlineStr">
        <is>
          <t>Unilever Indonesia Official Shop</t>
        </is>
      </c>
      <c r="L1176" t="inlineStr">
        <is>
          <t>KOTA BEKASI</t>
        </is>
      </c>
      <c r="M1176" t="n">
        <v>11457167082</v>
      </c>
      <c r="N1176" t="n">
        <v>14318452</v>
      </c>
      <c r="O1176">
        <f>HYPERLINK("https://shopee.co.id/api/v4/item/get?itemid=11457167082&amp;shopid=14318452", "Rinso Molto Deterjen Cair Perfume Essence 1.5 L - Deterjen Parfum, Deterjen Pewangi")</f>
        <v/>
      </c>
      <c r="P1176" t="n">
        <v>80</v>
      </c>
      <c r="Q1176" t="n">
        <v>898</v>
      </c>
      <c r="R1176" t="n">
        <v>4.922967189728959</v>
      </c>
      <c r="S1176" t="n">
        <v>5</v>
      </c>
      <c r="T1176" t="n">
        <v>0</v>
      </c>
      <c r="U1176" t="n">
        <v>6</v>
      </c>
      <c r="V1176" t="n">
        <v>22</v>
      </c>
      <c r="W1176" t="n">
        <v>668</v>
      </c>
    </row>
    <row r="1177">
      <c r="A1177" t="inlineStr">
        <is>
          <t>St. Ives Body Lotion Oatmeal &amp; Shea Butter 200ml</t>
        </is>
      </c>
      <c r="B1177" t="inlineStr"/>
      <c r="C1177" t="inlineStr">
        <is>
          <t>14%</t>
        </is>
      </c>
      <c r="D1177" t="n">
        <v>39800</v>
      </c>
      <c r="E1177" t="n">
        <v>46500</v>
      </c>
      <c r="F1177" t="n">
        <v>39800</v>
      </c>
      <c r="G1177" t="n">
        <v>46500</v>
      </c>
      <c r="H1177" t="n">
        <v>39800</v>
      </c>
      <c r="I1177" t="n">
        <v>46500</v>
      </c>
      <c r="J1177" t="b">
        <v>1</v>
      </c>
      <c r="K1177" t="inlineStr">
        <is>
          <t>Unilever Indonesia Official Shop</t>
        </is>
      </c>
      <c r="L1177" t="inlineStr">
        <is>
          <t>KOTA BEKASI</t>
        </is>
      </c>
      <c r="M1177" t="n">
        <v>10750696726</v>
      </c>
      <c r="N1177" t="n">
        <v>14318452</v>
      </c>
      <c r="O1177">
        <f>HYPERLINK("https://shopee.co.id/api/v4/item/get?itemid=10750696726&amp;shopid=14318452", "St. Ives Body Lotion Oatmeal &amp; Shea Butter 200ml")</f>
        <v/>
      </c>
      <c r="P1177" t="n">
        <v>56</v>
      </c>
      <c r="Q1177" t="n">
        <v>28</v>
      </c>
      <c r="R1177" t="n">
        <v>4.905737704918033</v>
      </c>
      <c r="S1177" t="n">
        <v>0</v>
      </c>
      <c r="T1177" t="n">
        <v>2</v>
      </c>
      <c r="U1177" t="n">
        <v>9</v>
      </c>
      <c r="V1177" t="n">
        <v>25</v>
      </c>
      <c r="W1177" t="n">
        <v>453</v>
      </c>
    </row>
    <row r="1178">
      <c r="A1178" t="inlineStr">
        <is>
          <t>DOVE GENTLE EXFOLIATING SABUN MANDI CAIR BODY WASH PUMP 550 ML</t>
        </is>
      </c>
      <c r="B1178" t="inlineStr"/>
      <c r="C1178" t="inlineStr">
        <is>
          <t>8%</t>
        </is>
      </c>
      <c r="D1178" t="n">
        <v>77900</v>
      </c>
      <c r="E1178" t="n">
        <v>85000</v>
      </c>
      <c r="F1178" t="n">
        <v>77900</v>
      </c>
      <c r="G1178" t="n">
        <v>85000</v>
      </c>
      <c r="H1178" t="n">
        <v>77900</v>
      </c>
      <c r="I1178" t="n">
        <v>85000</v>
      </c>
      <c r="J1178" t="b">
        <v>1</v>
      </c>
      <c r="K1178" t="inlineStr">
        <is>
          <t>Unilever Indonesia Official Shop</t>
        </is>
      </c>
      <c r="L1178" t="inlineStr">
        <is>
          <t>KOTA BEKASI</t>
        </is>
      </c>
      <c r="M1178" t="n">
        <v>9382604217</v>
      </c>
      <c r="N1178" t="n">
        <v>14318452</v>
      </c>
      <c r="O1178">
        <f>HYPERLINK("https://shopee.co.id/api/v4/item/get?itemid=9382604217&amp;shopid=14318452", "DOVE GENTLE EXFOLIATING SABUN MANDI CAIR BODY WASH PUMP 550 ML")</f>
        <v/>
      </c>
      <c r="P1178" t="n">
        <v>2</v>
      </c>
      <c r="Q1178" t="n">
        <v>54</v>
      </c>
      <c r="R1178" t="n">
        <v>4.755417956656347</v>
      </c>
      <c r="S1178" t="n">
        <v>9</v>
      </c>
      <c r="T1178" t="n">
        <v>7</v>
      </c>
      <c r="U1178" t="n">
        <v>29</v>
      </c>
      <c r="V1178" t="n">
        <v>50</v>
      </c>
      <c r="W1178" t="n">
        <v>553</v>
      </c>
    </row>
    <row r="1179">
      <c r="A1179" t="inlineStr">
        <is>
          <t>Ponds Juice Pelembab Muka Moisturizer Watermelon 100% Free Alcohol W Vite&amp;Hyaluronic 20Gx2</t>
        </is>
      </c>
      <c r="B1179" t="inlineStr"/>
      <c r="C1179" t="inlineStr">
        <is>
          <t>14%</t>
        </is>
      </c>
      <c r="D1179" t="n">
        <v>44800</v>
      </c>
      <c r="E1179" t="n">
        <v>52200</v>
      </c>
      <c r="F1179" t="n">
        <v>44800</v>
      </c>
      <c r="G1179" t="n">
        <v>52200</v>
      </c>
      <c r="H1179" t="n">
        <v>44800</v>
      </c>
      <c r="I1179" t="n">
        <v>52200</v>
      </c>
      <c r="J1179" t="b">
        <v>0</v>
      </c>
      <c r="K1179" t="inlineStr">
        <is>
          <t>Unilever Indonesia Official Shop</t>
        </is>
      </c>
      <c r="L1179" t="inlineStr">
        <is>
          <t>KOTA BEKASI</t>
        </is>
      </c>
      <c r="M1179" t="n">
        <v>12153558058</v>
      </c>
      <c r="N1179" t="n">
        <v>14318452</v>
      </c>
      <c r="O1179">
        <f>HYPERLINK("https://shopee.co.id/api/v4/item/get?itemid=12153558058&amp;shopid=14318452", "Ponds Juice Pelembab Muka Moisturizer Watermelon 100% Free Alcohol W Vite&amp;Hyaluronic 20Gx2")</f>
        <v/>
      </c>
      <c r="P1179" t="n">
        <v>396</v>
      </c>
      <c r="Q1179" t="n">
        <v>1939</v>
      </c>
      <c r="R1179" t="n">
        <v>4.922142462727774</v>
      </c>
      <c r="S1179" t="n">
        <v>5</v>
      </c>
      <c r="T1179" t="n">
        <v>3</v>
      </c>
      <c r="U1179" t="n">
        <v>12</v>
      </c>
      <c r="V1179" t="n">
        <v>88</v>
      </c>
      <c r="W1179" t="n">
        <v>1703</v>
      </c>
    </row>
    <row r="1180">
      <c r="A1180" t="inlineStr">
        <is>
          <t>VASELINE HEALTHY BRIGHT VITAMIN GEL SERUM FRESH GLOW 180ML Twinpack</t>
        </is>
      </c>
      <c r="B1180" t="inlineStr"/>
      <c r="C1180" t="inlineStr">
        <is>
          <t>15%</t>
        </is>
      </c>
      <c r="D1180" t="n">
        <v>54200</v>
      </c>
      <c r="E1180" t="n">
        <v>63700</v>
      </c>
      <c r="F1180" t="n">
        <v>54200</v>
      </c>
      <c r="G1180" t="n">
        <v>63700</v>
      </c>
      <c r="H1180" t="n">
        <v>54200</v>
      </c>
      <c r="I1180" t="n">
        <v>63700</v>
      </c>
      <c r="J1180" t="b">
        <v>0</v>
      </c>
      <c r="K1180" t="inlineStr">
        <is>
          <t>Unilever Indonesia Official Shop</t>
        </is>
      </c>
      <c r="L1180" t="inlineStr">
        <is>
          <t>KOTA BEKASI</t>
        </is>
      </c>
      <c r="M1180" t="n">
        <v>14504095854</v>
      </c>
      <c r="N1180" t="n">
        <v>14318452</v>
      </c>
      <c r="O1180">
        <f>HYPERLINK("https://shopee.co.id/api/v4/item/get?itemid=14504095854&amp;shopid=14318452", "VASELINE HEALTHY BRIGHT VITAMIN GEL SERUM FRESH GLOW 180ML Twinpack")</f>
        <v/>
      </c>
      <c r="P1180" t="n">
        <v>72</v>
      </c>
      <c r="Q1180" t="n">
        <v>260</v>
      </c>
      <c r="R1180" t="n">
        <v>4.91832229580574</v>
      </c>
      <c r="S1180" t="n">
        <v>1</v>
      </c>
      <c r="T1180" t="n">
        <v>0</v>
      </c>
      <c r="U1180" t="n">
        <v>2</v>
      </c>
      <c r="V1180" t="n">
        <v>29</v>
      </c>
      <c r="W1180" t="n">
        <v>421</v>
      </c>
    </row>
    <row r="1181">
      <c r="A1181" t="inlineStr">
        <is>
          <t>Buy 2x Ponds Men Acno Striker Facial Scrub Sabun Cuci Muka Pria 100G Spiderman Edition</t>
        </is>
      </c>
      <c r="B1181" t="inlineStr"/>
      <c r="C1181" t="inlineStr">
        <is>
          <t>12%</t>
        </is>
      </c>
      <c r="D1181" t="n">
        <v>63400</v>
      </c>
      <c r="E1181" t="n">
        <v>72400</v>
      </c>
      <c r="F1181" t="n">
        <v>63400</v>
      </c>
      <c r="G1181" t="n">
        <v>72400</v>
      </c>
      <c r="H1181" t="n">
        <v>63400</v>
      </c>
      <c r="I1181" t="n">
        <v>72400</v>
      </c>
      <c r="J1181" t="b">
        <v>1</v>
      </c>
      <c r="K1181" t="inlineStr">
        <is>
          <t>Unilever Indonesia Official Shop</t>
        </is>
      </c>
      <c r="L1181" t="inlineStr">
        <is>
          <t>KAB. BANYUASIN</t>
        </is>
      </c>
      <c r="M1181" t="n">
        <v>9993561929</v>
      </c>
      <c r="N1181" t="n">
        <v>14318452</v>
      </c>
      <c r="O1181">
        <f>HYPERLINK("https://shopee.co.id/api/v4/item/get?itemid=9993561929&amp;shopid=14318452", "Buy 2x Ponds Men Acno Striker Facial Scrub Sabun Cuci Muka Pria 100G Spiderman Edition")</f>
        <v/>
      </c>
      <c r="P1181" t="n">
        <v>17</v>
      </c>
      <c r="Q1181" t="n">
        <v>21</v>
      </c>
      <c r="R1181" t="n">
        <v>4.924528301886792</v>
      </c>
      <c r="S1181" t="n">
        <v>0</v>
      </c>
      <c r="T1181" t="n">
        <v>1</v>
      </c>
      <c r="U1181" t="n">
        <v>0</v>
      </c>
      <c r="V1181" t="n">
        <v>13</v>
      </c>
      <c r="W1181" t="n">
        <v>198</v>
      </c>
    </row>
    <row r="1182">
      <c r="A1182" t="inlineStr">
        <is>
          <t>Dove Go Fresh Fresh Touch Body Wash Refill 400ml Multi Pack</t>
        </is>
      </c>
      <c r="B1182" t="inlineStr">
        <is>
          <t>0</t>
        </is>
      </c>
      <c r="C1182" t="inlineStr">
        <is>
          <t>20%</t>
        </is>
      </c>
      <c r="D1182" t="n">
        <v>113300</v>
      </c>
      <c r="E1182" t="n">
        <v>141600</v>
      </c>
      <c r="F1182" t="n">
        <v>113300</v>
      </c>
      <c r="G1182" t="n">
        <v>141600</v>
      </c>
      <c r="H1182" t="n">
        <v>113300</v>
      </c>
      <c r="I1182" t="n">
        <v>141600</v>
      </c>
      <c r="J1182" t="b">
        <v>1</v>
      </c>
      <c r="K1182" t="inlineStr">
        <is>
          <t>Unilever Indonesia Official Shop</t>
        </is>
      </c>
      <c r="L1182" t="inlineStr">
        <is>
          <t>KOTA BEKASI</t>
        </is>
      </c>
      <c r="M1182" t="n">
        <v>3531260775</v>
      </c>
      <c r="N1182" t="n">
        <v>14318452</v>
      </c>
      <c r="O1182">
        <f>HYPERLINK("https://shopee.co.id/api/v4/item/get?itemid=3531260775&amp;shopid=14318452", "Dove Go Fresh Fresh Touch Body Wash Refill 400ml Multi Pack")</f>
        <v/>
      </c>
      <c r="P1182" t="n">
        <v>19</v>
      </c>
      <c r="Q1182" t="n">
        <v>353</v>
      </c>
      <c r="R1182" t="n">
        <v>4.988095238095238</v>
      </c>
      <c r="S1182" t="n">
        <v>0</v>
      </c>
      <c r="T1182" t="n">
        <v>0</v>
      </c>
      <c r="U1182" t="n">
        <v>0</v>
      </c>
      <c r="V1182" t="n">
        <v>3</v>
      </c>
      <c r="W1182" t="n">
        <v>249</v>
      </c>
    </row>
    <row r="1183">
      <c r="A1183" t="inlineStr">
        <is>
          <t>Rinso Pink Powder 2kg + Rinso Kemasan Daur Ulang Pink 2 pcs + Molto Spray 1 pc + Free Reusable Bag</t>
        </is>
      </c>
      <c r="B1183" t="inlineStr">
        <is>
          <t>None</t>
        </is>
      </c>
      <c r="C1183" t="inlineStr">
        <is>
          <t>7%</t>
        </is>
      </c>
      <c r="D1183" t="n">
        <v>101100</v>
      </c>
      <c r="E1183" t="n">
        <v>108300</v>
      </c>
      <c r="F1183" t="n">
        <v>101100</v>
      </c>
      <c r="G1183" t="n">
        <v>108300</v>
      </c>
      <c r="H1183" t="n">
        <v>101100</v>
      </c>
      <c r="I1183" t="n">
        <v>108300</v>
      </c>
      <c r="J1183" t="b">
        <v>0</v>
      </c>
      <c r="K1183" t="inlineStr">
        <is>
          <t>Unilever Indonesia Official Shop</t>
        </is>
      </c>
      <c r="L1183" t="inlineStr">
        <is>
          <t>KOTA BEKASI</t>
        </is>
      </c>
      <c r="M1183" t="n">
        <v>4396431572</v>
      </c>
      <c r="N1183" t="n">
        <v>14318452</v>
      </c>
      <c r="O1183">
        <f>HYPERLINK("https://shopee.co.id/api/v4/item/get?itemid=4396431572&amp;shopid=14318452", "Rinso Pink Powder 2kg + Rinso Kemasan Daur Ulang Pink 2 pcs + Molto Spray 1 pc + Free Reusable Bag")</f>
        <v/>
      </c>
      <c r="P1183" t="n">
        <v>8</v>
      </c>
      <c r="Q1183" t="n">
        <v>376</v>
      </c>
      <c r="R1183" t="n">
        <v>4.9</v>
      </c>
      <c r="S1183" t="n">
        <v>0</v>
      </c>
      <c r="T1183" t="n">
        <v>1</v>
      </c>
      <c r="U1183" t="n">
        <v>3</v>
      </c>
      <c r="V1183" t="n">
        <v>6</v>
      </c>
      <c r="W1183" t="n">
        <v>140</v>
      </c>
    </row>
    <row r="1184">
      <c r="A1184" t="inlineStr">
        <is>
          <t>Zwitsal Baby Protect&amp; Care Kit - Hampers Bayi</t>
        </is>
      </c>
      <c r="B1184" t="inlineStr"/>
      <c r="C1184" t="inlineStr">
        <is>
          <t>22%</t>
        </is>
      </c>
      <c r="D1184" t="n">
        <v>54200</v>
      </c>
      <c r="E1184" t="n">
        <v>69300</v>
      </c>
      <c r="F1184" t="n">
        <v>54200</v>
      </c>
      <c r="G1184" t="n">
        <v>69300</v>
      </c>
      <c r="H1184" t="n">
        <v>54200</v>
      </c>
      <c r="I1184" t="n">
        <v>69300</v>
      </c>
      <c r="J1184" t="b">
        <v>0</v>
      </c>
      <c r="K1184" t="inlineStr">
        <is>
          <t>Unilever Indonesia Official Shop</t>
        </is>
      </c>
      <c r="L1184" t="inlineStr">
        <is>
          <t>KOTA BEKASI</t>
        </is>
      </c>
      <c r="M1184" t="n">
        <v>11851755815</v>
      </c>
      <c r="N1184" t="n">
        <v>14318452</v>
      </c>
      <c r="O1184">
        <f>HYPERLINK("https://shopee.co.id/api/v4/item/get?itemid=11851755815&amp;shopid=14318452", "Zwitsal Baby Protect&amp; Care Kit - Hampers Bayi")</f>
        <v/>
      </c>
      <c r="P1184" t="n">
        <v>140</v>
      </c>
      <c r="Q1184" t="n">
        <v>126</v>
      </c>
      <c r="R1184" t="n">
        <v>4.902127659574468</v>
      </c>
      <c r="S1184" t="n">
        <v>1</v>
      </c>
      <c r="T1184" t="n">
        <v>1</v>
      </c>
      <c r="U1184" t="n">
        <v>1</v>
      </c>
      <c r="V1184" t="n">
        <v>37</v>
      </c>
      <c r="W1184" t="n">
        <v>430</v>
      </c>
    </row>
    <row r="1185">
      <c r="A1185" t="inlineStr">
        <is>
          <t>Pepsodent Nanosoft Sikat Gigi Sensitive Multipack Isi 2 x3</t>
        </is>
      </c>
      <c r="B1185" t="inlineStr">
        <is>
          <t>Pepsodent</t>
        </is>
      </c>
      <c r="C1185" t="inlineStr">
        <is>
          <t>21%</t>
        </is>
      </c>
      <c r="D1185" t="n">
        <v>52500</v>
      </c>
      <c r="E1185" t="n">
        <v>66700</v>
      </c>
      <c r="F1185" t="n">
        <v>52500</v>
      </c>
      <c r="G1185" t="n">
        <v>66700</v>
      </c>
      <c r="H1185" t="n">
        <v>52500</v>
      </c>
      <c r="I1185" t="n">
        <v>66700</v>
      </c>
      <c r="J1185" t="b">
        <v>1</v>
      </c>
      <c r="K1185" t="inlineStr">
        <is>
          <t>Unilever Indonesia Official Shop</t>
        </is>
      </c>
      <c r="L1185" t="inlineStr">
        <is>
          <t>KOTA BEKASI</t>
        </is>
      </c>
      <c r="M1185" t="n">
        <v>4531379683</v>
      </c>
      <c r="N1185" t="n">
        <v>14318452</v>
      </c>
      <c r="O1185">
        <f>HYPERLINK("https://shopee.co.id/api/v4/item/get?itemid=4531379683&amp;shopid=14318452", "Pepsodent Nanosoft Sikat Gigi Sensitive Multipack Isi 2 x3")</f>
        <v/>
      </c>
      <c r="P1185" t="n">
        <v>7</v>
      </c>
      <c r="Q1185" t="n">
        <v>204</v>
      </c>
      <c r="R1185" t="n">
        <v>4.915584415584416</v>
      </c>
      <c r="S1185" t="n">
        <v>0</v>
      </c>
      <c r="T1185" t="n">
        <v>0</v>
      </c>
      <c r="U1185" t="n">
        <v>3</v>
      </c>
      <c r="V1185" t="n">
        <v>7</v>
      </c>
      <c r="W1185" t="n">
        <v>144</v>
      </c>
    </row>
    <row r="1186">
      <c r="A1186" t="inlineStr">
        <is>
          <t>Ponds Age Miracle Facial Wash Anti Aging+Glowing with Retinol &amp; Niacinamide 100G Twin Pack</t>
        </is>
      </c>
      <c r="B1186" t="inlineStr"/>
      <c r="C1186" t="inlineStr">
        <is>
          <t>18%</t>
        </is>
      </c>
      <c r="D1186" t="n">
        <v>106300</v>
      </c>
      <c r="E1186" t="n">
        <v>128900</v>
      </c>
      <c r="F1186" t="n">
        <v>106300</v>
      </c>
      <c r="G1186" t="n">
        <v>128900</v>
      </c>
      <c r="H1186" t="n">
        <v>106300</v>
      </c>
      <c r="I1186" t="n">
        <v>128900</v>
      </c>
      <c r="J1186" t="b">
        <v>0</v>
      </c>
      <c r="K1186" t="inlineStr">
        <is>
          <t>Unilever Indonesia Official Shop</t>
        </is>
      </c>
      <c r="L1186" t="inlineStr">
        <is>
          <t>KOTA BEKASI</t>
        </is>
      </c>
      <c r="M1186" t="n">
        <v>14804679501</v>
      </c>
      <c r="N1186" t="n">
        <v>14318452</v>
      </c>
      <c r="O1186">
        <f>HYPERLINK("https://shopee.co.id/api/v4/item/get?itemid=14804679501&amp;shopid=14318452", "Ponds Age Miracle Facial Wash Anti Aging+Glowing with Retinol &amp; Niacinamide 100G Twin Pack")</f>
        <v/>
      </c>
      <c r="P1186" t="n">
        <v>292</v>
      </c>
      <c r="Q1186" t="n">
        <v>2043</v>
      </c>
      <c r="R1186" t="n">
        <v>4.905311778290993</v>
      </c>
      <c r="S1186" t="n">
        <v>7</v>
      </c>
      <c r="T1186" t="n">
        <v>0</v>
      </c>
      <c r="U1186" t="n">
        <v>7</v>
      </c>
      <c r="V1186" t="n">
        <v>44</v>
      </c>
      <c r="W1186" t="n">
        <v>809</v>
      </c>
    </row>
    <row r="1187">
      <c r="A1187" t="inlineStr">
        <is>
          <t>Rinso Molto Detergen Cair Kemasan Hasil Daur Ulang Rose Fresh Double Clean Fresh 215ML 4X</t>
        </is>
      </c>
      <c r="B1187" t="inlineStr">
        <is>
          <t>None</t>
        </is>
      </c>
      <c r="C1187" t="inlineStr">
        <is>
          <t>9%</t>
        </is>
      </c>
      <c r="D1187" t="n">
        <v>18300</v>
      </c>
      <c r="E1187" t="n">
        <v>20000</v>
      </c>
      <c r="F1187" t="n">
        <v>18300</v>
      </c>
      <c r="G1187" t="n">
        <v>20000</v>
      </c>
      <c r="H1187" t="n">
        <v>18300</v>
      </c>
      <c r="I1187" t="n">
        <v>20000</v>
      </c>
      <c r="J1187" t="b">
        <v>1</v>
      </c>
      <c r="K1187" t="inlineStr">
        <is>
          <t>Unilever Indonesia Official Shop</t>
        </is>
      </c>
      <c r="L1187" t="inlineStr">
        <is>
          <t>KOTA BEKASI</t>
        </is>
      </c>
      <c r="M1187" t="n">
        <v>11421483059</v>
      </c>
      <c r="N1187" t="n">
        <v>14318452</v>
      </c>
      <c r="O1187">
        <f>HYPERLINK("https://shopee.co.id/api/v4/item/get?itemid=11421483059&amp;shopid=14318452", "Rinso Molto Detergen Cair Kemasan Hasil Daur Ulang Rose Fresh Double Clean Fresh 215ML 4X")</f>
        <v/>
      </c>
      <c r="P1187" t="n">
        <v>38</v>
      </c>
      <c r="Q1187" t="n">
        <v>1240</v>
      </c>
      <c r="R1187" t="n">
        <v>4.959558823529412</v>
      </c>
      <c r="S1187" t="n">
        <v>0</v>
      </c>
      <c r="T1187" t="n">
        <v>1</v>
      </c>
      <c r="U1187" t="n">
        <v>2</v>
      </c>
      <c r="V1187" t="n">
        <v>7</v>
      </c>
      <c r="W1187" t="n">
        <v>263</v>
      </c>
    </row>
    <row r="1188">
      <c r="A1188" t="inlineStr">
        <is>
          <t xml:space="preserve">Buy 4 get 6 PONDS AGE MIRACLE SERUM SHEET MASK ANTI AGING 25GR </t>
        </is>
      </c>
      <c r="B1188" t="inlineStr"/>
      <c r="C1188" t="inlineStr">
        <is>
          <t>5%</t>
        </is>
      </c>
      <c r="D1188" t="n">
        <v>103100</v>
      </c>
      <c r="E1188" t="n">
        <v>108600</v>
      </c>
      <c r="F1188" t="n">
        <v>103100</v>
      </c>
      <c r="G1188" t="n">
        <v>108600</v>
      </c>
      <c r="H1188" t="n">
        <v>103100</v>
      </c>
      <c r="I1188" t="n">
        <v>108600</v>
      </c>
      <c r="J1188" t="b">
        <v>0</v>
      </c>
      <c r="K1188" t="inlineStr">
        <is>
          <t>Unilever Indonesia Official Shop</t>
        </is>
      </c>
      <c r="L1188" t="inlineStr">
        <is>
          <t>KOTA BEKASI</t>
        </is>
      </c>
      <c r="M1188" t="n">
        <v>11467903501</v>
      </c>
      <c r="N1188" t="n">
        <v>14318452</v>
      </c>
      <c r="O1188">
        <f>HYPERLINK("https://shopee.co.id/api/v4/item/get?itemid=11467903501&amp;shopid=14318452", "Buy 4 get 6 PONDS AGE MIRACLE SERUM SHEET MASK ANTI AGING 25GR ")</f>
        <v/>
      </c>
      <c r="P1188" t="n">
        <v>45</v>
      </c>
      <c r="Q1188" t="n">
        <v>62</v>
      </c>
      <c r="R1188" t="n">
        <v>4.919028340080971</v>
      </c>
      <c r="S1188" t="n">
        <v>3</v>
      </c>
      <c r="T1188" t="n">
        <v>0</v>
      </c>
      <c r="U1188" t="n">
        <v>5</v>
      </c>
      <c r="V1188" t="n">
        <v>18</v>
      </c>
      <c r="W1188" t="n">
        <v>468</v>
      </c>
    </row>
    <row r="1189">
      <c r="A1189" t="inlineStr">
        <is>
          <t>Buy 2x Lifebuoy Sabun Mandi Cair Lemon Fresh 850 Ml Free Lifebuoy Sabun Mandi Shiso &amp; Mineral Clay 450 Ml</t>
        </is>
      </c>
      <c r="B1189" t="inlineStr"/>
      <c r="C1189" t="inlineStr">
        <is>
          <t>24%</t>
        </is>
      </c>
      <c r="D1189" t="n">
        <v>85600</v>
      </c>
      <c r="E1189" t="n">
        <v>112200</v>
      </c>
      <c r="F1189" t="n">
        <v>85600</v>
      </c>
      <c r="G1189" t="n">
        <v>112200</v>
      </c>
      <c r="H1189" t="n">
        <v>85600</v>
      </c>
      <c r="I1189" t="n">
        <v>112200</v>
      </c>
      <c r="J1189" t="b">
        <v>0</v>
      </c>
      <c r="K1189" t="inlineStr">
        <is>
          <t>Unilever Indonesia Official Shop</t>
        </is>
      </c>
      <c r="L1189" t="inlineStr">
        <is>
          <t>KOTA BEKASI</t>
        </is>
      </c>
      <c r="M1189" t="n">
        <v>12651960937</v>
      </c>
      <c r="N1189" t="n">
        <v>14318452</v>
      </c>
      <c r="O1189">
        <f>HYPERLINK("https://shopee.co.id/api/v4/item/get?itemid=12651960937&amp;shopid=14318452", "Buy 2x Lifebuoy Sabun Mandi Cair Lemon Fresh 850 Ml Free Lifebuoy Sabun Mandi Shiso &amp; Mineral Clay 450 Ml")</f>
        <v/>
      </c>
      <c r="P1189" t="n">
        <v>30</v>
      </c>
      <c r="Q1189" t="n">
        <v>946</v>
      </c>
      <c r="R1189" t="n">
        <v>4.954385964912281</v>
      </c>
      <c r="S1189" t="n">
        <v>4</v>
      </c>
      <c r="T1189" t="n">
        <v>1</v>
      </c>
      <c r="U1189" t="n">
        <v>2</v>
      </c>
      <c r="V1189" t="n">
        <v>20</v>
      </c>
      <c r="W1189" t="n">
        <v>829</v>
      </c>
    </row>
    <row r="1190">
      <c r="A1190" t="inlineStr">
        <is>
          <t>Rinso Purple Powder 2kg + Rinso Kemasan Daur Ulang Purple 2 pcs + Molto Spray 1pcs Free Reusable Bag</t>
        </is>
      </c>
      <c r="B1190" t="inlineStr"/>
      <c r="C1190" t="inlineStr">
        <is>
          <t>21%</t>
        </is>
      </c>
      <c r="D1190" t="n">
        <v>86300</v>
      </c>
      <c r="E1190" t="n">
        <v>109300</v>
      </c>
      <c r="F1190" t="n">
        <v>86300</v>
      </c>
      <c r="G1190" t="n">
        <v>109300</v>
      </c>
      <c r="H1190" t="n">
        <v>86300</v>
      </c>
      <c r="I1190" t="n">
        <v>109300</v>
      </c>
      <c r="J1190" t="b">
        <v>0</v>
      </c>
      <c r="K1190" t="inlineStr">
        <is>
          <t>Unilever Indonesia Official Shop</t>
        </is>
      </c>
      <c r="L1190" t="inlineStr">
        <is>
          <t>KOTA BEKASI</t>
        </is>
      </c>
      <c r="M1190" t="n">
        <v>4396443880</v>
      </c>
      <c r="N1190" t="n">
        <v>14318452</v>
      </c>
      <c r="O1190">
        <f>HYPERLINK("https://shopee.co.id/api/v4/item/get?itemid=4396443880&amp;shopid=14318452", "Rinso Purple Powder 2kg + Rinso Kemasan Daur Ulang Purple 2 pcs + Molto Spray 1pcs Free Reusable Bag")</f>
        <v/>
      </c>
      <c r="P1190" t="n">
        <v>27</v>
      </c>
      <c r="Q1190" t="n">
        <v>382</v>
      </c>
      <c r="R1190" t="n">
        <v>4.922535211267606</v>
      </c>
      <c r="S1190" t="n">
        <v>0</v>
      </c>
      <c r="T1190" t="n">
        <v>1</v>
      </c>
      <c r="U1190" t="n">
        <v>0</v>
      </c>
      <c r="V1190" t="n">
        <v>8</v>
      </c>
      <c r="W1190" t="n">
        <v>133</v>
      </c>
    </row>
    <row r="1191">
      <c r="A1191" t="inlineStr">
        <is>
          <t>[Ponds Glow Up Stage Bundle] Ponds Bright Beauty Tripleglow Serum 30g Twin Pack</t>
        </is>
      </c>
      <c r="B1191" t="inlineStr"/>
      <c r="C1191" t="inlineStr">
        <is>
          <t>24%</t>
        </is>
      </c>
      <c r="D1191" t="n">
        <v>154400</v>
      </c>
      <c r="E1191" t="n">
        <v>202000</v>
      </c>
      <c r="F1191" t="n">
        <v>154400</v>
      </c>
      <c r="G1191" t="n">
        <v>202000</v>
      </c>
      <c r="H1191" t="n">
        <v>154400</v>
      </c>
      <c r="I1191" t="n">
        <v>202000</v>
      </c>
      <c r="J1191" t="b">
        <v>0</v>
      </c>
      <c r="K1191" t="inlineStr">
        <is>
          <t>Unilever Indonesia Official Shop</t>
        </is>
      </c>
      <c r="L1191" t="inlineStr">
        <is>
          <t>KOTA SEMARANG</t>
        </is>
      </c>
      <c r="M1191" t="n">
        <v>13153777325</v>
      </c>
      <c r="N1191" t="n">
        <v>14318452</v>
      </c>
      <c r="O1191">
        <f>HYPERLINK("https://shopee.co.id/api/v4/item/get?itemid=13153777325&amp;shopid=14318452", "[Ponds Glow Up Stage Bundle] Ponds Bright Beauty Tripleglow Serum 30g Twin Pack")</f>
        <v/>
      </c>
      <c r="P1191" t="n">
        <v>110</v>
      </c>
      <c r="Q1191" t="n">
        <v>1127</v>
      </c>
      <c r="R1191" t="n">
        <v>4.898368883312422</v>
      </c>
      <c r="S1191" t="n">
        <v>4</v>
      </c>
      <c r="T1191" t="n">
        <v>2</v>
      </c>
      <c r="U1191" t="n">
        <v>4</v>
      </c>
      <c r="V1191" t="n">
        <v>51</v>
      </c>
      <c r="W1191" t="n">
        <v>736</v>
      </c>
    </row>
    <row r="1192">
      <c r="A1192" t="inlineStr">
        <is>
          <t>St. Ives Hydrating Body Lotion Vitamin E &amp; Avocado 200ml</t>
        </is>
      </c>
      <c r="B1192" t="inlineStr"/>
      <c r="C1192" t="inlineStr">
        <is>
          <t>9%</t>
        </is>
      </c>
      <c r="D1192" t="n">
        <v>42100</v>
      </c>
      <c r="E1192" t="n">
        <v>46500</v>
      </c>
      <c r="F1192" t="n">
        <v>42100</v>
      </c>
      <c r="G1192" t="n">
        <v>46500</v>
      </c>
      <c r="H1192" t="n">
        <v>42100</v>
      </c>
      <c r="I1192" t="n">
        <v>46500</v>
      </c>
      <c r="J1192" t="b">
        <v>1</v>
      </c>
      <c r="K1192" t="inlineStr">
        <is>
          <t>Unilever Indonesia Official Shop</t>
        </is>
      </c>
      <c r="L1192" t="inlineStr">
        <is>
          <t>KOTA BEKASI</t>
        </is>
      </c>
      <c r="M1192" t="n">
        <v>12113105849</v>
      </c>
      <c r="N1192" t="n">
        <v>14318452</v>
      </c>
      <c r="O1192">
        <f>HYPERLINK("https://shopee.co.id/api/v4/item/get?itemid=12113105849&amp;shopid=14318452", "St. Ives Hydrating Body Lotion Vitamin E &amp; Avocado 200ml")</f>
        <v/>
      </c>
      <c r="P1192" t="n">
        <v>28</v>
      </c>
      <c r="Q1192" t="n">
        <v>80</v>
      </c>
      <c r="R1192" t="n">
        <v>4.876543209876544</v>
      </c>
      <c r="S1192" t="n">
        <v>0</v>
      </c>
      <c r="T1192" t="n">
        <v>2</v>
      </c>
      <c r="U1192" t="n">
        <v>4</v>
      </c>
      <c r="V1192" t="n">
        <v>16</v>
      </c>
      <c r="W1192" t="n">
        <v>221</v>
      </c>
    </row>
    <row r="1193">
      <c r="A1193" t="inlineStr">
        <is>
          <t>[Pond's Glow Up Stage Bundle] Pond's Bright Beauty Serum Pencerah Kulit untuk Semua Jenis Kulit 20gr Twinpack</t>
        </is>
      </c>
      <c r="B1193" t="inlineStr"/>
      <c r="C1193" t="inlineStr">
        <is>
          <t>14%</t>
        </is>
      </c>
      <c r="D1193" t="n">
        <v>63900</v>
      </c>
      <c r="E1193" t="n">
        <v>74500</v>
      </c>
      <c r="F1193" t="n">
        <v>63900</v>
      </c>
      <c r="G1193" t="n">
        <v>74500</v>
      </c>
      <c r="H1193" t="n">
        <v>63900</v>
      </c>
      <c r="I1193" t="n">
        <v>74500</v>
      </c>
      <c r="J1193" t="b">
        <v>0</v>
      </c>
      <c r="K1193" t="inlineStr">
        <is>
          <t>Unilever Indonesia Official Shop</t>
        </is>
      </c>
      <c r="L1193" t="inlineStr">
        <is>
          <t>KOTA BEKASI</t>
        </is>
      </c>
      <c r="M1193" t="n">
        <v>15704070802</v>
      </c>
      <c r="N1193" t="n">
        <v>14318452</v>
      </c>
      <c r="O1193">
        <f>HYPERLINK("https://shopee.co.id/api/v4/item/get?itemid=15704070802&amp;shopid=14318452", "[Pond's Glow Up Stage Bundle] Pond's Bright Beauty Serum Pencerah Kulit untuk Semua Jenis Kulit 20gr Twinpack")</f>
        <v/>
      </c>
      <c r="P1193" t="n">
        <v>78</v>
      </c>
      <c r="Q1193" t="n">
        <v>420</v>
      </c>
      <c r="R1193" t="n">
        <v>4.920918367346939</v>
      </c>
      <c r="S1193" t="n">
        <v>3</v>
      </c>
      <c r="T1193" t="n">
        <v>0</v>
      </c>
      <c r="U1193" t="n">
        <v>5</v>
      </c>
      <c r="V1193" t="n">
        <v>13</v>
      </c>
      <c r="W1193" t="n">
        <v>372</v>
      </c>
    </row>
    <row r="1194">
      <c r="A1194" t="inlineStr">
        <is>
          <t>Closeup Antibacterial Red Hot Mouthwash 300ml</t>
        </is>
      </c>
      <c r="B1194" t="inlineStr"/>
      <c r="C1194" t="inlineStr">
        <is>
          <t>1%</t>
        </is>
      </c>
      <c r="D1194" t="n">
        <v>28800</v>
      </c>
      <c r="E1194" t="n">
        <v>29000</v>
      </c>
      <c r="F1194" t="n">
        <v>28800</v>
      </c>
      <c r="G1194" t="n">
        <v>29000</v>
      </c>
      <c r="H1194" t="n">
        <v>28800</v>
      </c>
      <c r="I1194" t="n">
        <v>29000</v>
      </c>
      <c r="J1194" t="b">
        <v>1</v>
      </c>
      <c r="K1194" t="inlineStr">
        <is>
          <t>Unilever Indonesia Official Shop</t>
        </is>
      </c>
      <c r="L1194" t="inlineStr">
        <is>
          <t>KOTA BEKASI</t>
        </is>
      </c>
      <c r="M1194" t="n">
        <v>8982594857</v>
      </c>
      <c r="N1194" t="n">
        <v>14318452</v>
      </c>
      <c r="O1194">
        <f>HYPERLINK("https://shopee.co.id/api/v4/item/get?itemid=8982594857&amp;shopid=14318452", "Closeup Antibacterial Red Hot Mouthwash 300ml")</f>
        <v/>
      </c>
      <c r="P1194" t="n">
        <v>46</v>
      </c>
      <c r="Q1194" t="n">
        <v>24</v>
      </c>
      <c r="R1194" t="n">
        <v>4.923444976076555</v>
      </c>
      <c r="S1194" t="n">
        <v>0</v>
      </c>
      <c r="T1194" t="n">
        <v>0</v>
      </c>
      <c r="U1194" t="n">
        <v>1</v>
      </c>
      <c r="V1194" t="n">
        <v>14</v>
      </c>
      <c r="W1194" t="n">
        <v>194</v>
      </c>
    </row>
    <row r="1195">
      <c r="A1195" t="inlineStr">
        <is>
          <t>Dove Deeply Nourishing Body Wash Pump 550ml Multi Pack</t>
        </is>
      </c>
      <c r="B1195" t="inlineStr">
        <is>
          <t>Dove</t>
        </is>
      </c>
      <c r="C1195" t="inlineStr">
        <is>
          <t>25%</t>
        </is>
      </c>
      <c r="D1195" t="n">
        <v>185100</v>
      </c>
      <c r="E1195" t="n">
        <v>245500</v>
      </c>
      <c r="F1195" t="n">
        <v>185100</v>
      </c>
      <c r="G1195" t="n">
        <v>245500</v>
      </c>
      <c r="H1195" t="n">
        <v>185100</v>
      </c>
      <c r="I1195" t="n">
        <v>245500</v>
      </c>
      <c r="J1195" t="b">
        <v>1</v>
      </c>
      <c r="K1195" t="inlineStr">
        <is>
          <t>Unilever Indonesia Official Shop</t>
        </is>
      </c>
      <c r="L1195" t="inlineStr">
        <is>
          <t>KOTA BEKASI</t>
        </is>
      </c>
      <c r="M1195" t="n">
        <v>5931178363</v>
      </c>
      <c r="N1195" t="n">
        <v>14318452</v>
      </c>
      <c r="O1195">
        <f>HYPERLINK("https://shopee.co.id/api/v4/item/get?itemid=5931178363&amp;shopid=14318452", "Dove Deeply Nourishing Body Wash Pump 550ml Multi Pack")</f>
        <v/>
      </c>
      <c r="P1195" t="n">
        <v>4</v>
      </c>
      <c r="Q1195" t="n">
        <v>165</v>
      </c>
      <c r="R1195" t="n">
        <v>4.833333333333333</v>
      </c>
      <c r="S1195" t="n">
        <v>0</v>
      </c>
      <c r="T1195" t="n">
        <v>4</v>
      </c>
      <c r="U1195" t="n">
        <v>5</v>
      </c>
      <c r="V1195" t="n">
        <v>13</v>
      </c>
      <c r="W1195" t="n">
        <v>188</v>
      </c>
    </row>
    <row r="1196">
      <c r="A1196" t="inlineStr">
        <is>
          <t>POND'S VITAMIN DUO SHEET MASK PINEAPPLE ENZYME + VIT C 20G &amp; AVOCADO + VIT E 20G</t>
        </is>
      </c>
      <c r="B1196" t="inlineStr">
        <is>
          <t>Pond's</t>
        </is>
      </c>
      <c r="C1196" t="inlineStr">
        <is>
          <t>11%</t>
        </is>
      </c>
      <c r="D1196" t="n">
        <v>35500</v>
      </c>
      <c r="E1196" t="n">
        <v>39900</v>
      </c>
      <c r="F1196" t="n">
        <v>35500</v>
      </c>
      <c r="G1196" t="n">
        <v>39900</v>
      </c>
      <c r="H1196" t="n">
        <v>35500</v>
      </c>
      <c r="I1196" t="n">
        <v>39900</v>
      </c>
      <c r="J1196" t="b">
        <v>1</v>
      </c>
      <c r="K1196" t="inlineStr">
        <is>
          <t>Unilever Indonesia Official Shop</t>
        </is>
      </c>
      <c r="L1196" t="inlineStr">
        <is>
          <t>KOTA BEKASI</t>
        </is>
      </c>
      <c r="M1196" t="n">
        <v>7662124339</v>
      </c>
      <c r="N1196" t="n">
        <v>14318452</v>
      </c>
      <c r="O1196">
        <f>HYPERLINK("https://shopee.co.id/api/v4/item/get?itemid=7662124339&amp;shopid=14318452", "POND'S VITAMIN DUO SHEET MASK PINEAPPLE ENZYME + VIT C 20G &amp; AVOCADO + VIT E 20G")</f>
        <v/>
      </c>
      <c r="P1196" t="n">
        <v>4</v>
      </c>
      <c r="Q1196" t="n">
        <v>284</v>
      </c>
      <c r="R1196" t="n">
        <v>4.923809523809524</v>
      </c>
      <c r="S1196" t="n">
        <v>0</v>
      </c>
      <c r="T1196" t="n">
        <v>0</v>
      </c>
      <c r="U1196" t="n">
        <v>2</v>
      </c>
      <c r="V1196" t="n">
        <v>4</v>
      </c>
      <c r="W1196" t="n">
        <v>99</v>
      </c>
    </row>
    <row r="1197">
      <c r="A1197" t="inlineStr">
        <is>
          <t>Citra Lulur Natural Glow Liquid Body Wash Refill 400ml (Paket Isi 4)</t>
        </is>
      </c>
      <c r="B1197" t="inlineStr">
        <is>
          <t>Citra</t>
        </is>
      </c>
      <c r="C1197" t="inlineStr">
        <is>
          <t>38%</t>
        </is>
      </c>
      <c r="D1197" t="n">
        <v>92400</v>
      </c>
      <c r="E1197" t="n">
        <v>150200</v>
      </c>
      <c r="F1197" t="n">
        <v>92400</v>
      </c>
      <c r="G1197" t="n">
        <v>150200</v>
      </c>
      <c r="H1197" t="n">
        <v>92400</v>
      </c>
      <c r="I1197" t="n">
        <v>150200</v>
      </c>
      <c r="J1197" t="b">
        <v>1</v>
      </c>
      <c r="K1197" t="inlineStr">
        <is>
          <t>Unilever Indonesia Official Shop</t>
        </is>
      </c>
      <c r="L1197" t="inlineStr">
        <is>
          <t>KAB. BANYUASIN</t>
        </is>
      </c>
      <c r="M1197" t="n">
        <v>6930991670</v>
      </c>
      <c r="N1197" t="n">
        <v>14318452</v>
      </c>
      <c r="O1197">
        <f>HYPERLINK("https://shopee.co.id/api/v4/item/get?itemid=6930991670&amp;shopid=14318452", "Citra Lulur Natural Glow Liquid Body Wash Refill 400ml (Paket Isi 4)")</f>
        <v/>
      </c>
      <c r="P1197" t="n">
        <v>19</v>
      </c>
      <c r="Q1197" t="n">
        <v>10</v>
      </c>
      <c r="R1197" t="n">
        <v>4.933333333333334</v>
      </c>
      <c r="S1197" t="n">
        <v>0</v>
      </c>
      <c r="T1197" t="n">
        <v>0</v>
      </c>
      <c r="U1197" t="n">
        <v>4</v>
      </c>
      <c r="V1197" t="n">
        <v>4</v>
      </c>
      <c r="W1197" t="n">
        <v>172</v>
      </c>
    </row>
    <row r="1198">
      <c r="A1198" t="inlineStr">
        <is>
          <t>ROYCO SAUS TIRAM BUMBU PENYEDAP MAKANAN KAYA RASA TANPA AMIS 135ML</t>
        </is>
      </c>
      <c r="B1198" t="inlineStr"/>
      <c r="C1198" t="inlineStr">
        <is>
          <t>5%</t>
        </is>
      </c>
      <c r="D1198" t="n">
        <v>10400</v>
      </c>
      <c r="E1198" t="n">
        <v>11000</v>
      </c>
      <c r="F1198" t="n">
        <v>10400</v>
      </c>
      <c r="G1198" t="n">
        <v>11000</v>
      </c>
      <c r="H1198" t="n">
        <v>10400</v>
      </c>
      <c r="I1198" t="n">
        <v>11000</v>
      </c>
      <c r="J1198" t="b">
        <v>0</v>
      </c>
      <c r="K1198" t="inlineStr">
        <is>
          <t>Unilever Indonesia Official Shop</t>
        </is>
      </c>
      <c r="L1198" t="inlineStr">
        <is>
          <t>KOTA BEKASI</t>
        </is>
      </c>
      <c r="M1198" t="n">
        <v>15610897426</v>
      </c>
      <c r="N1198" t="n">
        <v>14318452</v>
      </c>
      <c r="O1198">
        <f>HYPERLINK("https://shopee.co.id/api/v4/item/get?itemid=15610897426&amp;shopid=14318452", "ROYCO SAUS TIRAM BUMBU PENYEDAP MAKANAN KAYA RASA TANPA AMIS 135ML")</f>
        <v/>
      </c>
      <c r="P1198" t="n">
        <v>1643</v>
      </c>
      <c r="Q1198" t="n">
        <v>759</v>
      </c>
      <c r="R1198" t="n">
        <v>4.896667788623359</v>
      </c>
      <c r="S1198" t="n">
        <v>15</v>
      </c>
      <c r="T1198" t="n">
        <v>3</v>
      </c>
      <c r="U1198" t="n">
        <v>25</v>
      </c>
      <c r="V1198" t="n">
        <v>188</v>
      </c>
      <c r="W1198" t="n">
        <v>2740</v>
      </c>
    </row>
    <row r="1199">
      <c r="A1199" t="inlineStr">
        <is>
          <t>Pond'S Tone Up Milk Mask / Masker Wajah Honey 25G - 2 Pcs</t>
        </is>
      </c>
      <c r="B1199" t="inlineStr">
        <is>
          <t>0</t>
        </is>
      </c>
      <c r="C1199" t="inlineStr">
        <is>
          <t>13%</t>
        </is>
      </c>
      <c r="D1199" t="n">
        <v>39700</v>
      </c>
      <c r="E1199" t="n">
        <v>45600</v>
      </c>
      <c r="F1199" t="n">
        <v>39700</v>
      </c>
      <c r="G1199" t="n">
        <v>45600</v>
      </c>
      <c r="H1199" t="n">
        <v>39700</v>
      </c>
      <c r="I1199" t="n">
        <v>45600</v>
      </c>
      <c r="J1199" t="b">
        <v>0</v>
      </c>
      <c r="K1199" t="inlineStr">
        <is>
          <t>Unilever Indonesia Official Shop</t>
        </is>
      </c>
      <c r="L1199" t="inlineStr">
        <is>
          <t>KOTA SEMARANG</t>
        </is>
      </c>
      <c r="M1199" t="n">
        <v>5583058218</v>
      </c>
      <c r="N1199" t="n">
        <v>14318452</v>
      </c>
      <c r="O1199">
        <f>HYPERLINK("https://shopee.co.id/api/v4/item/get?itemid=5583058218&amp;shopid=14318452", "Pond'S Tone Up Milk Mask / Masker Wajah Honey 25G - 2 Pcs")</f>
        <v/>
      </c>
      <c r="P1199" t="n">
        <v>7</v>
      </c>
      <c r="Q1199" t="n">
        <v>58</v>
      </c>
      <c r="R1199" t="n">
        <v>4.907216494845361</v>
      </c>
      <c r="S1199" t="n">
        <v>0</v>
      </c>
      <c r="T1199" t="n">
        <v>0</v>
      </c>
      <c r="U1199" t="n">
        <v>2</v>
      </c>
      <c r="V1199" t="n">
        <v>5</v>
      </c>
      <c r="W1199" t="n">
        <v>90</v>
      </c>
    </row>
    <row r="1200">
      <c r="A1200" t="inlineStr">
        <is>
          <t>Lux Camellia White Sabun Cair Refill 450 ml (Isi 4)</t>
        </is>
      </c>
      <c r="B1200" t="inlineStr">
        <is>
          <t>0</t>
        </is>
      </c>
      <c r="C1200" t="inlineStr">
        <is>
          <t>27%</t>
        </is>
      </c>
      <c r="D1200" t="n">
        <v>89900</v>
      </c>
      <c r="E1200" t="n">
        <v>123500</v>
      </c>
      <c r="F1200" t="n">
        <v>89900</v>
      </c>
      <c r="G1200" t="n">
        <v>123500</v>
      </c>
      <c r="H1200" t="n">
        <v>89900</v>
      </c>
      <c r="I1200" t="n">
        <v>123500</v>
      </c>
      <c r="J1200" t="b">
        <v>1</v>
      </c>
      <c r="K1200" t="inlineStr">
        <is>
          <t>Unilever Indonesia Official Shop</t>
        </is>
      </c>
      <c r="L1200" t="inlineStr">
        <is>
          <t>KAB. DELI SERDANG</t>
        </is>
      </c>
      <c r="M1200" t="n">
        <v>5731346042</v>
      </c>
      <c r="N1200" t="n">
        <v>14318452</v>
      </c>
      <c r="O1200">
        <f>HYPERLINK("https://shopee.co.id/api/v4/item/get?itemid=5731346042&amp;shopid=14318452", "Lux Camellia White Sabun Cair Refill 450 ml (Isi 4)")</f>
        <v/>
      </c>
      <c r="P1200" t="n">
        <v>35</v>
      </c>
      <c r="Q1200" t="n">
        <v>10</v>
      </c>
      <c r="R1200" t="n">
        <v>4.908045977011494</v>
      </c>
      <c r="S1200" t="n">
        <v>2</v>
      </c>
      <c r="T1200" t="n">
        <v>1</v>
      </c>
      <c r="U1200" t="n">
        <v>3</v>
      </c>
      <c r="V1200" t="n">
        <v>11</v>
      </c>
      <c r="W1200" t="n">
        <v>245</v>
      </c>
    </row>
    <row r="1201">
      <c r="A1201" t="inlineStr">
        <is>
          <t>Pond'S Vitamin Duo Sheet Mask / Masker Wajah Beetroot + Vitamin A 20G 5 Pcs</t>
        </is>
      </c>
      <c r="B1201" t="inlineStr">
        <is>
          <t>Pond's</t>
        </is>
      </c>
      <c r="C1201" t="inlineStr">
        <is>
          <t>20%</t>
        </is>
      </c>
      <c r="D1201" t="n">
        <v>85100</v>
      </c>
      <c r="E1201" t="n">
        <v>106800</v>
      </c>
      <c r="F1201" t="n">
        <v>85100</v>
      </c>
      <c r="G1201" t="n">
        <v>106800</v>
      </c>
      <c r="H1201" t="n">
        <v>85100</v>
      </c>
      <c r="I1201" t="n">
        <v>106800</v>
      </c>
      <c r="J1201" t="b">
        <v>1</v>
      </c>
      <c r="K1201" t="inlineStr">
        <is>
          <t>Unilever Indonesia Official Shop</t>
        </is>
      </c>
      <c r="L1201" t="inlineStr">
        <is>
          <t>KAB. BANYUASIN</t>
        </is>
      </c>
      <c r="M1201" t="n">
        <v>5057546590</v>
      </c>
      <c r="N1201" t="n">
        <v>14318452</v>
      </c>
      <c r="O1201">
        <f>HYPERLINK("https://shopee.co.id/api/v4/item/get?itemid=5057546590&amp;shopid=14318452", "Pond'S Vitamin Duo Sheet Mask / Masker Wajah Beetroot + Vitamin A 20G 5 Pcs")</f>
        <v/>
      </c>
      <c r="P1201" t="n">
        <v>3</v>
      </c>
      <c r="Q1201" t="n">
        <v>32</v>
      </c>
      <c r="R1201" t="n">
        <v>4.944</v>
      </c>
      <c r="S1201" t="n">
        <v>0</v>
      </c>
      <c r="T1201" t="n">
        <v>0</v>
      </c>
      <c r="U1201" t="n">
        <v>1</v>
      </c>
      <c r="V1201" t="n">
        <v>19</v>
      </c>
      <c r="W1201" t="n">
        <v>355</v>
      </c>
    </row>
    <row r="1202">
      <c r="A1202" t="inlineStr">
        <is>
          <t>Ponds Men Bright Blast Face Sheet Mask 20G Spiderman Edition</t>
        </is>
      </c>
      <c r="B1202" t="inlineStr"/>
      <c r="C1202" t="inlineStr">
        <is>
          <t>1%</t>
        </is>
      </c>
      <c r="D1202" t="n">
        <v>62900</v>
      </c>
      <c r="E1202" t="n">
        <v>63500</v>
      </c>
      <c r="F1202" t="n">
        <v>62900</v>
      </c>
      <c r="G1202" t="n">
        <v>63500</v>
      </c>
      <c r="H1202" t="n">
        <v>62900</v>
      </c>
      <c r="I1202" t="n">
        <v>63500</v>
      </c>
      <c r="J1202" t="b">
        <v>1</v>
      </c>
      <c r="K1202" t="inlineStr">
        <is>
          <t>Unilever Indonesia Official Shop</t>
        </is>
      </c>
      <c r="L1202" t="inlineStr">
        <is>
          <t>KOTA BEKASI</t>
        </is>
      </c>
      <c r="M1202" t="n">
        <v>12307141093</v>
      </c>
      <c r="N1202" t="n">
        <v>14318452</v>
      </c>
      <c r="O1202">
        <f>HYPERLINK("https://shopee.co.id/api/v4/item/get?itemid=12307141093&amp;shopid=14318452", "Ponds Men Bright Blast Face Sheet Mask 20G Spiderman Edition")</f>
        <v/>
      </c>
      <c r="P1202" t="n">
        <v>1</v>
      </c>
      <c r="Q1202" t="n">
        <v>2</v>
      </c>
      <c r="R1202" t="n">
        <v>4.935251798561151</v>
      </c>
      <c r="S1202" t="n">
        <v>1</v>
      </c>
      <c r="T1202" t="n">
        <v>0</v>
      </c>
      <c r="U1202" t="n">
        <v>0</v>
      </c>
      <c r="V1202" t="n">
        <v>5</v>
      </c>
      <c r="W1202" t="n">
        <v>133</v>
      </c>
    </row>
    <row r="1203">
      <c r="A1203" t="inlineStr">
        <is>
          <t>Pond�s Pure Bright 2in1 Sheet Mask Soothe Skin 25 gr</t>
        </is>
      </c>
      <c r="B1203" t="inlineStr">
        <is>
          <t>Pond's</t>
        </is>
      </c>
      <c r="C1203" t="inlineStr">
        <is>
          <t>9%</t>
        </is>
      </c>
      <c r="D1203" t="n">
        <v>22800</v>
      </c>
      <c r="E1203" t="n">
        <v>25000</v>
      </c>
      <c r="F1203" t="n">
        <v>22800</v>
      </c>
      <c r="G1203" t="n">
        <v>25000</v>
      </c>
      <c r="H1203" t="n">
        <v>22800</v>
      </c>
      <c r="I1203" t="n">
        <v>25000</v>
      </c>
      <c r="J1203" t="b">
        <v>1</v>
      </c>
      <c r="K1203" t="inlineStr">
        <is>
          <t>Unilever Indonesia Official Shop</t>
        </is>
      </c>
      <c r="L1203" t="inlineStr">
        <is>
          <t>KAB. BANYUASIN</t>
        </is>
      </c>
      <c r="M1203" t="n">
        <v>4557024945</v>
      </c>
      <c r="N1203" t="n">
        <v>14318452</v>
      </c>
      <c r="O1203">
        <f>HYPERLINK("https://shopee.co.id/api/v4/item/get?itemid=4557024945&amp;shopid=14318452", "Pond�s Pure Bright 2in1 Sheet Mask Soothe Skin 25 gr")</f>
        <v/>
      </c>
      <c r="P1203" t="n">
        <v>8</v>
      </c>
      <c r="Q1203" t="n">
        <v>90</v>
      </c>
      <c r="R1203" t="n">
        <v>4.689189189189189</v>
      </c>
      <c r="S1203" t="n">
        <v>5</v>
      </c>
      <c r="T1203" t="n">
        <v>3</v>
      </c>
      <c r="U1203" t="n">
        <v>8</v>
      </c>
      <c r="V1203" t="n">
        <v>24</v>
      </c>
      <c r="W1203" t="n">
        <v>182</v>
      </c>
    </row>
    <row r="1204">
      <c r="A1204" t="inlineStr">
        <is>
          <t>Lifebuoy Sabun Cair Lemon Fresh Botol 300ml Multi Pack</t>
        </is>
      </c>
      <c r="B1204" t="inlineStr">
        <is>
          <t>0</t>
        </is>
      </c>
      <c r="C1204" t="inlineStr">
        <is>
          <t>11%</t>
        </is>
      </c>
      <c r="D1204" t="n">
        <v>113000</v>
      </c>
      <c r="E1204" t="n">
        <v>126800</v>
      </c>
      <c r="F1204" t="n">
        <v>113000</v>
      </c>
      <c r="G1204" t="n">
        <v>126800</v>
      </c>
      <c r="H1204" t="n">
        <v>113000</v>
      </c>
      <c r="I1204" t="n">
        <v>126800</v>
      </c>
      <c r="J1204" t="b">
        <v>1</v>
      </c>
      <c r="K1204" t="inlineStr">
        <is>
          <t>Unilever Indonesia Official Shop</t>
        </is>
      </c>
      <c r="L1204" t="inlineStr">
        <is>
          <t>KOTA BEKASI</t>
        </is>
      </c>
      <c r="M1204" t="n">
        <v>3531437633</v>
      </c>
      <c r="N1204" t="n">
        <v>14318452</v>
      </c>
      <c r="O1204">
        <f>HYPERLINK("https://shopee.co.id/api/v4/item/get?itemid=3531437633&amp;shopid=14318452", "Lifebuoy Sabun Cair Lemon Fresh Botol 300ml Multi Pack")</f>
        <v/>
      </c>
      <c r="P1204" t="n">
        <v>2</v>
      </c>
      <c r="Q1204" t="n">
        <v>32</v>
      </c>
      <c r="R1204" t="n">
        <v>4.836065573770492</v>
      </c>
      <c r="S1204" t="n">
        <v>1</v>
      </c>
      <c r="T1204" t="n">
        <v>0</v>
      </c>
      <c r="U1204" t="n">
        <v>1</v>
      </c>
      <c r="V1204" t="n">
        <v>4</v>
      </c>
      <c r="W1204" t="n">
        <v>55</v>
      </c>
    </row>
    <row r="1205">
      <c r="A1205" t="inlineStr">
        <is>
          <t>Pond'S Vitamin Duo Sheet Mask / Masker Wajah Pineapple Enzyme + Vitamin C 20G 5 Pcs</t>
        </is>
      </c>
      <c r="B1205" t="inlineStr">
        <is>
          <t>Pond's</t>
        </is>
      </c>
      <c r="C1205" t="inlineStr">
        <is>
          <t>16%</t>
        </is>
      </c>
      <c r="D1205" t="n">
        <v>83900</v>
      </c>
      <c r="E1205" t="n">
        <v>99700</v>
      </c>
      <c r="F1205" t="n">
        <v>83900</v>
      </c>
      <c r="G1205" t="n">
        <v>99700</v>
      </c>
      <c r="H1205" t="n">
        <v>83900</v>
      </c>
      <c r="I1205" t="n">
        <v>99700</v>
      </c>
      <c r="J1205" t="b">
        <v>1</v>
      </c>
      <c r="K1205" t="inlineStr">
        <is>
          <t>Unilever Indonesia Official Shop</t>
        </is>
      </c>
      <c r="L1205" t="inlineStr">
        <is>
          <t>KOTA BEKASI</t>
        </is>
      </c>
      <c r="M1205" t="n">
        <v>3257713055</v>
      </c>
      <c r="N1205" t="n">
        <v>14318452</v>
      </c>
      <c r="O1205">
        <f>HYPERLINK("https://shopee.co.id/api/v4/item/get?itemid=3257713055&amp;shopid=14318452", "Pond'S Vitamin Duo Sheet Mask / Masker Wajah Pineapple Enzyme + Vitamin C 20G 5 Pcs")</f>
        <v/>
      </c>
      <c r="P1205" t="n">
        <v>5</v>
      </c>
      <c r="Q1205" t="n">
        <v>94</v>
      </c>
      <c r="R1205" t="n">
        <v>4.942372881355932</v>
      </c>
      <c r="S1205" t="n">
        <v>0</v>
      </c>
      <c r="T1205" t="n">
        <v>0</v>
      </c>
      <c r="U1205" t="n">
        <v>1</v>
      </c>
      <c r="V1205" t="n">
        <v>15</v>
      </c>
      <c r="W1205" t="n">
        <v>279</v>
      </c>
    </row>
    <row r="1206">
      <c r="A1206" t="inlineStr">
        <is>
          <t>Lifebuoy Sabun Cair Lemon Fresh Botol 300ml Twin Pack</t>
        </is>
      </c>
      <c r="B1206" t="inlineStr">
        <is>
          <t>0</t>
        </is>
      </c>
      <c r="C1206" t="inlineStr">
        <is>
          <t>11%</t>
        </is>
      </c>
      <c r="D1206" t="n">
        <v>75400</v>
      </c>
      <c r="E1206" t="n">
        <v>84600</v>
      </c>
      <c r="F1206" t="n">
        <v>75400</v>
      </c>
      <c r="G1206" t="n">
        <v>84600</v>
      </c>
      <c r="H1206" t="n">
        <v>75400</v>
      </c>
      <c r="I1206" t="n">
        <v>84600</v>
      </c>
      <c r="J1206" t="b">
        <v>1</v>
      </c>
      <c r="K1206" t="inlineStr">
        <is>
          <t>Unilever Indonesia Official Shop</t>
        </is>
      </c>
      <c r="L1206" t="inlineStr">
        <is>
          <t>KOTA BEKASI</t>
        </is>
      </c>
      <c r="M1206" t="n">
        <v>4531340633</v>
      </c>
      <c r="N1206" t="n">
        <v>14318452</v>
      </c>
      <c r="O1206">
        <f>HYPERLINK("https://shopee.co.id/api/v4/item/get?itemid=4531340633&amp;shopid=14318452", "Lifebuoy Sabun Cair Lemon Fresh Botol 300ml Twin Pack")</f>
        <v/>
      </c>
      <c r="P1206" t="n">
        <v>2</v>
      </c>
      <c r="Q1206" t="n">
        <v>48</v>
      </c>
      <c r="R1206" t="n">
        <v>4.951724137931034</v>
      </c>
      <c r="S1206" t="n">
        <v>0</v>
      </c>
      <c r="T1206" t="n">
        <v>0</v>
      </c>
      <c r="U1206" t="n">
        <v>0</v>
      </c>
      <c r="V1206" t="n">
        <v>7</v>
      </c>
      <c r="W1206" t="n">
        <v>138</v>
      </c>
    </row>
    <row r="1207">
      <c r="A1207" t="inlineStr">
        <is>
          <t>LUX Botanicals Antibacterial Hand Wash Gardenia &amp; Honey Refill 220ML Multi Pack</t>
        </is>
      </c>
      <c r="B1207" t="inlineStr">
        <is>
          <t>None</t>
        </is>
      </c>
      <c r="C1207" t="inlineStr">
        <is>
          <t>1%</t>
        </is>
      </c>
      <c r="D1207" t="n">
        <v>42900</v>
      </c>
      <c r="E1207" t="n">
        <v>43500</v>
      </c>
      <c r="F1207" t="n">
        <v>42900</v>
      </c>
      <c r="G1207" t="n">
        <v>43500</v>
      </c>
      <c r="H1207" t="n">
        <v>42900</v>
      </c>
      <c r="I1207" t="n">
        <v>43500</v>
      </c>
      <c r="J1207" t="b">
        <v>0</v>
      </c>
      <c r="K1207" t="inlineStr">
        <is>
          <t>Unilever Indonesia Official Shop</t>
        </is>
      </c>
      <c r="L1207" t="inlineStr">
        <is>
          <t>KAB. BANYUASIN</t>
        </is>
      </c>
      <c r="M1207" t="n">
        <v>2985913833</v>
      </c>
      <c r="N1207" t="n">
        <v>14318452</v>
      </c>
      <c r="O1207">
        <f>HYPERLINK("https://shopee.co.id/api/v4/item/get?itemid=2985913833&amp;shopid=14318452", "LUX Botanicals Antibacterial Hand Wash Gardenia &amp; Honey Refill 220ML Multi Pack")</f>
        <v/>
      </c>
      <c r="P1207" t="n">
        <v>12</v>
      </c>
      <c r="Q1207" t="n">
        <v>81</v>
      </c>
      <c r="R1207" t="n">
        <v>4.914163090128755</v>
      </c>
      <c r="S1207" t="n">
        <v>0</v>
      </c>
      <c r="T1207" t="n">
        <v>0</v>
      </c>
      <c r="U1207" t="n">
        <v>3</v>
      </c>
      <c r="V1207" t="n">
        <v>14</v>
      </c>
      <c r="W1207" t="n">
        <v>216</v>
      </c>
    </row>
    <row r="1208">
      <c r="A1208" t="inlineStr">
        <is>
          <t>Vixal Pembersih Kamar Mandi Kuat Harum 470 ml - Twinpack</t>
        </is>
      </c>
      <c r="B1208" t="inlineStr">
        <is>
          <t>0</t>
        </is>
      </c>
      <c r="C1208" t="inlineStr">
        <is>
          <t>32%</t>
        </is>
      </c>
      <c r="D1208" t="n">
        <v>24900</v>
      </c>
      <c r="E1208" t="n">
        <v>36600</v>
      </c>
      <c r="F1208" t="n">
        <v>24900</v>
      </c>
      <c r="G1208" t="n">
        <v>36600</v>
      </c>
      <c r="H1208" t="n">
        <v>24900</v>
      </c>
      <c r="I1208" t="n">
        <v>36600</v>
      </c>
      <c r="J1208" t="b">
        <v>1</v>
      </c>
      <c r="K1208" t="inlineStr">
        <is>
          <t>Unilever Indonesia Official Shop</t>
        </is>
      </c>
      <c r="L1208" t="inlineStr">
        <is>
          <t>KOTA SURABAYA</t>
        </is>
      </c>
      <c r="M1208" t="n">
        <v>5458368877</v>
      </c>
      <c r="N1208" t="n">
        <v>14318452</v>
      </c>
      <c r="O1208">
        <f>HYPERLINK("https://shopee.co.id/api/v4/item/get?itemid=5458368877&amp;shopid=14318452", "Vixal Pembersih Kamar Mandi Kuat Harum 470 ml - Twinpack")</f>
        <v/>
      </c>
      <c r="P1208" t="n">
        <v>3</v>
      </c>
      <c r="Q1208" t="n">
        <v>88</v>
      </c>
      <c r="R1208" t="n">
        <v>4.902298850574713</v>
      </c>
      <c r="S1208" t="n">
        <v>0</v>
      </c>
      <c r="T1208" t="n">
        <v>3</v>
      </c>
      <c r="U1208" t="n">
        <v>1</v>
      </c>
      <c r="V1208" t="n">
        <v>6</v>
      </c>
      <c r="W1208" t="n">
        <v>164</v>
      </c>
    </row>
    <row r="1209">
      <c r="A1209" t="inlineStr">
        <is>
          <t>Lux Velvet Jasmine Sabun Cair Refill 450ml Multi Pack</t>
        </is>
      </c>
      <c r="B1209" t="inlineStr">
        <is>
          <t>0</t>
        </is>
      </c>
      <c r="C1209" t="inlineStr">
        <is>
          <t>27%</t>
        </is>
      </c>
      <c r="D1209" t="n">
        <v>67500</v>
      </c>
      <c r="E1209" t="n">
        <v>92600</v>
      </c>
      <c r="F1209" t="n">
        <v>67500</v>
      </c>
      <c r="G1209" t="n">
        <v>92600</v>
      </c>
      <c r="H1209" t="n">
        <v>67500</v>
      </c>
      <c r="I1209" t="n">
        <v>92600</v>
      </c>
      <c r="J1209" t="b">
        <v>1</v>
      </c>
      <c r="K1209" t="inlineStr">
        <is>
          <t>Unilever Indonesia Official Shop</t>
        </is>
      </c>
      <c r="L1209" t="inlineStr">
        <is>
          <t>KOTA DENPASAR</t>
        </is>
      </c>
      <c r="M1209" t="n">
        <v>6331366312</v>
      </c>
      <c r="N1209" t="n">
        <v>14318452</v>
      </c>
      <c r="O1209">
        <f>HYPERLINK("https://shopee.co.id/api/v4/item/get?itemid=6331366312&amp;shopid=14318452", "Lux Velvet Jasmine Sabun Cair Refill 450ml Multi Pack")</f>
        <v/>
      </c>
      <c r="P1209" t="n">
        <v>10</v>
      </c>
      <c r="Q1209" t="n">
        <v>9</v>
      </c>
      <c r="R1209" t="n">
        <v>4.9</v>
      </c>
      <c r="S1209" t="n">
        <v>2</v>
      </c>
      <c r="T1209" t="n">
        <v>0</v>
      </c>
      <c r="U1209" t="n">
        <v>2</v>
      </c>
      <c r="V1209" t="n">
        <v>5</v>
      </c>
      <c r="W1209" t="n">
        <v>122</v>
      </c>
    </row>
    <row r="1210">
      <c r="A1210" t="inlineStr">
        <is>
          <t>Buy 2 get 4 Citra Glow Recipe Juicy Sheet Mask Coconut Water + Blueberry 25g</t>
        </is>
      </c>
      <c r="B1210" t="inlineStr"/>
      <c r="C1210" t="inlineStr">
        <is>
          <t>48%</t>
        </is>
      </c>
      <c r="D1210" t="n">
        <v>36400</v>
      </c>
      <c r="E1210" t="n">
        <v>70000</v>
      </c>
      <c r="F1210" t="n">
        <v>36400</v>
      </c>
      <c r="G1210" t="n">
        <v>70000</v>
      </c>
      <c r="H1210" t="n">
        <v>36400</v>
      </c>
      <c r="I1210" t="n">
        <v>70000</v>
      </c>
      <c r="J1210" t="b">
        <v>0</v>
      </c>
      <c r="K1210" t="inlineStr">
        <is>
          <t>Unilever Indonesia Official Shop</t>
        </is>
      </c>
      <c r="L1210" t="inlineStr">
        <is>
          <t>KOTA BEKASI</t>
        </is>
      </c>
      <c r="M1210" t="n">
        <v>12445657764</v>
      </c>
      <c r="N1210" t="n">
        <v>14318452</v>
      </c>
      <c r="O1210">
        <f>HYPERLINK("https://shopee.co.id/api/v4/item/get?itemid=12445657764&amp;shopid=14318452", "Buy 2 get 4 Citra Glow Recipe Juicy Sheet Mask Coconut Water + Blueberry 25g")</f>
        <v/>
      </c>
      <c r="P1210" t="n">
        <v>3</v>
      </c>
      <c r="Q1210" t="n">
        <v>1</v>
      </c>
      <c r="R1210" t="n">
        <v>4.926315789473684</v>
      </c>
      <c r="S1210" t="n">
        <v>0</v>
      </c>
      <c r="T1210" t="n">
        <v>1</v>
      </c>
      <c r="U1210" t="n">
        <v>3</v>
      </c>
      <c r="V1210" t="n">
        <v>12</v>
      </c>
      <c r="W1210" t="n">
        <v>269</v>
      </c>
    </row>
    <row r="1211">
      <c r="A1211" t="inlineStr">
        <is>
          <t>DOVE MEN +CARE BODY WASH EXTRA FRESH SABUN MANDI 400ml</t>
        </is>
      </c>
      <c r="B1211" t="inlineStr"/>
      <c r="C1211" t="inlineStr">
        <is>
          <t>1%</t>
        </is>
      </c>
      <c r="D1211" t="n">
        <v>79200</v>
      </c>
      <c r="E1211" t="n">
        <v>80000</v>
      </c>
      <c r="F1211" t="n">
        <v>79200</v>
      </c>
      <c r="G1211" t="n">
        <v>80000</v>
      </c>
      <c r="H1211" t="n">
        <v>79200</v>
      </c>
      <c r="I1211" t="n">
        <v>80000</v>
      </c>
      <c r="J1211" t="b">
        <v>1</v>
      </c>
      <c r="K1211" t="inlineStr">
        <is>
          <t>Unilever Indonesia Official Shop</t>
        </is>
      </c>
      <c r="L1211" t="inlineStr">
        <is>
          <t>KOTA SEMARANG</t>
        </is>
      </c>
      <c r="M1211" t="n">
        <v>9982605324</v>
      </c>
      <c r="N1211" t="n">
        <v>14318452</v>
      </c>
      <c r="O1211">
        <f>HYPERLINK("https://shopee.co.id/api/v4/item/get?itemid=9982605324&amp;shopid=14318452", "DOVE MEN +CARE BODY WASH EXTRA FRESH SABUN MANDI 400ml")</f>
        <v/>
      </c>
      <c r="P1211" t="n">
        <v>17</v>
      </c>
      <c r="Q1211" t="n">
        <v>36</v>
      </c>
      <c r="R1211" t="n">
        <v>4.935779816513762</v>
      </c>
      <c r="S1211" t="n">
        <v>1</v>
      </c>
      <c r="T1211" t="n">
        <v>0</v>
      </c>
      <c r="U1211" t="n">
        <v>0</v>
      </c>
      <c r="V1211" t="n">
        <v>3</v>
      </c>
      <c r="W1211" t="n">
        <v>105</v>
      </c>
    </row>
    <row r="1212">
      <c r="A1212" t="inlineStr">
        <is>
          <t xml:space="preserve">BUY Pepsodent Sikat Gigi Nature Essentials Siwak Isi 2 FREE Tumblr </t>
        </is>
      </c>
      <c r="B1212" t="inlineStr">
        <is>
          <t>None</t>
        </is>
      </c>
      <c r="C1212" t="inlineStr">
        <is>
          <t>8%</t>
        </is>
      </c>
      <c r="D1212" t="n">
        <v>37000</v>
      </c>
      <c r="E1212" t="n">
        <v>40000</v>
      </c>
      <c r="F1212" t="n">
        <v>37000</v>
      </c>
      <c r="G1212" t="n">
        <v>40000</v>
      </c>
      <c r="H1212" t="n">
        <v>37000</v>
      </c>
      <c r="I1212" t="n">
        <v>40000</v>
      </c>
      <c r="J1212" t="b">
        <v>1</v>
      </c>
      <c r="K1212" t="inlineStr">
        <is>
          <t>Unilever Indonesia Official Shop</t>
        </is>
      </c>
      <c r="L1212" t="inlineStr">
        <is>
          <t>KOTA BEKASI</t>
        </is>
      </c>
      <c r="M1212" t="n">
        <v>11546270941</v>
      </c>
      <c r="N1212" t="n">
        <v>14318452</v>
      </c>
      <c r="O1212">
        <f>HYPERLINK("https://shopee.co.id/api/v4/item/get?itemid=11546270941&amp;shopid=14318452", "BUY Pepsodent Sikat Gigi Nature Essentials Siwak Isi 2 FREE Tumblr ")</f>
        <v/>
      </c>
      <c r="P1212" t="n">
        <v>47</v>
      </c>
      <c r="Q1212" t="n">
        <v>78</v>
      </c>
      <c r="R1212" t="n">
        <v>4.93125</v>
      </c>
      <c r="S1212" t="n">
        <v>1</v>
      </c>
      <c r="T1212" t="n">
        <v>0</v>
      </c>
      <c r="U1212" t="n">
        <v>0</v>
      </c>
      <c r="V1212" t="n">
        <v>7</v>
      </c>
      <c r="W1212" t="n">
        <v>152</v>
      </c>
    </row>
    <row r="1213">
      <c r="A1213" t="inlineStr">
        <is>
          <t>Ponds Bright Beauty Perfect Potion Essence 110ml Free Ponds Bright Beauty Serum Burst 20G</t>
        </is>
      </c>
      <c r="B1213" t="inlineStr">
        <is>
          <t>Pond's</t>
        </is>
      </c>
      <c r="C1213" t="inlineStr">
        <is>
          <t>21%</t>
        </is>
      </c>
      <c r="D1213" t="n">
        <v>83700</v>
      </c>
      <c r="E1213" t="n">
        <v>106000</v>
      </c>
      <c r="F1213" t="n">
        <v>83700</v>
      </c>
      <c r="G1213" t="n">
        <v>106000</v>
      </c>
      <c r="H1213" t="n">
        <v>83700</v>
      </c>
      <c r="I1213" t="n">
        <v>106000</v>
      </c>
      <c r="J1213" t="b">
        <v>1</v>
      </c>
      <c r="K1213" t="inlineStr">
        <is>
          <t>Unilever Indonesia Official Shop</t>
        </is>
      </c>
      <c r="L1213" t="inlineStr">
        <is>
          <t>KOTA BEKASI</t>
        </is>
      </c>
      <c r="M1213" t="n">
        <v>9357465502</v>
      </c>
      <c r="N1213" t="n">
        <v>14318452</v>
      </c>
      <c r="O1213">
        <f>HYPERLINK("https://shopee.co.id/api/v4/item/get?itemid=9357465502&amp;shopid=14318452", "Ponds Bright Beauty Perfect Potion Essence 110ml Free Ponds Bright Beauty Serum Burst 20G")</f>
        <v/>
      </c>
      <c r="P1213" t="n">
        <v>120</v>
      </c>
      <c r="Q1213" t="n">
        <v>14</v>
      </c>
      <c r="R1213" t="n">
        <v>4.878048780487805</v>
      </c>
      <c r="S1213" t="n">
        <v>4</v>
      </c>
      <c r="T1213" t="n">
        <v>0</v>
      </c>
      <c r="U1213" t="n">
        <v>3</v>
      </c>
      <c r="V1213" t="n">
        <v>13</v>
      </c>
      <c r="W1213" t="n">
        <v>267</v>
      </c>
    </row>
    <row r="1214">
      <c r="A1214" t="inlineStr">
        <is>
          <t>Citra Glow Recipe Sheet Mask / Masker Wajah Sakura + Aloe Vera 25 gr - 5 Pcs</t>
        </is>
      </c>
      <c r="B1214" t="inlineStr">
        <is>
          <t>0</t>
        </is>
      </c>
      <c r="C1214" t="inlineStr">
        <is>
          <t>1%</t>
        </is>
      </c>
      <c r="D1214" t="n">
        <v>88600</v>
      </c>
      <c r="E1214" t="n">
        <v>89400</v>
      </c>
      <c r="F1214" t="n">
        <v>88600</v>
      </c>
      <c r="G1214" t="n">
        <v>89400</v>
      </c>
      <c r="H1214" t="n">
        <v>88600</v>
      </c>
      <c r="I1214" t="n">
        <v>89400</v>
      </c>
      <c r="J1214" t="b">
        <v>1</v>
      </c>
      <c r="K1214" t="inlineStr">
        <is>
          <t>Unilever Indonesia Official Shop</t>
        </is>
      </c>
      <c r="L1214" t="inlineStr">
        <is>
          <t>KOTA SURABAYA</t>
        </is>
      </c>
      <c r="M1214" t="n">
        <v>5957564424</v>
      </c>
      <c r="N1214" t="n">
        <v>14318452</v>
      </c>
      <c r="O1214">
        <f>HYPERLINK("https://shopee.co.id/api/v4/item/get?itemid=5957564424&amp;shopid=14318452", "Citra Glow Recipe Sheet Mask / Masker Wajah Sakura + Aloe Vera 25 gr - 5 Pcs")</f>
        <v/>
      </c>
      <c r="P1214" t="n">
        <v>3</v>
      </c>
      <c r="Q1214" t="n">
        <v>83</v>
      </c>
      <c r="R1214" t="n">
        <v>4.934065934065934</v>
      </c>
      <c r="S1214" t="n">
        <v>0</v>
      </c>
      <c r="T1214" t="n">
        <v>0</v>
      </c>
      <c r="U1214" t="n">
        <v>1</v>
      </c>
      <c r="V1214" t="n">
        <v>16</v>
      </c>
      <c r="W1214" t="n">
        <v>256</v>
      </c>
    </row>
    <row r="1215">
      <c r="A1215" t="inlineStr">
        <is>
          <t>Pond's Juice Collection Sheet Mask / Masker Wajah Watermelon Extract 20 gr - 5 Pcs</t>
        </is>
      </c>
      <c r="B1215" t="inlineStr"/>
      <c r="C1215" t="inlineStr">
        <is>
          <t>15%</t>
        </is>
      </c>
      <c r="D1215" t="n">
        <v>91000</v>
      </c>
      <c r="E1215" t="n">
        <v>106800</v>
      </c>
      <c r="F1215" t="n">
        <v>91000</v>
      </c>
      <c r="G1215" t="n">
        <v>106800</v>
      </c>
      <c r="H1215" t="n">
        <v>91000</v>
      </c>
      <c r="I1215" t="n">
        <v>106800</v>
      </c>
      <c r="J1215" t="b">
        <v>1</v>
      </c>
      <c r="K1215" t="inlineStr">
        <is>
          <t>Unilever Indonesia Official Shop</t>
        </is>
      </c>
      <c r="L1215" t="inlineStr">
        <is>
          <t>KOTA BALIKPAPAN</t>
        </is>
      </c>
      <c r="M1215" t="n">
        <v>3757659502</v>
      </c>
      <c r="N1215" t="n">
        <v>14318452</v>
      </c>
      <c r="O1215">
        <f>HYPERLINK("https://shopee.co.id/api/v4/item/get?itemid=3757659502&amp;shopid=14318452", "Pond's Juice Collection Sheet Mask / Masker Wajah Watermelon Extract 20 gr - 5 Pcs")</f>
        <v/>
      </c>
      <c r="P1215" t="n">
        <v>2</v>
      </c>
      <c r="Q1215" t="n">
        <v>40</v>
      </c>
      <c r="R1215" t="n">
        <v>4.941666666666666</v>
      </c>
      <c r="S1215" t="n">
        <v>0</v>
      </c>
      <c r="T1215" t="n">
        <v>0</v>
      </c>
      <c r="U1215" t="n">
        <v>1</v>
      </c>
      <c r="V1215" t="n">
        <v>12</v>
      </c>
      <c r="W1215" t="n">
        <v>227</v>
      </c>
    </row>
    <row r="1216">
      <c r="A1216" t="inlineStr">
        <is>
          <t>Lifebouy Sabun Cair Matcha Green Tea And Aloe Vera 300Ml Twin Pack</t>
        </is>
      </c>
      <c r="B1216" t="inlineStr">
        <is>
          <t>Lifebuoy</t>
        </is>
      </c>
      <c r="C1216" t="inlineStr">
        <is>
          <t>6%</t>
        </is>
      </c>
      <c r="D1216" t="n">
        <v>50700</v>
      </c>
      <c r="E1216" t="n">
        <v>53900</v>
      </c>
      <c r="F1216" t="n">
        <v>50700</v>
      </c>
      <c r="G1216" t="n">
        <v>53900</v>
      </c>
      <c r="H1216" t="n">
        <v>50700</v>
      </c>
      <c r="I1216" t="n">
        <v>53900</v>
      </c>
      <c r="J1216" t="b">
        <v>1</v>
      </c>
      <c r="K1216" t="inlineStr">
        <is>
          <t>Unilever Indonesia Official Shop</t>
        </is>
      </c>
      <c r="L1216" t="inlineStr">
        <is>
          <t>KOTA SEMARANG</t>
        </is>
      </c>
      <c r="M1216" t="n">
        <v>1487485756</v>
      </c>
      <c r="N1216" t="n">
        <v>14318452</v>
      </c>
      <c r="O1216">
        <f>HYPERLINK("https://shopee.co.id/api/v4/item/get?itemid=1487485756&amp;shopid=14318452", "Lifebouy Sabun Cair Matcha Green Tea And Aloe Vera 300Ml Twin Pack")</f>
        <v/>
      </c>
      <c r="P1216" t="n">
        <v>1</v>
      </c>
      <c r="Q1216" t="n">
        <v>2</v>
      </c>
      <c r="R1216" t="n">
        <v>4.883870967741935</v>
      </c>
      <c r="S1216" t="n">
        <v>0</v>
      </c>
      <c r="T1216" t="n">
        <v>1</v>
      </c>
      <c r="U1216" t="n">
        <v>3</v>
      </c>
      <c r="V1216" t="n">
        <v>9</v>
      </c>
      <c r="W1216" t="n">
        <v>142</v>
      </c>
    </row>
    <row r="1217">
      <c r="A1217" t="inlineStr">
        <is>
          <t>Dove Shampoo Anti Ketombe Rambut Hitam Panjang Habbatussauda &amp; Hibiscus 135 Ml</t>
        </is>
      </c>
      <c r="B1217" t="inlineStr"/>
      <c r="C1217" t="inlineStr">
        <is>
          <t>1%</t>
        </is>
      </c>
      <c r="D1217" t="n">
        <v>27000</v>
      </c>
      <c r="E1217" t="n">
        <v>27200</v>
      </c>
      <c r="F1217" t="n">
        <v>27000</v>
      </c>
      <c r="G1217" t="n">
        <v>27200</v>
      </c>
      <c r="H1217" t="n">
        <v>27000</v>
      </c>
      <c r="I1217" t="n">
        <v>27200</v>
      </c>
      <c r="J1217" t="b">
        <v>1</v>
      </c>
      <c r="K1217" t="inlineStr">
        <is>
          <t>Unilever Indonesia Official Shop</t>
        </is>
      </c>
      <c r="L1217" t="inlineStr">
        <is>
          <t>KOTA MAKASSAR</t>
        </is>
      </c>
      <c r="M1217" t="n">
        <v>10746357928</v>
      </c>
      <c r="N1217" t="n">
        <v>14318452</v>
      </c>
      <c r="O1217">
        <f>HYPERLINK("https://shopee.co.id/api/v4/item/get?itemid=10746357928&amp;shopid=14318452", "Dove Shampoo Anti Ketombe Rambut Hitam Panjang Habbatussauda &amp; Hibiscus 135 Ml")</f>
        <v/>
      </c>
      <c r="P1217" t="n">
        <v>5</v>
      </c>
      <c r="Q1217" t="n">
        <v>4</v>
      </c>
      <c r="R1217" t="n">
        <v>4.896969696969697</v>
      </c>
      <c r="S1217" t="n">
        <v>0</v>
      </c>
      <c r="T1217" t="n">
        <v>0</v>
      </c>
      <c r="U1217" t="n">
        <v>2</v>
      </c>
      <c r="V1217" t="n">
        <v>13</v>
      </c>
      <c r="W1217" t="n">
        <v>150</v>
      </c>
    </row>
    <row r="1218">
      <c r="A1218" t="inlineStr">
        <is>
          <t>St. Ives Gentle Smoothing Rose Water &amp; Aloe Vera Face Scrub 170g</t>
        </is>
      </c>
      <c r="B1218" t="inlineStr"/>
      <c r="C1218" t="inlineStr">
        <is>
          <t>8%</t>
        </is>
      </c>
      <c r="D1218" t="n">
        <v>67000</v>
      </c>
      <c r="E1218" t="n">
        <v>72500</v>
      </c>
      <c r="F1218" t="n">
        <v>67000</v>
      </c>
      <c r="G1218" t="n">
        <v>72500</v>
      </c>
      <c r="H1218" t="n">
        <v>67000</v>
      </c>
      <c r="I1218" t="n">
        <v>72500</v>
      </c>
      <c r="J1218" t="b">
        <v>0</v>
      </c>
      <c r="K1218" t="inlineStr">
        <is>
          <t>Unilever Indonesia Official Shop</t>
        </is>
      </c>
      <c r="L1218" t="inlineStr">
        <is>
          <t>KOTA BEKASI</t>
        </is>
      </c>
      <c r="M1218" t="n">
        <v>15606002278</v>
      </c>
      <c r="N1218" t="n">
        <v>14318452</v>
      </c>
      <c r="O1218">
        <f>HYPERLINK("https://shopee.co.id/api/v4/item/get?itemid=15606002278&amp;shopid=14318452", "St. Ives Gentle Smoothing Rose Water &amp; Aloe Vera Face Scrub 170g")</f>
        <v/>
      </c>
      <c r="P1218" t="n">
        <v>56</v>
      </c>
      <c r="Q1218" t="n">
        <v>79</v>
      </c>
      <c r="R1218" t="n">
        <v>4.884514435695538</v>
      </c>
      <c r="S1218" t="n">
        <v>1</v>
      </c>
      <c r="T1218" t="n">
        <v>1</v>
      </c>
      <c r="U1218" t="n">
        <v>5</v>
      </c>
      <c r="V1218" t="n">
        <v>27</v>
      </c>
      <c r="W1218" t="n">
        <v>347</v>
      </c>
    </row>
    <row r="1219">
      <c r="A1219" t="inlineStr">
        <is>
          <t>Buy 1 CITRA FRESH GLOW MULTIFUNCTION GEL ALOE 180 Ml FREE Citra Glow Recipe Juicy Sheet Mask 25g</t>
        </is>
      </c>
      <c r="B1219" t="inlineStr"/>
      <c r="C1219" t="inlineStr">
        <is>
          <t>1%</t>
        </is>
      </c>
      <c r="D1219" t="n">
        <v>41400</v>
      </c>
      <c r="E1219" t="n">
        <v>41800</v>
      </c>
      <c r="F1219" t="n">
        <v>41400</v>
      </c>
      <c r="G1219" t="n">
        <v>41800</v>
      </c>
      <c r="H1219" t="n">
        <v>41400</v>
      </c>
      <c r="I1219" t="n">
        <v>41800</v>
      </c>
      <c r="J1219" t="b">
        <v>0</v>
      </c>
      <c r="K1219" t="inlineStr">
        <is>
          <t>Unilever Indonesia Official Shop</t>
        </is>
      </c>
      <c r="L1219" t="inlineStr">
        <is>
          <t>KOTA BEKASI</t>
        </is>
      </c>
      <c r="M1219" t="n">
        <v>13226257065</v>
      </c>
      <c r="N1219" t="n">
        <v>14318452</v>
      </c>
      <c r="O1219">
        <f>HYPERLINK("https://shopee.co.id/api/v4/item/get?itemid=13226257065&amp;shopid=14318452", "Buy 1 CITRA FRESH GLOW MULTIFUNCTION GEL ALOE 180 Ml FREE Citra Glow Recipe Juicy Sheet Mask 25g")</f>
        <v/>
      </c>
      <c r="P1219" t="n">
        <v>4</v>
      </c>
      <c r="Q1219" t="n">
        <v>97</v>
      </c>
      <c r="R1219" t="n">
        <v>4.980582524271845</v>
      </c>
      <c r="S1219" t="n">
        <v>0</v>
      </c>
      <c r="T1219" t="n">
        <v>0</v>
      </c>
      <c r="U1219" t="n">
        <v>0</v>
      </c>
      <c r="V1219" t="n">
        <v>2</v>
      </c>
      <c r="W1219" t="n">
        <v>101</v>
      </c>
    </row>
    <row r="1220">
      <c r="A1220" t="inlineStr">
        <is>
          <t>Lux Sabun Kecantikan Camilia White Refill 450ml Multi Pack</t>
        </is>
      </c>
      <c r="B1220" t="inlineStr">
        <is>
          <t>0</t>
        </is>
      </c>
      <c r="C1220" t="inlineStr">
        <is>
          <t>27%</t>
        </is>
      </c>
      <c r="D1220" t="n">
        <v>67500</v>
      </c>
      <c r="E1220" t="n">
        <v>92600</v>
      </c>
      <c r="F1220" t="n">
        <v>67500</v>
      </c>
      <c r="G1220" t="n">
        <v>92600</v>
      </c>
      <c r="H1220" t="n">
        <v>67500</v>
      </c>
      <c r="I1220" t="n">
        <v>92600</v>
      </c>
      <c r="J1220" t="b">
        <v>1</v>
      </c>
      <c r="K1220" t="inlineStr">
        <is>
          <t>Unilever Indonesia Official Shop</t>
        </is>
      </c>
      <c r="L1220" t="inlineStr">
        <is>
          <t>KAB. DELI SERDANG</t>
        </is>
      </c>
      <c r="M1220" t="n">
        <v>7531371430</v>
      </c>
      <c r="N1220" t="n">
        <v>14318452</v>
      </c>
      <c r="O1220">
        <f>HYPERLINK("https://shopee.co.id/api/v4/item/get?itemid=7531371430&amp;shopid=14318452", "Lux Sabun Kecantikan Camilia White Refill 450ml Multi Pack")</f>
        <v/>
      </c>
      <c r="P1220" t="n">
        <v>24</v>
      </c>
      <c r="Q1220" t="n">
        <v>10</v>
      </c>
      <c r="R1220" t="n">
        <v>4.926553672316384</v>
      </c>
      <c r="S1220" t="n">
        <v>0</v>
      </c>
      <c r="T1220" t="n">
        <v>0</v>
      </c>
      <c r="U1220" t="n">
        <v>3</v>
      </c>
      <c r="V1220" t="n">
        <v>7</v>
      </c>
      <c r="W1220" t="n">
        <v>167</v>
      </c>
    </row>
    <row r="1221">
      <c r="A1221" t="inlineStr">
        <is>
          <t>Pond'S Vitamin Duo Sheet Mask / Masker Wajah Pineapple Enzyme + Vitamin C 20G 10 Pcs</t>
        </is>
      </c>
      <c r="B1221" t="inlineStr">
        <is>
          <t>Pond's</t>
        </is>
      </c>
      <c r="C1221" t="inlineStr">
        <is>
          <t>22%</t>
        </is>
      </c>
      <c r="D1221" t="n">
        <v>155700</v>
      </c>
      <c r="E1221" t="n">
        <v>199300</v>
      </c>
      <c r="F1221" t="n">
        <v>155700</v>
      </c>
      <c r="G1221" t="n">
        <v>199300</v>
      </c>
      <c r="H1221" t="n">
        <v>155700</v>
      </c>
      <c r="I1221" t="n">
        <v>199300</v>
      </c>
      <c r="J1221" t="b">
        <v>1</v>
      </c>
      <c r="K1221" t="inlineStr">
        <is>
          <t>Unilever Indonesia Official Shop</t>
        </is>
      </c>
      <c r="L1221" t="inlineStr">
        <is>
          <t>KOTA BEKASI</t>
        </is>
      </c>
      <c r="M1221" t="n">
        <v>6257544846</v>
      </c>
      <c r="N1221" t="n">
        <v>14318452</v>
      </c>
      <c r="O1221">
        <f>HYPERLINK("https://shopee.co.id/api/v4/item/get?itemid=6257544846&amp;shopid=14318452", "Pond'S Vitamin Duo Sheet Mask / Masker Wajah Pineapple Enzyme + Vitamin C 20G 10 Pcs")</f>
        <v/>
      </c>
      <c r="P1221" t="n">
        <v>1</v>
      </c>
      <c r="Q1221" t="n">
        <v>46</v>
      </c>
      <c r="R1221" t="n">
        <v>4.965116279069767</v>
      </c>
      <c r="S1221" t="n">
        <v>0</v>
      </c>
      <c r="T1221" t="n">
        <v>0</v>
      </c>
      <c r="U1221" t="n">
        <v>1</v>
      </c>
      <c r="V1221" t="n">
        <v>4</v>
      </c>
      <c r="W1221" t="n">
        <v>167</v>
      </c>
    </row>
    <row r="1222">
      <c r="A1222" t="inlineStr">
        <is>
          <t>Baby Dove Hair to Toe Wash Rich Moisture 200ml</t>
        </is>
      </c>
      <c r="B1222" t="inlineStr"/>
      <c r="C1222" t="inlineStr">
        <is>
          <t>1%</t>
        </is>
      </c>
      <c r="D1222" t="n">
        <v>49800</v>
      </c>
      <c r="E1222" t="n">
        <v>50300</v>
      </c>
      <c r="F1222" t="n">
        <v>49800</v>
      </c>
      <c r="G1222" t="n">
        <v>50300</v>
      </c>
      <c r="H1222" t="n">
        <v>49800</v>
      </c>
      <c r="I1222" t="n">
        <v>50300</v>
      </c>
      <c r="J1222" t="b">
        <v>0</v>
      </c>
      <c r="K1222" t="inlineStr">
        <is>
          <t>Unilever Indonesia Official Shop</t>
        </is>
      </c>
      <c r="L1222" t="inlineStr">
        <is>
          <t>KOTA BEKASI</t>
        </is>
      </c>
      <c r="M1222" t="n">
        <v>12245684180</v>
      </c>
      <c r="N1222" t="n">
        <v>14318452</v>
      </c>
      <c r="O1222">
        <f>HYPERLINK("https://shopee.co.id/api/v4/item/get?itemid=12245684180&amp;shopid=14318452", "Baby Dove Hair to Toe Wash Rich Moisture 200ml")</f>
        <v/>
      </c>
      <c r="P1222" t="n">
        <v>54</v>
      </c>
      <c r="Q1222" t="n">
        <v>72</v>
      </c>
      <c r="R1222" t="n">
        <v>4.629716981132075</v>
      </c>
      <c r="S1222" t="n">
        <v>14</v>
      </c>
      <c r="T1222" t="n">
        <v>6</v>
      </c>
      <c r="U1222" t="n">
        <v>24</v>
      </c>
      <c r="V1222" t="n">
        <v>35</v>
      </c>
      <c r="W1222" t="n">
        <v>345</v>
      </c>
    </row>
    <row r="1223">
      <c r="A1223" t="inlineStr">
        <is>
          <t>Simple Waterboost Micellar Cleansing Water 400 ml</t>
        </is>
      </c>
      <c r="B1223" t="inlineStr"/>
      <c r="C1223" t="inlineStr">
        <is>
          <t>1%</t>
        </is>
      </c>
      <c r="D1223" t="n">
        <v>123800</v>
      </c>
      <c r="E1223" t="n">
        <v>125000</v>
      </c>
      <c r="F1223" t="n">
        <v>123800</v>
      </c>
      <c r="G1223" t="n">
        <v>125000</v>
      </c>
      <c r="H1223" t="n">
        <v>123800</v>
      </c>
      <c r="I1223" t="n">
        <v>125000</v>
      </c>
      <c r="J1223" t="b">
        <v>1</v>
      </c>
      <c r="K1223" t="inlineStr">
        <is>
          <t>Unilever Indonesia Official Shop</t>
        </is>
      </c>
      <c r="L1223" t="inlineStr">
        <is>
          <t>KOTA BEKASI</t>
        </is>
      </c>
      <c r="M1223" t="n">
        <v>6134599400</v>
      </c>
      <c r="N1223" t="n">
        <v>14318452</v>
      </c>
      <c r="O1223">
        <f>HYPERLINK("https://shopee.co.id/api/v4/item/get?itemid=6134599400&amp;shopid=14318452", "Simple Waterboost Micellar Cleansing Water 400 ml")</f>
        <v/>
      </c>
      <c r="P1223" t="n">
        <v>18</v>
      </c>
      <c r="Q1223" t="n">
        <v>16</v>
      </c>
      <c r="R1223" t="n">
        <v>4.881118881118881</v>
      </c>
      <c r="S1223" t="n">
        <v>2</v>
      </c>
      <c r="T1223" t="n">
        <v>0</v>
      </c>
      <c r="U1223" t="n">
        <v>1</v>
      </c>
      <c r="V1223" t="n">
        <v>7</v>
      </c>
      <c r="W1223" t="n">
        <v>133</v>
      </c>
    </row>
    <row r="1224">
      <c r="A1224" t="inlineStr">
        <is>
          <t>Pond's Vitamin Duo Sheet Mask / Masker Wajah Avocado + Vit E 20 gr - 10 Pcs</t>
        </is>
      </c>
      <c r="B1224" t="inlineStr">
        <is>
          <t>Pond's</t>
        </is>
      </c>
      <c r="C1224" t="inlineStr">
        <is>
          <t>31%</t>
        </is>
      </c>
      <c r="D1224" t="n">
        <v>136700</v>
      </c>
      <c r="E1224" t="n">
        <v>199300</v>
      </c>
      <c r="F1224" t="n">
        <v>136700</v>
      </c>
      <c r="G1224" t="n">
        <v>199300</v>
      </c>
      <c r="H1224" t="n">
        <v>136700</v>
      </c>
      <c r="I1224" t="n">
        <v>199300</v>
      </c>
      <c r="J1224" t="b">
        <v>1</v>
      </c>
      <c r="K1224" t="inlineStr">
        <is>
          <t>Unilever Indonesia Official Shop</t>
        </is>
      </c>
      <c r="L1224" t="inlineStr">
        <is>
          <t>KOTA BEKASI</t>
        </is>
      </c>
      <c r="M1224" t="n">
        <v>7457536988</v>
      </c>
      <c r="N1224" t="n">
        <v>14318452</v>
      </c>
      <c r="O1224">
        <f>HYPERLINK("https://shopee.co.id/api/v4/item/get?itemid=7457536988&amp;shopid=14318452", "Pond's Vitamin Duo Sheet Mask / Masker Wajah Avocado + Vit E 20 gr - 10 Pcs")</f>
        <v/>
      </c>
      <c r="P1224" t="n">
        <v>0</v>
      </c>
      <c r="Q1224" t="n">
        <v>132</v>
      </c>
      <c r="R1224" t="n">
        <v>4.932515337423313</v>
      </c>
      <c r="S1224" t="n">
        <v>0</v>
      </c>
      <c r="T1224" t="n">
        <v>0</v>
      </c>
      <c r="U1224" t="n">
        <v>2</v>
      </c>
      <c r="V1224" t="n">
        <v>7</v>
      </c>
      <c r="W1224" t="n">
        <v>154</v>
      </c>
    </row>
    <row r="1225">
      <c r="A1225" t="inlineStr">
        <is>
          <t>Citra Glow Recipe Juicy Sheet Mask / Masker Wajah Activated Charcoal + Pomegranate 25 gr - 5 Pcs</t>
        </is>
      </c>
      <c r="B1225" t="inlineStr">
        <is>
          <t>0</t>
        </is>
      </c>
      <c r="C1225" t="inlineStr">
        <is>
          <t>1%</t>
        </is>
      </c>
      <c r="D1225" t="n">
        <v>88600</v>
      </c>
      <c r="E1225" t="n">
        <v>89400</v>
      </c>
      <c r="F1225" t="n">
        <v>88600</v>
      </c>
      <c r="G1225" t="n">
        <v>89400</v>
      </c>
      <c r="H1225" t="n">
        <v>88600</v>
      </c>
      <c r="I1225" t="n">
        <v>89400</v>
      </c>
      <c r="J1225" t="b">
        <v>1</v>
      </c>
      <c r="K1225" t="inlineStr">
        <is>
          <t>Unilever Indonesia Official Shop</t>
        </is>
      </c>
      <c r="L1225" t="inlineStr">
        <is>
          <t>KOTA BEKASI</t>
        </is>
      </c>
      <c r="M1225" t="n">
        <v>5157569790</v>
      </c>
      <c r="N1225" t="n">
        <v>14318452</v>
      </c>
      <c r="O1225">
        <f>HYPERLINK("https://shopee.co.id/api/v4/item/get?itemid=5157569790&amp;shopid=14318452", "Citra Glow Recipe Juicy Sheet Mask / Masker Wajah Activated Charcoal + Pomegranate 25 gr - 5 Pcs")</f>
        <v/>
      </c>
      <c r="P1225" t="n">
        <v>11</v>
      </c>
      <c r="Q1225" t="n">
        <v>41</v>
      </c>
      <c r="R1225" t="n">
        <v>4.941176470588236</v>
      </c>
      <c r="S1225" t="n">
        <v>0</v>
      </c>
      <c r="T1225" t="n">
        <v>0</v>
      </c>
      <c r="U1225" t="n">
        <v>0</v>
      </c>
      <c r="V1225" t="n">
        <v>13</v>
      </c>
      <c r="W1225" t="n">
        <v>208</v>
      </c>
    </row>
    <row r="1226">
      <c r="A1226" t="inlineStr">
        <is>
          <t>Pond's Vitamin Duo Sheet Mask / Masker Wajah Avocado + Vit E 20 gr - 5 Pcs</t>
        </is>
      </c>
      <c r="B1226" t="inlineStr">
        <is>
          <t>Pond's</t>
        </is>
      </c>
      <c r="C1226" t="inlineStr">
        <is>
          <t>20%</t>
        </is>
      </c>
      <c r="D1226" t="n">
        <v>80000</v>
      </c>
      <c r="E1226" t="n">
        <v>99700</v>
      </c>
      <c r="F1226" t="n">
        <v>80000</v>
      </c>
      <c r="G1226" t="n">
        <v>99700</v>
      </c>
      <c r="H1226" t="n">
        <v>80000</v>
      </c>
      <c r="I1226" t="n">
        <v>99700</v>
      </c>
      <c r="J1226" t="b">
        <v>1</v>
      </c>
      <c r="K1226" t="inlineStr">
        <is>
          <t>Unilever Indonesia Official Shop</t>
        </is>
      </c>
      <c r="L1226" t="inlineStr">
        <is>
          <t>KOTA BEKASI</t>
        </is>
      </c>
      <c r="M1226" t="n">
        <v>3757640587</v>
      </c>
      <c r="N1226" t="n">
        <v>14318452</v>
      </c>
      <c r="O1226">
        <f>HYPERLINK("https://shopee.co.id/api/v4/item/get?itemid=3757640587&amp;shopid=14318452", "Pond's Vitamin Duo Sheet Mask / Masker Wajah Avocado + Vit E 20 gr - 5 Pcs")</f>
        <v/>
      </c>
      <c r="P1226" t="n">
        <v>3</v>
      </c>
      <c r="Q1226" t="n">
        <v>264</v>
      </c>
      <c r="R1226" t="n">
        <v>4.938650306748467</v>
      </c>
      <c r="S1226" t="n">
        <v>1</v>
      </c>
      <c r="T1226" t="n">
        <v>0</v>
      </c>
      <c r="U1226" t="n">
        <v>0</v>
      </c>
      <c r="V1226" t="n">
        <v>6</v>
      </c>
      <c r="W1226" t="n">
        <v>156</v>
      </c>
    </row>
    <row r="1227">
      <c r="A1227" t="inlineStr">
        <is>
          <t>Buy Sunsilk Hijab Shampoo Refresh And Anti Dandruff 320Ml Free Exclusive Pouch Sunsilk</t>
        </is>
      </c>
      <c r="B1227" t="inlineStr"/>
      <c r="C1227" t="inlineStr">
        <is>
          <t>9%</t>
        </is>
      </c>
      <c r="D1227" t="n">
        <v>45100</v>
      </c>
      <c r="E1227" t="n">
        <v>49700</v>
      </c>
      <c r="F1227" t="n">
        <v>45100</v>
      </c>
      <c r="G1227" t="n">
        <v>49700</v>
      </c>
      <c r="H1227" t="n">
        <v>45100</v>
      </c>
      <c r="I1227" t="n">
        <v>49700</v>
      </c>
      <c r="J1227" t="b">
        <v>0</v>
      </c>
      <c r="K1227" t="inlineStr">
        <is>
          <t>Unilever Indonesia Official Shop</t>
        </is>
      </c>
      <c r="L1227" t="inlineStr">
        <is>
          <t>KOTA BEKASI</t>
        </is>
      </c>
      <c r="M1227" t="n">
        <v>12558532317</v>
      </c>
      <c r="N1227" t="n">
        <v>14318452</v>
      </c>
      <c r="O1227">
        <f>HYPERLINK("https://shopee.co.id/api/v4/item/get?itemid=12558532317&amp;shopid=14318452", "Buy Sunsilk Hijab Shampoo Refresh And Anti Dandruff 320Ml Free Exclusive Pouch Sunsilk")</f>
        <v/>
      </c>
      <c r="P1227" t="n">
        <v>176</v>
      </c>
      <c r="Q1227" t="n">
        <v>47</v>
      </c>
      <c r="R1227" t="n">
        <v>4.90566037735849</v>
      </c>
      <c r="S1227" t="n">
        <v>1</v>
      </c>
      <c r="T1227" t="n">
        <v>1</v>
      </c>
      <c r="U1227" t="n">
        <v>2</v>
      </c>
      <c r="V1227" t="n">
        <v>14</v>
      </c>
      <c r="W1227" t="n">
        <v>247</v>
      </c>
    </row>
    <row r="1228">
      <c r="A1228" t="inlineStr">
        <is>
          <t>Pond's Bright Beauty Serum Mask 20 gr Twinpack</t>
        </is>
      </c>
      <c r="B1228" t="inlineStr"/>
      <c r="C1228" t="inlineStr">
        <is>
          <t>8%</t>
        </is>
      </c>
      <c r="D1228" t="n">
        <v>36700</v>
      </c>
      <c r="E1228" t="n">
        <v>39800</v>
      </c>
      <c r="F1228" t="n">
        <v>36700</v>
      </c>
      <c r="G1228" t="n">
        <v>39800</v>
      </c>
      <c r="H1228" t="n">
        <v>36700</v>
      </c>
      <c r="I1228" t="n">
        <v>39800</v>
      </c>
      <c r="J1228" t="b">
        <v>0</v>
      </c>
      <c r="K1228" t="inlineStr">
        <is>
          <t>Unilever Indonesia Official Shop</t>
        </is>
      </c>
      <c r="L1228" t="inlineStr">
        <is>
          <t>KOTA BALIKPAPAN</t>
        </is>
      </c>
      <c r="M1228" t="n">
        <v>11173894830</v>
      </c>
      <c r="N1228" t="n">
        <v>14318452</v>
      </c>
      <c r="O1228">
        <f>HYPERLINK("https://shopee.co.id/api/v4/item/get?itemid=11173894830&amp;shopid=14318452", "Pond's Bright Beauty Serum Mask 20 gr Twinpack")</f>
        <v/>
      </c>
      <c r="P1228" t="n">
        <v>15</v>
      </c>
      <c r="Q1228" t="n">
        <v>51</v>
      </c>
      <c r="R1228" t="n">
        <v>4.916666666666667</v>
      </c>
      <c r="S1228" t="n">
        <v>0</v>
      </c>
      <c r="T1228" t="n">
        <v>0</v>
      </c>
      <c r="U1228" t="n">
        <v>1</v>
      </c>
      <c r="V1228" t="n">
        <v>5</v>
      </c>
      <c r="W1228" t="n">
        <v>78</v>
      </c>
    </row>
    <row r="1229">
      <c r="A1229" t="inlineStr">
        <is>
          <t>Buy 2x Lifebuoy Sabun Mandi Cair Total 10 850 Ml Free Lifebuoy Sabun Mandi Shiso &amp; Sandalwood 450 Ml</t>
        </is>
      </c>
      <c r="B1229" t="inlineStr"/>
      <c r="C1229" t="inlineStr">
        <is>
          <t>27%</t>
        </is>
      </c>
      <c r="D1229" t="n">
        <v>81200</v>
      </c>
      <c r="E1229" t="n">
        <v>111200</v>
      </c>
      <c r="F1229" t="n">
        <v>81200</v>
      </c>
      <c r="G1229" t="n">
        <v>111200</v>
      </c>
      <c r="H1229" t="n">
        <v>81200</v>
      </c>
      <c r="I1229" t="n">
        <v>111200</v>
      </c>
      <c r="J1229" t="b">
        <v>0</v>
      </c>
      <c r="K1229" t="inlineStr">
        <is>
          <t>Unilever Indonesia Official Shop</t>
        </is>
      </c>
      <c r="L1229" t="inlineStr">
        <is>
          <t>KOTA BEKASI</t>
        </is>
      </c>
      <c r="M1229" t="n">
        <v>14000761139</v>
      </c>
      <c r="N1229" t="n">
        <v>14318452</v>
      </c>
      <c r="O1229">
        <f>HYPERLINK("https://shopee.co.id/api/v4/item/get?itemid=14000761139&amp;shopid=14318452", "Buy 2x Lifebuoy Sabun Mandi Cair Total 10 850 Ml Free Lifebuoy Sabun Mandi Shiso &amp; Sandalwood 450 Ml")</f>
        <v/>
      </c>
      <c r="P1229" t="n">
        <v>12</v>
      </c>
      <c r="Q1229" t="n">
        <v>980</v>
      </c>
      <c r="R1229" t="n">
        <v>4.954545454545454</v>
      </c>
      <c r="S1229" t="n">
        <v>0</v>
      </c>
      <c r="T1229" t="n">
        <v>1</v>
      </c>
      <c r="U1229" t="n">
        <v>1</v>
      </c>
      <c r="V1229" t="n">
        <v>9</v>
      </c>
      <c r="W1229" t="n">
        <v>297</v>
      </c>
    </row>
    <row r="1230">
      <c r="A1230" t="inlineStr">
        <is>
          <t>Citra Glow Recipe Juicy Sheet Mask Coconut Water + Blueberry 25g x2</t>
        </is>
      </c>
      <c r="B1230" t="inlineStr"/>
      <c r="C1230" t="inlineStr">
        <is>
          <t>1%</t>
        </is>
      </c>
      <c r="D1230" t="n">
        <v>34700</v>
      </c>
      <c r="E1230" t="n">
        <v>35000</v>
      </c>
      <c r="F1230" t="n">
        <v>34700</v>
      </c>
      <c r="G1230" t="n">
        <v>35000</v>
      </c>
      <c r="H1230" t="n">
        <v>34700</v>
      </c>
      <c r="I1230" t="n">
        <v>35000</v>
      </c>
      <c r="J1230" t="b">
        <v>1</v>
      </c>
      <c r="K1230" t="inlineStr">
        <is>
          <t>Unilever Indonesia Official Shop</t>
        </is>
      </c>
      <c r="L1230" t="inlineStr">
        <is>
          <t>KOTA BEKASI</t>
        </is>
      </c>
      <c r="M1230" t="n">
        <v>6052320560</v>
      </c>
      <c r="N1230" t="n">
        <v>14318452</v>
      </c>
      <c r="O1230">
        <f>HYPERLINK("https://shopee.co.id/api/v4/item/get?itemid=6052320560&amp;shopid=14318452", "Citra Glow Recipe Juicy Sheet Mask Coconut Water + Blueberry 25g x2")</f>
        <v/>
      </c>
      <c r="P1230" t="n">
        <v>1</v>
      </c>
      <c r="Q1230" t="n">
        <v>48</v>
      </c>
      <c r="R1230" t="n">
        <v>4.975206611570248</v>
      </c>
      <c r="S1230" t="n">
        <v>0</v>
      </c>
      <c r="T1230" t="n">
        <v>1</v>
      </c>
      <c r="U1230" t="n">
        <v>0</v>
      </c>
      <c r="V1230" t="n">
        <v>3</v>
      </c>
      <c r="W1230" t="n">
        <v>118</v>
      </c>
    </row>
    <row r="1231">
      <c r="A1231" t="inlineStr">
        <is>
          <t>Pond's Juice Collection Sheet Mask / Masker Wajah Orange Nectar + Hyaluronic Acid 20 gr - 5 Pcs</t>
        </is>
      </c>
      <c r="B1231" t="inlineStr">
        <is>
          <t>None</t>
        </is>
      </c>
      <c r="C1231" t="inlineStr">
        <is>
          <t>16%</t>
        </is>
      </c>
      <c r="D1231" t="n">
        <v>75900</v>
      </c>
      <c r="E1231" t="n">
        <v>90700</v>
      </c>
      <c r="F1231" t="n">
        <v>75900</v>
      </c>
      <c r="G1231" t="n">
        <v>90700</v>
      </c>
      <c r="H1231" t="n">
        <v>75900</v>
      </c>
      <c r="I1231" t="n">
        <v>90700</v>
      </c>
      <c r="J1231" t="b">
        <v>1</v>
      </c>
      <c r="K1231" t="inlineStr">
        <is>
          <t>Unilever Indonesia Official Shop</t>
        </is>
      </c>
      <c r="L1231" t="inlineStr">
        <is>
          <t>KOTA SEMARANG</t>
        </is>
      </c>
      <c r="M1231" t="n">
        <v>7257562988</v>
      </c>
      <c r="N1231" t="n">
        <v>14318452</v>
      </c>
      <c r="O1231">
        <f>HYPERLINK("https://shopee.co.id/api/v4/item/get?itemid=7257562988&amp;shopid=14318452", "Pond's Juice Collection Sheet Mask / Masker Wajah Orange Nectar + Hyaluronic Acid 20 gr - 5 Pcs")</f>
        <v/>
      </c>
      <c r="P1231" t="n">
        <v>4</v>
      </c>
      <c r="Q1231" t="n">
        <v>88</v>
      </c>
      <c r="R1231" t="n">
        <v>4.956284153005464</v>
      </c>
      <c r="S1231" t="n">
        <v>0</v>
      </c>
      <c r="T1231" t="n">
        <v>0</v>
      </c>
      <c r="U1231" t="n">
        <v>1</v>
      </c>
      <c r="V1231" t="n">
        <v>6</v>
      </c>
      <c r="W1231" t="n">
        <v>176</v>
      </c>
    </row>
    <row r="1232">
      <c r="A1232" t="inlineStr">
        <is>
          <t>Buy 2x Lifebuoy Strong &amp; Shiny 680ml FREE Hot Wheels</t>
        </is>
      </c>
      <c r="B1232" t="inlineStr"/>
      <c r="C1232" t="inlineStr">
        <is>
          <t>1%</t>
        </is>
      </c>
      <c r="D1232" t="n">
        <v>122400</v>
      </c>
      <c r="E1232" t="n">
        <v>123600</v>
      </c>
      <c r="F1232" t="n">
        <v>122400</v>
      </c>
      <c r="G1232" t="n">
        <v>123600</v>
      </c>
      <c r="H1232" t="n">
        <v>122400</v>
      </c>
      <c r="I1232" t="n">
        <v>123600</v>
      </c>
      <c r="J1232" t="b">
        <v>0</v>
      </c>
      <c r="K1232" t="inlineStr">
        <is>
          <t>Unilever Indonesia Official Shop</t>
        </is>
      </c>
      <c r="L1232" t="inlineStr">
        <is>
          <t>KOTA BEKASI</t>
        </is>
      </c>
      <c r="M1232" t="n">
        <v>12847411627</v>
      </c>
      <c r="N1232" t="n">
        <v>14318452</v>
      </c>
      <c r="O1232">
        <f>HYPERLINK("https://shopee.co.id/api/v4/item/get?itemid=12847411627&amp;shopid=14318452", "Buy 2x Lifebuoy Strong &amp; Shiny 680ml FREE Hot Wheels")</f>
        <v/>
      </c>
      <c r="P1232" t="n">
        <v>93</v>
      </c>
      <c r="Q1232" t="n">
        <v>621</v>
      </c>
      <c r="R1232" t="n">
        <v>4.891191709844559</v>
      </c>
      <c r="S1232" t="n">
        <v>2</v>
      </c>
      <c r="T1232" t="n">
        <v>1</v>
      </c>
      <c r="U1232" t="n">
        <v>3</v>
      </c>
      <c r="V1232" t="n">
        <v>4</v>
      </c>
      <c r="W1232" t="n">
        <v>183</v>
      </c>
    </row>
    <row r="1233">
      <c r="A1233" t="inlineStr">
        <is>
          <t>Pond's Vitamin Duo Sheet Mask / Masker Wajah Beetroot + Vitamin A 20 gr - 10 Pcs</t>
        </is>
      </c>
      <c r="B1233" t="inlineStr">
        <is>
          <t>Pond's</t>
        </is>
      </c>
      <c r="C1233" t="inlineStr">
        <is>
          <t>23%</t>
        </is>
      </c>
      <c r="D1233" t="n">
        <v>164600</v>
      </c>
      <c r="E1233" t="n">
        <v>213600</v>
      </c>
      <c r="F1233" t="n">
        <v>164600</v>
      </c>
      <c r="G1233" t="n">
        <v>213600</v>
      </c>
      <c r="H1233" t="n">
        <v>164600</v>
      </c>
      <c r="I1233" t="n">
        <v>213600</v>
      </c>
      <c r="J1233" t="b">
        <v>1</v>
      </c>
      <c r="K1233" t="inlineStr">
        <is>
          <t>Unilever Indonesia Official Shop</t>
        </is>
      </c>
      <c r="L1233" t="inlineStr">
        <is>
          <t>KAB. BANYUASIN</t>
        </is>
      </c>
      <c r="M1233" t="n">
        <v>7857545012</v>
      </c>
      <c r="N1233" t="n">
        <v>14318452</v>
      </c>
      <c r="O1233">
        <f>HYPERLINK("https://shopee.co.id/api/v4/item/get?itemid=7857545012&amp;shopid=14318452", "Pond's Vitamin Duo Sheet Mask / Masker Wajah Beetroot + Vitamin A 20 gr - 10 Pcs")</f>
        <v/>
      </c>
      <c r="P1233" t="n">
        <v>0</v>
      </c>
      <c r="Q1233" t="n">
        <v>16</v>
      </c>
      <c r="R1233" t="n">
        <v>4.944444444444445</v>
      </c>
      <c r="S1233" t="n">
        <v>0</v>
      </c>
      <c r="T1233" t="n">
        <v>0</v>
      </c>
      <c r="U1233" t="n">
        <v>1</v>
      </c>
      <c r="V1233" t="n">
        <v>5</v>
      </c>
      <c r="W1233" t="n">
        <v>120</v>
      </c>
    </row>
    <row r="1234">
      <c r="A1234" t="inlineStr">
        <is>
          <t>St. Ives Renewing Body Lotion Collagen &amp; Elastin 200ml</t>
        </is>
      </c>
      <c r="B1234" t="inlineStr"/>
      <c r="C1234" t="inlineStr">
        <is>
          <t>14%</t>
        </is>
      </c>
      <c r="D1234" t="n">
        <v>39800</v>
      </c>
      <c r="E1234" t="n">
        <v>46500</v>
      </c>
      <c r="F1234" t="n">
        <v>39800</v>
      </c>
      <c r="G1234" t="n">
        <v>46500</v>
      </c>
      <c r="H1234" t="n">
        <v>39800</v>
      </c>
      <c r="I1234" t="n">
        <v>46500</v>
      </c>
      <c r="J1234" t="b">
        <v>1</v>
      </c>
      <c r="K1234" t="inlineStr">
        <is>
          <t>Unilever Indonesia Official Shop</t>
        </is>
      </c>
      <c r="L1234" t="inlineStr">
        <is>
          <t>KOTA SEMARANG</t>
        </is>
      </c>
      <c r="M1234" t="n">
        <v>13213095853</v>
      </c>
      <c r="N1234" t="n">
        <v>14318452</v>
      </c>
      <c r="O1234">
        <f>HYPERLINK("https://shopee.co.id/api/v4/item/get?itemid=13213095853&amp;shopid=14318452", "St. Ives Renewing Body Lotion Collagen &amp; Elastin 200ml")</f>
        <v/>
      </c>
      <c r="P1234" t="n">
        <v>23</v>
      </c>
      <c r="Q1234" t="n">
        <v>128</v>
      </c>
      <c r="R1234" t="n">
        <v>4.923913043478261</v>
      </c>
      <c r="S1234" t="n">
        <v>0</v>
      </c>
      <c r="T1234" t="n">
        <v>1</v>
      </c>
      <c r="U1234" t="n">
        <v>3</v>
      </c>
      <c r="V1234" t="n">
        <v>12</v>
      </c>
      <c r="W1234" t="n">
        <v>260</v>
      </c>
    </row>
    <row r="1235">
      <c r="A1235" t="inlineStr">
        <is>
          <t>Baby Dove Hair to Toe Wash Sensitive Moisture Refill 220ml</t>
        </is>
      </c>
      <c r="B1235" t="inlineStr"/>
      <c r="C1235" t="inlineStr">
        <is>
          <t>5%</t>
        </is>
      </c>
      <c r="D1235" t="n">
        <v>48800</v>
      </c>
      <c r="E1235" t="n">
        <v>51500</v>
      </c>
      <c r="F1235" t="n">
        <v>48800</v>
      </c>
      <c r="G1235" t="n">
        <v>51500</v>
      </c>
      <c r="H1235" t="n">
        <v>48800</v>
      </c>
      <c r="I1235" t="n">
        <v>51500</v>
      </c>
      <c r="J1235" t="b">
        <v>0</v>
      </c>
      <c r="K1235" t="inlineStr">
        <is>
          <t>Unilever Indonesia Official Shop</t>
        </is>
      </c>
      <c r="L1235" t="inlineStr">
        <is>
          <t>KOTA BEKASI</t>
        </is>
      </c>
      <c r="M1235" t="n">
        <v>12145680492</v>
      </c>
      <c r="N1235" t="n">
        <v>14318452</v>
      </c>
      <c r="O1235">
        <f>HYPERLINK("https://shopee.co.id/api/v4/item/get?itemid=12145680492&amp;shopid=14318452", "Baby Dove Hair to Toe Wash Sensitive Moisture Refill 220ml")</f>
        <v/>
      </c>
      <c r="P1235" t="n">
        <v>168</v>
      </c>
      <c r="Q1235" t="n">
        <v>161</v>
      </c>
      <c r="R1235" t="n">
        <v>4.969924812030075</v>
      </c>
      <c r="S1235" t="n">
        <v>0</v>
      </c>
      <c r="T1235" t="n">
        <v>0</v>
      </c>
      <c r="U1235" t="n">
        <v>1</v>
      </c>
      <c r="V1235" t="n">
        <v>6</v>
      </c>
      <c r="W1235" t="n">
        <v>259</v>
      </c>
    </row>
    <row r="1236">
      <c r="A1236" t="inlineStr">
        <is>
          <t>Dove Shampoo Anti Ketombe Dan Gatal Menthol Habbatussauda &amp; Aloe Vera 135Ml</t>
        </is>
      </c>
      <c r="B1236" t="inlineStr"/>
      <c r="C1236" t="inlineStr">
        <is>
          <t>1%</t>
        </is>
      </c>
      <c r="D1236" t="n">
        <v>30700</v>
      </c>
      <c r="E1236" t="n">
        <v>31000</v>
      </c>
      <c r="F1236" t="n">
        <v>30700</v>
      </c>
      <c r="G1236" t="n">
        <v>31000</v>
      </c>
      <c r="H1236" t="n">
        <v>30700</v>
      </c>
      <c r="I1236" t="n">
        <v>31000</v>
      </c>
      <c r="J1236" t="b">
        <v>1</v>
      </c>
      <c r="K1236" t="inlineStr">
        <is>
          <t>Unilever Indonesia Official Shop</t>
        </is>
      </c>
      <c r="L1236" t="inlineStr">
        <is>
          <t>KOTA SEMARANG</t>
        </is>
      </c>
      <c r="M1236" t="n">
        <v>12605478496</v>
      </c>
      <c r="N1236" t="n">
        <v>14318452</v>
      </c>
      <c r="O1236">
        <f>HYPERLINK("https://shopee.co.id/api/v4/item/get?itemid=12605478496&amp;shopid=14318452", "Dove Shampoo Anti Ketombe Dan Gatal Menthol Habbatussauda &amp; Aloe Vera 135Ml")</f>
        <v/>
      </c>
      <c r="P1236" t="n">
        <v>19</v>
      </c>
      <c r="Q1236" t="n">
        <v>30</v>
      </c>
      <c r="R1236" t="n">
        <v>4.931972789115647</v>
      </c>
      <c r="S1236" t="n">
        <v>0</v>
      </c>
      <c r="T1236" t="n">
        <v>0</v>
      </c>
      <c r="U1236" t="n">
        <v>1</v>
      </c>
      <c r="V1236" t="n">
        <v>8</v>
      </c>
      <c r="W1236" t="n">
        <v>138</v>
      </c>
    </row>
    <row r="1237">
      <c r="A1237" t="inlineStr">
        <is>
          <t>Pond's Juice Collection Sheet Mask / Masker Wajah Watermelon Extract 20 gr - 10 Pcs</t>
        </is>
      </c>
      <c r="B1237" t="inlineStr"/>
      <c r="C1237" t="inlineStr">
        <is>
          <t>21%</t>
        </is>
      </c>
      <c r="D1237" t="n">
        <v>168600</v>
      </c>
      <c r="E1237" t="n">
        <v>213600</v>
      </c>
      <c r="F1237" t="n">
        <v>168600</v>
      </c>
      <c r="G1237" t="n">
        <v>213600</v>
      </c>
      <c r="H1237" t="n">
        <v>168600</v>
      </c>
      <c r="I1237" t="n">
        <v>213600</v>
      </c>
      <c r="J1237" t="b">
        <v>1</v>
      </c>
      <c r="K1237" t="inlineStr">
        <is>
          <t>Unilever Indonesia Official Shop</t>
        </is>
      </c>
      <c r="L1237" t="inlineStr">
        <is>
          <t>KOTA BALIKPAPAN</t>
        </is>
      </c>
      <c r="M1237" t="n">
        <v>3457659280</v>
      </c>
      <c r="N1237" t="n">
        <v>14318452</v>
      </c>
      <c r="O1237">
        <f>HYPERLINK("https://shopee.co.id/api/v4/item/get?itemid=3457659280&amp;shopid=14318452", "Pond's Juice Collection Sheet Mask / Masker Wajah Watermelon Extract 20 gr - 10 Pcs")</f>
        <v/>
      </c>
      <c r="P1237" t="n">
        <v>2</v>
      </c>
      <c r="Q1237" t="n">
        <v>20</v>
      </c>
      <c r="R1237" t="n">
        <v>4.977777777777778</v>
      </c>
      <c r="S1237" t="n">
        <v>0</v>
      </c>
      <c r="T1237" t="n">
        <v>0</v>
      </c>
      <c r="U1237" t="n">
        <v>0</v>
      </c>
      <c r="V1237" t="n">
        <v>2</v>
      </c>
      <c r="W1237" t="n">
        <v>88</v>
      </c>
    </row>
    <row r="1238">
      <c r="A1238" t="inlineStr">
        <is>
          <t>Buavita Juice Jus Kemasan Rasa Buah Asli Jeruk 250ml x 24 Pieces (1 Carton)</t>
        </is>
      </c>
      <c r="B1238" t="inlineStr">
        <is>
          <t>0</t>
        </is>
      </c>
      <c r="C1238" t="inlineStr">
        <is>
          <t>15%</t>
        </is>
      </c>
      <c r="D1238" t="n">
        <v>146700</v>
      </c>
      <c r="E1238" t="n">
        <v>173200</v>
      </c>
      <c r="F1238" t="n">
        <v>146700</v>
      </c>
      <c r="G1238" t="n">
        <v>173200</v>
      </c>
      <c r="H1238" t="n">
        <v>146700</v>
      </c>
      <c r="I1238" t="n">
        <v>173200</v>
      </c>
      <c r="J1238" t="b">
        <v>1</v>
      </c>
      <c r="K1238" t="inlineStr">
        <is>
          <t>Unilever Indonesia Official Shop</t>
        </is>
      </c>
      <c r="L1238" t="inlineStr">
        <is>
          <t>KOTA SEMARANG</t>
        </is>
      </c>
      <c r="M1238" t="n">
        <v>4538384838</v>
      </c>
      <c r="N1238" t="n">
        <v>14318452</v>
      </c>
      <c r="O1238">
        <f>HYPERLINK("https://shopee.co.id/api/v4/item/get?itemid=4538384838&amp;shopid=14318452", "Buavita Juice Jus Kemasan Rasa Buah Asli Jeruk 250ml x 24 Pieces (1 Carton)")</f>
        <v/>
      </c>
      <c r="P1238" t="n">
        <v>11</v>
      </c>
      <c r="Q1238" t="n">
        <v>6</v>
      </c>
      <c r="R1238" t="n">
        <v>4.675324675324675</v>
      </c>
      <c r="S1238" t="n">
        <v>4</v>
      </c>
      <c r="T1238" t="n">
        <v>0</v>
      </c>
      <c r="U1238" t="n">
        <v>3</v>
      </c>
      <c r="V1238" t="n">
        <v>3</v>
      </c>
      <c r="W1238" t="n">
        <v>67</v>
      </c>
    </row>
    <row r="1239">
      <c r="A1239" t="inlineStr">
        <is>
          <t>Pond's Juice Cllctn Watermelon Ext&amp;Orange Nectar+Hyaluronic Acid&amp;Aloe Vera Ext+Hyaluronic AcidMixof6</t>
        </is>
      </c>
      <c r="B1239" t="inlineStr"/>
      <c r="C1239" t="inlineStr">
        <is>
          <t>16%</t>
        </is>
      </c>
      <c r="D1239" t="n">
        <v>102600</v>
      </c>
      <c r="E1239" t="n">
        <v>122100</v>
      </c>
      <c r="F1239" t="n">
        <v>102600</v>
      </c>
      <c r="G1239" t="n">
        <v>122100</v>
      </c>
      <c r="H1239" t="n">
        <v>102600</v>
      </c>
      <c r="I1239" t="n">
        <v>122100</v>
      </c>
      <c r="J1239" t="b">
        <v>1</v>
      </c>
      <c r="K1239" t="inlineStr">
        <is>
          <t>Unilever Indonesia Official Shop</t>
        </is>
      </c>
      <c r="L1239" t="inlineStr">
        <is>
          <t>KOTA BALIKPAPAN</t>
        </is>
      </c>
      <c r="M1239" t="n">
        <v>4757543406</v>
      </c>
      <c r="N1239" t="n">
        <v>14318452</v>
      </c>
      <c r="O1239">
        <f>HYPERLINK("https://shopee.co.id/api/v4/item/get?itemid=4757543406&amp;shopid=14318452", "Pond's Juice Cllctn Watermelon Ext&amp;Orange Nectar+Hyaluronic Acid&amp;Aloe Vera Ext+Hyaluronic AcidMixof6")</f>
        <v/>
      </c>
      <c r="P1239" t="n">
        <v>0</v>
      </c>
      <c r="Q1239" t="n">
        <v>19</v>
      </c>
      <c r="R1239" t="n">
        <v>4.921875</v>
      </c>
      <c r="S1239" t="n">
        <v>0</v>
      </c>
      <c r="T1239" t="n">
        <v>0</v>
      </c>
      <c r="U1239" t="n">
        <v>1</v>
      </c>
      <c r="V1239" t="n">
        <v>8</v>
      </c>
      <c r="W1239" t="n">
        <v>119</v>
      </c>
    </row>
    <row r="1240">
      <c r="A1240" t="inlineStr">
        <is>
          <t>Clear Sampo Anti Ketombe Anti Dandruff Ice Cool Menthol 3x Bersih Total! 1200ML</t>
        </is>
      </c>
      <c r="B1240" t="inlineStr"/>
      <c r="C1240" t="inlineStr">
        <is>
          <t>17%</t>
        </is>
      </c>
      <c r="D1240" t="n">
        <v>109400</v>
      </c>
      <c r="E1240" t="n">
        <v>131200</v>
      </c>
      <c r="F1240" t="n">
        <v>109400</v>
      </c>
      <c r="G1240" t="n">
        <v>131200</v>
      </c>
      <c r="H1240" t="n">
        <v>109400</v>
      </c>
      <c r="I1240" t="n">
        <v>131200</v>
      </c>
      <c r="J1240" t="b">
        <v>0</v>
      </c>
      <c r="K1240" t="inlineStr">
        <is>
          <t>Unilever Indonesia Official Shop</t>
        </is>
      </c>
      <c r="L1240" t="inlineStr">
        <is>
          <t>KOTA BEKASI</t>
        </is>
      </c>
      <c r="M1240" t="n">
        <v>15510902780</v>
      </c>
      <c r="N1240" t="n">
        <v>14318452</v>
      </c>
      <c r="O1240">
        <f>HYPERLINK("https://shopee.co.id/api/v4/item/get?itemid=15510902780&amp;shopid=14318452", "Clear Sampo Anti Ketombe Anti Dandruff Ice Cool Menthol 3x Bersih Total! 1200ML")</f>
        <v/>
      </c>
      <c r="P1240" t="n">
        <v>630</v>
      </c>
      <c r="Q1240" t="n">
        <v>780</v>
      </c>
      <c r="R1240" t="n">
        <v>4.906439854191981</v>
      </c>
      <c r="S1240" t="n">
        <v>8</v>
      </c>
      <c r="T1240" t="n">
        <v>4</v>
      </c>
      <c r="U1240" t="n">
        <v>13</v>
      </c>
      <c r="V1240" t="n">
        <v>84</v>
      </c>
      <c r="W1240" t="n">
        <v>1537</v>
      </c>
    </row>
    <row r="1241">
      <c r="A1241" t="inlineStr">
        <is>
          <t>Lifebuoy Sabun Cair Matcha Green Tea Botol 300 ml Twin Pack</t>
        </is>
      </c>
      <c r="B1241" t="inlineStr">
        <is>
          <t>Lifebuoy</t>
        </is>
      </c>
      <c r="C1241" t="inlineStr">
        <is>
          <t>23%</t>
        </is>
      </c>
      <c r="D1241" t="n">
        <v>69600</v>
      </c>
      <c r="E1241" t="n">
        <v>90600</v>
      </c>
      <c r="F1241" t="n">
        <v>69600</v>
      </c>
      <c r="G1241" t="n">
        <v>90600</v>
      </c>
      <c r="H1241" t="n">
        <v>69600</v>
      </c>
      <c r="I1241" t="n">
        <v>90600</v>
      </c>
      <c r="J1241" t="b">
        <v>1</v>
      </c>
      <c r="K1241" t="inlineStr">
        <is>
          <t>Unilever Indonesia Official Shop</t>
        </is>
      </c>
      <c r="L1241" t="inlineStr">
        <is>
          <t>KOTA BEKASI</t>
        </is>
      </c>
      <c r="M1241" t="n">
        <v>9602598529</v>
      </c>
      <c r="N1241" t="n">
        <v>14318452</v>
      </c>
      <c r="O1241">
        <f>HYPERLINK("https://shopee.co.id/api/v4/item/get?itemid=9602598529&amp;shopid=14318452", "Lifebuoy Sabun Cair Matcha Green Tea Botol 300 ml Twin Pack")</f>
        <v/>
      </c>
      <c r="P1241" t="n">
        <v>2</v>
      </c>
      <c r="Q1241" t="n">
        <v>121</v>
      </c>
      <c r="R1241" t="n">
        <v>4.902912621359223</v>
      </c>
      <c r="S1241" t="n">
        <v>1</v>
      </c>
      <c r="T1241" t="n">
        <v>0</v>
      </c>
      <c r="U1241" t="n">
        <v>0</v>
      </c>
      <c r="V1241" t="n">
        <v>6</v>
      </c>
      <c r="W1241" t="n">
        <v>96</v>
      </c>
    </row>
    <row r="1242">
      <c r="A1242" t="inlineStr">
        <is>
          <t>Lifebuoy SHAMPO ANTI KETOMBE ANTI DANDRUFF dgn MilkNutriStrong&amp;Active Zinc 340ML</t>
        </is>
      </c>
      <c r="B1242" t="inlineStr"/>
      <c r="C1242" t="inlineStr">
        <is>
          <t>1%</t>
        </is>
      </c>
      <c r="D1242" t="n">
        <v>43400</v>
      </c>
      <c r="E1242" t="n">
        <v>43800</v>
      </c>
      <c r="F1242" t="n">
        <v>43400</v>
      </c>
      <c r="G1242" t="n">
        <v>43800</v>
      </c>
      <c r="H1242" t="n">
        <v>43400</v>
      </c>
      <c r="I1242" t="n">
        <v>43800</v>
      </c>
      <c r="J1242" t="b">
        <v>0</v>
      </c>
      <c r="K1242" t="inlineStr">
        <is>
          <t>Unilever Indonesia Official Shop</t>
        </is>
      </c>
      <c r="L1242" t="inlineStr">
        <is>
          <t>KOTA BEKASI</t>
        </is>
      </c>
      <c r="M1242" t="n">
        <v>11057247547</v>
      </c>
      <c r="N1242" t="n">
        <v>14318452</v>
      </c>
      <c r="O1242">
        <f>HYPERLINK("https://shopee.co.id/api/v4/item/get?itemid=11057247547&amp;shopid=14318452", "Lifebuoy SHAMPO ANTI KETOMBE ANTI DANDRUFF dgn MilkNutriStrong&amp;Active Zinc 340ML")</f>
        <v/>
      </c>
      <c r="P1242" t="n">
        <v>10</v>
      </c>
      <c r="Q1242" t="n">
        <v>799</v>
      </c>
      <c r="R1242" t="n">
        <v>4.94090909090909</v>
      </c>
      <c r="S1242" t="n">
        <v>0</v>
      </c>
      <c r="T1242" t="n">
        <v>0</v>
      </c>
      <c r="U1242" t="n">
        <v>7</v>
      </c>
      <c r="V1242" t="n">
        <v>25</v>
      </c>
      <c r="W1242" t="n">
        <v>628</v>
      </c>
    </row>
    <row r="1243">
      <c r="A1243" t="inlineStr">
        <is>
          <t>Citra Glow Recipe Juicy Sheet Mask / Masker Wajah Activated Charcoal + Pomegranate 25 gr - 10 Pcs</t>
        </is>
      </c>
      <c r="B1243" t="inlineStr">
        <is>
          <t>0</t>
        </is>
      </c>
      <c r="C1243" t="inlineStr">
        <is>
          <t>1%</t>
        </is>
      </c>
      <c r="D1243" t="n">
        <v>177000</v>
      </c>
      <c r="E1243" t="n">
        <v>178700</v>
      </c>
      <c r="F1243" t="n">
        <v>177000</v>
      </c>
      <c r="G1243" t="n">
        <v>178700</v>
      </c>
      <c r="H1243" t="n">
        <v>177000</v>
      </c>
      <c r="I1243" t="n">
        <v>178700</v>
      </c>
      <c r="J1243" t="b">
        <v>1</v>
      </c>
      <c r="K1243" t="inlineStr">
        <is>
          <t>Unilever Indonesia Official Shop</t>
        </is>
      </c>
      <c r="L1243" t="inlineStr">
        <is>
          <t>KOTA BEKASI</t>
        </is>
      </c>
      <c r="M1243" t="n">
        <v>6857564626</v>
      </c>
      <c r="N1243" t="n">
        <v>14318452</v>
      </c>
      <c r="O1243">
        <f>HYPERLINK("https://shopee.co.id/api/v4/item/get?itemid=6857564626&amp;shopid=14318452", "Citra Glow Recipe Juicy Sheet Mask / Masker Wajah Activated Charcoal + Pomegranate 25 gr - 10 Pcs")</f>
        <v/>
      </c>
      <c r="P1243" t="n">
        <v>4</v>
      </c>
      <c r="Q1243" t="n">
        <v>17</v>
      </c>
      <c r="R1243" t="n">
        <v>4.902255639097745</v>
      </c>
      <c r="S1243" t="n">
        <v>0</v>
      </c>
      <c r="T1243" t="n">
        <v>0</v>
      </c>
      <c r="U1243" t="n">
        <v>1</v>
      </c>
      <c r="V1243" t="n">
        <v>11</v>
      </c>
      <c r="W1243" t="n">
        <v>121</v>
      </c>
    </row>
    <row r="1244">
      <c r="A1244" t="inlineStr">
        <is>
          <t>DOVE MEN +CARE BODY WASH DEEP CLEAN SABUN MANDI 400ml</t>
        </is>
      </c>
      <c r="B1244" t="inlineStr"/>
      <c r="C1244" t="inlineStr">
        <is>
          <t>1%</t>
        </is>
      </c>
      <c r="D1244" t="n">
        <v>71300</v>
      </c>
      <c r="E1244" t="n">
        <v>72000</v>
      </c>
      <c r="F1244" t="n">
        <v>71300</v>
      </c>
      <c r="G1244" t="n">
        <v>72000</v>
      </c>
      <c r="H1244" t="n">
        <v>71300</v>
      </c>
      <c r="I1244" t="n">
        <v>72000</v>
      </c>
      <c r="J1244" t="b">
        <v>1</v>
      </c>
      <c r="K1244" t="inlineStr">
        <is>
          <t>Unilever Indonesia Official Shop</t>
        </is>
      </c>
      <c r="L1244" t="inlineStr">
        <is>
          <t>KOTA BEKASI</t>
        </is>
      </c>
      <c r="M1244" t="n">
        <v>9782606380</v>
      </c>
      <c r="N1244" t="n">
        <v>14318452</v>
      </c>
      <c r="O1244">
        <f>HYPERLINK("https://shopee.co.id/api/v4/item/get?itemid=9782606380&amp;shopid=14318452", "DOVE MEN +CARE BODY WASH DEEP CLEAN SABUN MANDI 400ml")</f>
        <v/>
      </c>
      <c r="P1244" t="n">
        <v>30</v>
      </c>
      <c r="Q1244" t="n">
        <v>27</v>
      </c>
      <c r="R1244" t="n">
        <v>4.956896551724138</v>
      </c>
      <c r="S1244" t="n">
        <v>0</v>
      </c>
      <c r="T1244" t="n">
        <v>0</v>
      </c>
      <c r="U1244" t="n">
        <v>1</v>
      </c>
      <c r="V1244" t="n">
        <v>3</v>
      </c>
      <c r="W1244" t="n">
        <v>112</v>
      </c>
    </row>
    <row r="1245">
      <c r="A1245" t="inlineStr">
        <is>
          <t>PONDS Pure Bright 2in1 Sheet Mask Brighten Skin 25G 5 Pcs</t>
        </is>
      </c>
      <c r="B1245" t="inlineStr">
        <is>
          <t>Pond's</t>
        </is>
      </c>
      <c r="C1245" t="inlineStr">
        <is>
          <t>18%</t>
        </is>
      </c>
      <c r="D1245" t="n">
        <v>102900</v>
      </c>
      <c r="E1245" t="n">
        <v>125000</v>
      </c>
      <c r="F1245" t="n">
        <v>102900</v>
      </c>
      <c r="G1245" t="n">
        <v>125000</v>
      </c>
      <c r="H1245" t="n">
        <v>102900</v>
      </c>
      <c r="I1245" t="n">
        <v>125000</v>
      </c>
      <c r="J1245" t="b">
        <v>1</v>
      </c>
      <c r="K1245" t="inlineStr">
        <is>
          <t>Unilever Indonesia Official Shop</t>
        </is>
      </c>
      <c r="L1245" t="inlineStr">
        <is>
          <t>KAB. BANYUASIN</t>
        </is>
      </c>
      <c r="M1245" t="n">
        <v>6062645413</v>
      </c>
      <c r="N1245" t="n">
        <v>14318452</v>
      </c>
      <c r="O1245">
        <f>HYPERLINK("https://shopee.co.id/api/v4/item/get?itemid=6062645413&amp;shopid=14318452", "PONDS Pure Bright 2in1 Sheet Mask Brighten Skin 25G 5 Pcs")</f>
        <v/>
      </c>
      <c r="P1245" t="n">
        <v>4</v>
      </c>
      <c r="Q1245" t="n">
        <v>11</v>
      </c>
      <c r="R1245" t="n">
        <v>4.771428571428571</v>
      </c>
      <c r="S1245" t="n">
        <v>1</v>
      </c>
      <c r="T1245" t="n">
        <v>1</v>
      </c>
      <c r="U1245" t="n">
        <v>0</v>
      </c>
      <c r="V1245" t="n">
        <v>1</v>
      </c>
      <c r="W1245" t="n">
        <v>32</v>
      </c>
    </row>
    <row r="1246">
      <c r="A1246" t="inlineStr">
        <is>
          <t>Pond's Vitamin Duo Sheet Mask / Masker Wajah Tomat + Vit B6 20 gr - 5 Pcs</t>
        </is>
      </c>
      <c r="B1246" t="inlineStr">
        <is>
          <t>Pond's</t>
        </is>
      </c>
      <c r="C1246" t="inlineStr">
        <is>
          <t>21%</t>
        </is>
      </c>
      <c r="D1246" t="n">
        <v>84000</v>
      </c>
      <c r="E1246" t="n">
        <v>106800</v>
      </c>
      <c r="F1246" t="n">
        <v>84000</v>
      </c>
      <c r="G1246" t="n">
        <v>106800</v>
      </c>
      <c r="H1246" t="n">
        <v>84000</v>
      </c>
      <c r="I1246" t="n">
        <v>106800</v>
      </c>
      <c r="J1246" t="b">
        <v>1</v>
      </c>
      <c r="K1246" t="inlineStr">
        <is>
          <t>Unilever Indonesia Official Shop</t>
        </is>
      </c>
      <c r="L1246" t="inlineStr">
        <is>
          <t>KOTA BEKASI</t>
        </is>
      </c>
      <c r="M1246" t="n">
        <v>3657645701</v>
      </c>
      <c r="N1246" t="n">
        <v>14318452</v>
      </c>
      <c r="O1246">
        <f>HYPERLINK("https://shopee.co.id/api/v4/item/get?itemid=3657645701&amp;shopid=14318452", "Pond's Vitamin Duo Sheet Mask / Masker Wajah Tomat + Vit B6 20 gr - 5 Pcs")</f>
        <v/>
      </c>
      <c r="P1246" t="n">
        <v>1</v>
      </c>
      <c r="Q1246" t="n">
        <v>69</v>
      </c>
      <c r="R1246" t="n">
        <v>4.90625</v>
      </c>
      <c r="S1246" t="n">
        <v>0</v>
      </c>
      <c r="T1246" t="n">
        <v>0</v>
      </c>
      <c r="U1246" t="n">
        <v>0</v>
      </c>
      <c r="V1246" t="n">
        <v>12</v>
      </c>
      <c r="W1246" t="n">
        <v>116</v>
      </c>
    </row>
    <row r="1247">
      <c r="A1247" t="inlineStr">
        <is>
          <t>Pond's Vitamin Duo Sheet Mask / Masker Wajah Coconut Water + Vit B3 - 5 Pcs</t>
        </is>
      </c>
      <c r="B1247" t="inlineStr">
        <is>
          <t>Pond's</t>
        </is>
      </c>
      <c r="C1247" t="inlineStr">
        <is>
          <t>28%</t>
        </is>
      </c>
      <c r="D1247" t="n">
        <v>77200</v>
      </c>
      <c r="E1247" t="n">
        <v>106800</v>
      </c>
      <c r="F1247" t="n">
        <v>77200</v>
      </c>
      <c r="G1247" t="n">
        <v>106800</v>
      </c>
      <c r="H1247" t="n">
        <v>77200</v>
      </c>
      <c r="I1247" t="n">
        <v>106800</v>
      </c>
      <c r="J1247" t="b">
        <v>1</v>
      </c>
      <c r="K1247" t="inlineStr">
        <is>
          <t>Unilever Indonesia Official Shop</t>
        </is>
      </c>
      <c r="L1247" t="inlineStr">
        <is>
          <t>KOTA SURABAYA</t>
        </is>
      </c>
      <c r="M1247" t="n">
        <v>6157543641</v>
      </c>
      <c r="N1247" t="n">
        <v>14318452</v>
      </c>
      <c r="O1247">
        <f>HYPERLINK("https://shopee.co.id/api/v4/item/get?itemid=6157543641&amp;shopid=14318452", "Pond's Vitamin Duo Sheet Mask / Masker Wajah Coconut Water + Vit B3 - 5 Pcs")</f>
        <v/>
      </c>
      <c r="P1247" t="n">
        <v>0</v>
      </c>
      <c r="Q1247" t="n">
        <v>34</v>
      </c>
      <c r="R1247" t="n">
        <v>4.96969696969697</v>
      </c>
      <c r="S1247" t="n">
        <v>0</v>
      </c>
      <c r="T1247" t="n">
        <v>0</v>
      </c>
      <c r="U1247" t="n">
        <v>0</v>
      </c>
      <c r="V1247" t="n">
        <v>2</v>
      </c>
      <c r="W1247" t="n">
        <v>64</v>
      </c>
    </row>
    <row r="1248">
      <c r="A1248" t="inlineStr">
        <is>
          <t>Citra Glow Recipe Sheet Mask / Masker Wajah Sakura + Aloe Vera 25 gr - 10 Pcs</t>
        </is>
      </c>
      <c r="B1248" t="inlineStr">
        <is>
          <t>0</t>
        </is>
      </c>
      <c r="C1248" t="inlineStr">
        <is>
          <t>1%</t>
        </is>
      </c>
      <c r="D1248" t="n">
        <v>177000</v>
      </c>
      <c r="E1248" t="n">
        <v>178700</v>
      </c>
      <c r="F1248" t="n">
        <v>177000</v>
      </c>
      <c r="G1248" t="n">
        <v>178700</v>
      </c>
      <c r="H1248" t="n">
        <v>177000</v>
      </c>
      <c r="I1248" t="n">
        <v>178700</v>
      </c>
      <c r="J1248" t="b">
        <v>1</v>
      </c>
      <c r="K1248" t="inlineStr">
        <is>
          <t>Unilever Indonesia Official Shop</t>
        </is>
      </c>
      <c r="L1248" t="inlineStr">
        <is>
          <t>KOTA SURABAYA</t>
        </is>
      </c>
      <c r="M1248" t="n">
        <v>6157562619</v>
      </c>
      <c r="N1248" t="n">
        <v>14318452</v>
      </c>
      <c r="O1248">
        <f>HYPERLINK("https://shopee.co.id/api/v4/item/get?itemid=6157562619&amp;shopid=14318452", "Citra Glow Recipe Sheet Mask / Masker Wajah Sakura + Aloe Vera 25 gr - 10 Pcs")</f>
        <v/>
      </c>
      <c r="P1248" t="n">
        <v>1</v>
      </c>
      <c r="Q1248" t="n">
        <v>40</v>
      </c>
      <c r="R1248" t="n">
        <v>4.895522388059701</v>
      </c>
      <c r="S1248" t="n">
        <v>0</v>
      </c>
      <c r="T1248" t="n">
        <v>0</v>
      </c>
      <c r="U1248" t="n">
        <v>0</v>
      </c>
      <c r="V1248" t="n">
        <v>14</v>
      </c>
      <c r="W1248" t="n">
        <v>120</v>
      </c>
    </row>
    <row r="1249">
      <c r="A1249" t="inlineStr">
        <is>
          <t>Pond's Vitamin Duo Sheet Mask / Masker Wajah Tomat + Vit B6 20 gr - 10 Pcs</t>
        </is>
      </c>
      <c r="B1249" t="inlineStr">
        <is>
          <t>Pond's</t>
        </is>
      </c>
      <c r="C1249" t="inlineStr">
        <is>
          <t>30%</t>
        </is>
      </c>
      <c r="D1249" t="n">
        <v>148800</v>
      </c>
      <c r="E1249" t="n">
        <v>213600</v>
      </c>
      <c r="F1249" t="n">
        <v>148800</v>
      </c>
      <c r="G1249" t="n">
        <v>213600</v>
      </c>
      <c r="H1249" t="n">
        <v>148800</v>
      </c>
      <c r="I1249" t="n">
        <v>213600</v>
      </c>
      <c r="J1249" t="b">
        <v>1</v>
      </c>
      <c r="K1249" t="inlineStr">
        <is>
          <t>Unilever Indonesia Official Shop</t>
        </is>
      </c>
      <c r="L1249" t="inlineStr">
        <is>
          <t>KOTA BEKASI</t>
        </is>
      </c>
      <c r="M1249" t="n">
        <v>7857544490</v>
      </c>
      <c r="N1249" t="n">
        <v>14318452</v>
      </c>
      <c r="O1249">
        <f>HYPERLINK("https://shopee.co.id/api/v4/item/get?itemid=7857544490&amp;shopid=14318452", "Pond's Vitamin Duo Sheet Mask / Masker Wajah Tomat + Vit B6 20 gr - 10 Pcs")</f>
        <v/>
      </c>
      <c r="P1249" t="n">
        <v>1</v>
      </c>
      <c r="Q1249" t="n">
        <v>34</v>
      </c>
      <c r="R1249" t="n">
        <v>4.964285714285714</v>
      </c>
      <c r="S1249" t="n">
        <v>0</v>
      </c>
      <c r="T1249" t="n">
        <v>0</v>
      </c>
      <c r="U1249" t="n">
        <v>0</v>
      </c>
      <c r="V1249" t="n">
        <v>3</v>
      </c>
      <c r="W1249" t="n">
        <v>81</v>
      </c>
    </row>
    <row r="1250">
      <c r="A1250" t="inlineStr">
        <is>
          <t>Pond's Juice Collection Sheet Mask / Masker Wajah Orange Nectar + Hyaluronic Acid 20 gr - 10 Pcs</t>
        </is>
      </c>
      <c r="B1250" t="inlineStr">
        <is>
          <t>None</t>
        </is>
      </c>
      <c r="C1250" t="inlineStr">
        <is>
          <t>20%</t>
        </is>
      </c>
      <c r="D1250" t="n">
        <v>144500</v>
      </c>
      <c r="E1250" t="n">
        <v>181300</v>
      </c>
      <c r="F1250" t="n">
        <v>144500</v>
      </c>
      <c r="G1250" t="n">
        <v>181300</v>
      </c>
      <c r="H1250" t="n">
        <v>144500</v>
      </c>
      <c r="I1250" t="n">
        <v>181300</v>
      </c>
      <c r="J1250" t="b">
        <v>1</v>
      </c>
      <c r="K1250" t="inlineStr">
        <is>
          <t>Unilever Indonesia Official Shop</t>
        </is>
      </c>
      <c r="L1250" t="inlineStr">
        <is>
          <t>KOTA SEMARANG</t>
        </is>
      </c>
      <c r="M1250" t="n">
        <v>7257560978</v>
      </c>
      <c r="N1250" t="n">
        <v>14318452</v>
      </c>
      <c r="O1250">
        <f>HYPERLINK("https://shopee.co.id/api/v4/item/get?itemid=7257560978&amp;shopid=14318452", "Pond's Juice Collection Sheet Mask / Masker Wajah Orange Nectar + Hyaluronic Acid 20 gr - 10 Pcs")</f>
        <v/>
      </c>
      <c r="P1250" t="n">
        <v>2</v>
      </c>
      <c r="Q1250" t="n">
        <v>44</v>
      </c>
      <c r="R1250" t="n">
        <v>4.986666666666666</v>
      </c>
      <c r="S1250" t="n">
        <v>0</v>
      </c>
      <c r="T1250" t="n">
        <v>0</v>
      </c>
      <c r="U1250" t="n">
        <v>0</v>
      </c>
      <c r="V1250" t="n">
        <v>1</v>
      </c>
      <c r="W1250" t="n">
        <v>74</v>
      </c>
    </row>
    <row r="1251">
      <c r="A1251" t="inlineStr">
        <is>
          <t>Pond's Vitamin Duo Sheet Mask / Masker Wajah Coconut Water + Vit B3 - 10 Pcs</t>
        </is>
      </c>
      <c r="B1251" t="inlineStr">
        <is>
          <t>Pond's</t>
        </is>
      </c>
      <c r="C1251" t="inlineStr">
        <is>
          <t>16%</t>
        </is>
      </c>
      <c r="D1251" t="n">
        <v>178400</v>
      </c>
      <c r="E1251" t="n">
        <v>213600</v>
      </c>
      <c r="F1251" t="n">
        <v>178400</v>
      </c>
      <c r="G1251" t="n">
        <v>213600</v>
      </c>
      <c r="H1251" t="n">
        <v>178400</v>
      </c>
      <c r="I1251" t="n">
        <v>213600</v>
      </c>
      <c r="J1251" t="b">
        <v>1</v>
      </c>
      <c r="K1251" t="inlineStr">
        <is>
          <t>Unilever Indonesia Official Shop</t>
        </is>
      </c>
      <c r="L1251" t="inlineStr">
        <is>
          <t>KOTA SURABAYA</t>
        </is>
      </c>
      <c r="M1251" t="n">
        <v>7057541748</v>
      </c>
      <c r="N1251" t="n">
        <v>14318452</v>
      </c>
      <c r="O1251">
        <f>HYPERLINK("https://shopee.co.id/api/v4/item/get?itemid=7057541748&amp;shopid=14318452", "Pond's Vitamin Duo Sheet Mask / Masker Wajah Coconut Water + Vit B3 - 10 Pcs")</f>
        <v/>
      </c>
      <c r="P1251" t="n">
        <v>0</v>
      </c>
      <c r="Q1251" t="n">
        <v>17</v>
      </c>
      <c r="R1251" t="n">
        <v>4.970149253731344</v>
      </c>
      <c r="S1251" t="n">
        <v>0</v>
      </c>
      <c r="T1251" t="n">
        <v>0</v>
      </c>
      <c r="U1251" t="n">
        <v>0</v>
      </c>
      <c r="V1251" t="n">
        <v>2</v>
      </c>
      <c r="W1251" t="n">
        <v>65</v>
      </c>
    </row>
    <row r="1252">
      <c r="A1252" t="inlineStr">
        <is>
          <t>St Ives Revitalizing Revitalizing Acai - 2 Pcs</t>
        </is>
      </c>
      <c r="B1252" t="inlineStr">
        <is>
          <t>None</t>
        </is>
      </c>
      <c r="C1252" t="inlineStr">
        <is>
          <t>24%</t>
        </is>
      </c>
      <c r="D1252" t="n">
        <v>52000</v>
      </c>
      <c r="E1252" t="n">
        <v>68600</v>
      </c>
      <c r="F1252" t="n">
        <v>52000</v>
      </c>
      <c r="G1252" t="n">
        <v>68600</v>
      </c>
      <c r="H1252" t="n">
        <v>52000</v>
      </c>
      <c r="I1252" t="n">
        <v>68600</v>
      </c>
      <c r="J1252" t="b">
        <v>1</v>
      </c>
      <c r="K1252" t="inlineStr">
        <is>
          <t>Unilever Indonesia Official Shop</t>
        </is>
      </c>
      <c r="L1252" t="inlineStr">
        <is>
          <t>KOTA BEKASI</t>
        </is>
      </c>
      <c r="M1252" t="n">
        <v>8230741624</v>
      </c>
      <c r="N1252" t="n">
        <v>14318452</v>
      </c>
      <c r="O1252">
        <f>HYPERLINK("https://shopee.co.id/api/v4/item/get?itemid=8230741624&amp;shopid=14318452", "St Ives Revitalizing Revitalizing Acai - 2 Pcs")</f>
        <v/>
      </c>
      <c r="P1252" t="n">
        <v>1</v>
      </c>
      <c r="Q1252" t="n">
        <v>8</v>
      </c>
      <c r="R1252" t="n">
        <v>4.826086956521739</v>
      </c>
      <c r="S1252" t="n">
        <v>0</v>
      </c>
      <c r="T1252" t="n">
        <v>0</v>
      </c>
      <c r="U1252" t="n">
        <v>1</v>
      </c>
      <c r="V1252" t="n">
        <v>2</v>
      </c>
      <c r="W1252" t="n">
        <v>20</v>
      </c>
    </row>
    <row r="1253">
      <c r="A1253" t="inlineStr">
        <is>
          <t>Vaseline Lip Balm Pelembab &amp; Pencerah Bibir Original 10 G - Lip Care Twinpack</t>
        </is>
      </c>
      <c r="B1253" t="inlineStr"/>
      <c r="C1253" t="inlineStr">
        <is>
          <t>13%</t>
        </is>
      </c>
      <c r="D1253" t="n">
        <v>52000</v>
      </c>
      <c r="E1253" t="n">
        <v>59900</v>
      </c>
      <c r="F1253" t="n">
        <v>52000</v>
      </c>
      <c r="G1253" t="n">
        <v>59900</v>
      </c>
      <c r="H1253" t="n">
        <v>52000</v>
      </c>
      <c r="I1253" t="n">
        <v>59900</v>
      </c>
      <c r="J1253" t="b">
        <v>0</v>
      </c>
      <c r="K1253" t="inlineStr">
        <is>
          <t>Unilever Indonesia Official Shop</t>
        </is>
      </c>
      <c r="L1253" t="inlineStr">
        <is>
          <t>KOTA BEKASI</t>
        </is>
      </c>
      <c r="M1253" t="n">
        <v>15403890338</v>
      </c>
      <c r="N1253" t="n">
        <v>14318452</v>
      </c>
      <c r="O1253">
        <f>HYPERLINK("https://shopee.co.id/api/v4/item/get?itemid=15403890338&amp;shopid=14318452", "Vaseline Lip Balm Pelembab &amp; Pencerah Bibir Original 10 G - Lip Care Twinpack")</f>
        <v/>
      </c>
      <c r="P1253" t="n">
        <v>46</v>
      </c>
      <c r="Q1253" t="n">
        <v>313</v>
      </c>
      <c r="R1253" t="n">
        <v>4.926666666666667</v>
      </c>
      <c r="S1253" t="n">
        <v>0</v>
      </c>
      <c r="T1253" t="n">
        <v>0</v>
      </c>
      <c r="U1253" t="n">
        <v>2</v>
      </c>
      <c r="V1253" t="n">
        <v>7</v>
      </c>
      <c r="W1253" t="n">
        <v>141</v>
      </c>
    </row>
    <row r="1254">
      <c r="A1254" t="inlineStr">
        <is>
          <t>Lifebuoy Sabun Mandi Cair Mild Care Botol 300ml Twin Pack</t>
        </is>
      </c>
      <c r="B1254" t="inlineStr">
        <is>
          <t>0</t>
        </is>
      </c>
      <c r="C1254" t="inlineStr">
        <is>
          <t>16%</t>
        </is>
      </c>
      <c r="D1254" t="n">
        <v>71000</v>
      </c>
      <c r="E1254" t="n">
        <v>84600</v>
      </c>
      <c r="F1254" t="n">
        <v>71000</v>
      </c>
      <c r="G1254" t="n">
        <v>84600</v>
      </c>
      <c r="H1254" t="n">
        <v>71000</v>
      </c>
      <c r="I1254" t="n">
        <v>84600</v>
      </c>
      <c r="J1254" t="b">
        <v>1</v>
      </c>
      <c r="K1254" t="inlineStr">
        <is>
          <t>Unilever Indonesia Official Shop</t>
        </is>
      </c>
      <c r="L1254" t="inlineStr">
        <is>
          <t>KOTA BEKASI</t>
        </is>
      </c>
      <c r="M1254" t="n">
        <v>3231503070</v>
      </c>
      <c r="N1254" t="n">
        <v>14318452</v>
      </c>
      <c r="O1254">
        <f>HYPERLINK("https://shopee.co.id/api/v4/item/get?itemid=3231503070&amp;shopid=14318452", "Lifebuoy Sabun Mandi Cair Mild Care Botol 300ml Twin Pack")</f>
        <v/>
      </c>
      <c r="P1254" t="n">
        <v>3</v>
      </c>
      <c r="Q1254" t="n">
        <v>120</v>
      </c>
      <c r="R1254" t="n">
        <v>4.949367088607595</v>
      </c>
      <c r="S1254" t="n">
        <v>0</v>
      </c>
      <c r="T1254" t="n">
        <v>0</v>
      </c>
      <c r="U1254" t="n">
        <v>1</v>
      </c>
      <c r="V1254" t="n">
        <v>2</v>
      </c>
      <c r="W1254" t="n">
        <v>76</v>
      </c>
    </row>
    <row r="1255">
      <c r="A1255" t="inlineStr">
        <is>
          <t>Pond's Juice Collection Sheet Mask / Masker Wajah Aloe Vera Extract + Hyaluronic Acid 20 gr - 5 Pcs</t>
        </is>
      </c>
      <c r="B1255" t="inlineStr">
        <is>
          <t>None</t>
        </is>
      </c>
      <c r="C1255" t="inlineStr">
        <is>
          <t>17%</t>
        </is>
      </c>
      <c r="D1255" t="n">
        <v>89000</v>
      </c>
      <c r="E1255" t="n">
        <v>107800</v>
      </c>
      <c r="F1255" t="n">
        <v>89000</v>
      </c>
      <c r="G1255" t="n">
        <v>107800</v>
      </c>
      <c r="H1255" t="n">
        <v>89000</v>
      </c>
      <c r="I1255" t="n">
        <v>107800</v>
      </c>
      <c r="J1255" t="b">
        <v>1</v>
      </c>
      <c r="K1255" t="inlineStr">
        <is>
          <t>Unilever Indonesia Official Shop</t>
        </is>
      </c>
      <c r="L1255" t="inlineStr">
        <is>
          <t>KOTA SURABAYA</t>
        </is>
      </c>
      <c r="M1255" t="n">
        <v>6357557365</v>
      </c>
      <c r="N1255" t="n">
        <v>14318452</v>
      </c>
      <c r="O1255">
        <f>HYPERLINK("https://shopee.co.id/api/v4/item/get?itemid=6357557365&amp;shopid=14318452", "Pond's Juice Collection Sheet Mask / Masker Wajah Aloe Vera Extract + Hyaluronic Acid 20 gr - 5 Pcs")</f>
        <v/>
      </c>
      <c r="P1255" t="n">
        <v>1</v>
      </c>
      <c r="Q1255" t="n">
        <v>45</v>
      </c>
      <c r="R1255" t="n">
        <v>4.923076923076923</v>
      </c>
      <c r="S1255" t="n">
        <v>0</v>
      </c>
      <c r="T1255" t="n">
        <v>0</v>
      </c>
      <c r="U1255" t="n">
        <v>1</v>
      </c>
      <c r="V1255" t="n">
        <v>4</v>
      </c>
      <c r="W1255" t="n">
        <v>73</v>
      </c>
    </row>
    <row r="1256">
      <c r="A1256" t="inlineStr">
        <is>
          <t>St. Ives Face Scrub Energizing Coffee &amp; Sheet Mask Apricot</t>
        </is>
      </c>
      <c r="B1256" t="inlineStr">
        <is>
          <t>0</t>
        </is>
      </c>
      <c r="C1256" t="inlineStr">
        <is>
          <t>5%</t>
        </is>
      </c>
      <c r="D1256" t="n">
        <v>101400</v>
      </c>
      <c r="E1256" t="n">
        <v>106800</v>
      </c>
      <c r="F1256" t="n">
        <v>101400</v>
      </c>
      <c r="G1256" t="n">
        <v>106800</v>
      </c>
      <c r="H1256" t="n">
        <v>101400</v>
      </c>
      <c r="I1256" t="n">
        <v>106800</v>
      </c>
      <c r="J1256" t="b">
        <v>1</v>
      </c>
      <c r="K1256" t="inlineStr">
        <is>
          <t>Unilever Indonesia Official Shop</t>
        </is>
      </c>
      <c r="L1256" t="inlineStr">
        <is>
          <t>KOTA SEMARANG</t>
        </is>
      </c>
      <c r="M1256" t="n">
        <v>7645462697</v>
      </c>
      <c r="N1256" t="n">
        <v>14318452</v>
      </c>
      <c r="O1256">
        <f>HYPERLINK("https://shopee.co.id/api/v4/item/get?itemid=7645462697&amp;shopid=14318452", "St. Ives Face Scrub Energizing Coffee &amp; Sheet Mask Apricot")</f>
        <v/>
      </c>
      <c r="P1256" t="n">
        <v>0</v>
      </c>
      <c r="Q1256" t="n">
        <v>29</v>
      </c>
      <c r="R1256" t="n">
        <v>4.82089552238806</v>
      </c>
      <c r="S1256" t="n">
        <v>2</v>
      </c>
      <c r="T1256" t="n">
        <v>0</v>
      </c>
      <c r="U1256" t="n">
        <v>1</v>
      </c>
      <c r="V1256" t="n">
        <v>2</v>
      </c>
      <c r="W1256" t="n">
        <v>62</v>
      </c>
    </row>
    <row r="1257">
      <c r="A1257" t="inlineStr">
        <is>
          <t>St. Ives Face Scrub Pink Lemon &amp; Sheet Mask Apricot</t>
        </is>
      </c>
      <c r="B1257" t="inlineStr">
        <is>
          <t>St.Ives</t>
        </is>
      </c>
      <c r="C1257" t="inlineStr">
        <is>
          <t>22%</t>
        </is>
      </c>
      <c r="D1257" t="n">
        <v>83100</v>
      </c>
      <c r="E1257" t="n">
        <v>106800</v>
      </c>
      <c r="F1257" t="n">
        <v>83100</v>
      </c>
      <c r="G1257" t="n">
        <v>106800</v>
      </c>
      <c r="H1257" t="n">
        <v>83100</v>
      </c>
      <c r="I1257" t="n">
        <v>106800</v>
      </c>
      <c r="J1257" t="b">
        <v>1</v>
      </c>
      <c r="K1257" t="inlineStr">
        <is>
          <t>Unilever Indonesia Official Shop</t>
        </is>
      </c>
      <c r="L1257" t="inlineStr">
        <is>
          <t>KOTA SEMARANG</t>
        </is>
      </c>
      <c r="M1257" t="n">
        <v>3345566481</v>
      </c>
      <c r="N1257" t="n">
        <v>14318452</v>
      </c>
      <c r="O1257">
        <f>HYPERLINK("https://shopee.co.id/api/v4/item/get?itemid=3345566481&amp;shopid=14318452", "St. Ives Face Scrub Pink Lemon &amp; Sheet Mask Apricot")</f>
        <v/>
      </c>
      <c r="P1257" t="n">
        <v>0</v>
      </c>
      <c r="Q1257" t="n">
        <v>35</v>
      </c>
      <c r="R1257" t="n">
        <v>4.803738317757009</v>
      </c>
      <c r="S1257" t="n">
        <v>1</v>
      </c>
      <c r="T1257" t="n">
        <v>2</v>
      </c>
      <c r="U1257" t="n">
        <v>1</v>
      </c>
      <c r="V1257" t="n">
        <v>9</v>
      </c>
      <c r="W1257" t="n">
        <v>94</v>
      </c>
    </row>
    <row r="1258">
      <c r="A1258" t="inlineStr">
        <is>
          <t>Paket Lux Botanicals Antibacterial Hand Wash Gardenia &amp; Honey</t>
        </is>
      </c>
      <c r="B1258" t="inlineStr"/>
      <c r="C1258" t="inlineStr">
        <is>
          <t>1%</t>
        </is>
      </c>
      <c r="D1258" t="n">
        <v>51000</v>
      </c>
      <c r="E1258" t="n">
        <v>51500</v>
      </c>
      <c r="F1258" t="n">
        <v>51000</v>
      </c>
      <c r="G1258" t="n">
        <v>51500</v>
      </c>
      <c r="H1258" t="n">
        <v>51000</v>
      </c>
      <c r="I1258" t="n">
        <v>51500</v>
      </c>
      <c r="J1258" t="b">
        <v>0</v>
      </c>
      <c r="K1258" t="inlineStr">
        <is>
          <t>Unilever Indonesia Official Shop</t>
        </is>
      </c>
      <c r="L1258" t="inlineStr">
        <is>
          <t>KAB. BANYUASIN</t>
        </is>
      </c>
      <c r="M1258" t="n">
        <v>11264623319</v>
      </c>
      <c r="N1258" t="n">
        <v>14318452</v>
      </c>
      <c r="O1258">
        <f>HYPERLINK("https://shopee.co.id/api/v4/item/get?itemid=11264623319&amp;shopid=14318452", "Paket Lux Botanicals Antibacterial Hand Wash Gardenia &amp; Honey")</f>
        <v/>
      </c>
      <c r="P1258" t="n">
        <v>2</v>
      </c>
      <c r="Q1258" t="n">
        <v>18</v>
      </c>
      <c r="R1258" t="n">
        <v>4.882352941176471</v>
      </c>
      <c r="S1258" t="n">
        <v>0</v>
      </c>
      <c r="T1258" t="n">
        <v>0</v>
      </c>
      <c r="U1258" t="n">
        <v>0</v>
      </c>
      <c r="V1258" t="n">
        <v>4</v>
      </c>
      <c r="W1258" t="n">
        <v>30</v>
      </c>
    </row>
    <row r="1259">
      <c r="A1259" t="inlineStr">
        <is>
          <t>POND'S VITAMIN DUO SHEET MASK AVOCADO + VIT E 20G &amp; COCONUT WATER + VIT B3</t>
        </is>
      </c>
      <c r="B1259" t="inlineStr">
        <is>
          <t>Pond's</t>
        </is>
      </c>
      <c r="C1259" t="inlineStr">
        <is>
          <t>30%</t>
        </is>
      </c>
      <c r="D1259" t="n">
        <v>28800</v>
      </c>
      <c r="E1259" t="n">
        <v>41300</v>
      </c>
      <c r="F1259" t="n">
        <v>28800</v>
      </c>
      <c r="G1259" t="n">
        <v>41300</v>
      </c>
      <c r="H1259" t="n">
        <v>28800</v>
      </c>
      <c r="I1259" t="n">
        <v>41300</v>
      </c>
      <c r="J1259" t="b">
        <v>1</v>
      </c>
      <c r="K1259" t="inlineStr">
        <is>
          <t>Unilever Indonesia Official Shop</t>
        </is>
      </c>
      <c r="L1259" t="inlineStr">
        <is>
          <t>KOTA SURABAYA</t>
        </is>
      </c>
      <c r="M1259" t="n">
        <v>5762125476</v>
      </c>
      <c r="N1259" t="n">
        <v>14318452</v>
      </c>
      <c r="O1259">
        <f>HYPERLINK("https://shopee.co.id/api/v4/item/get?itemid=5762125476&amp;shopid=14318452", "POND'S VITAMIN DUO SHEET MASK AVOCADO + VIT E 20G &amp; COCONUT WATER + VIT B3")</f>
        <v/>
      </c>
      <c r="P1259" t="n">
        <v>1</v>
      </c>
      <c r="Q1259" t="n">
        <v>148</v>
      </c>
      <c r="R1259" t="n">
        <v>4.902777777777778</v>
      </c>
      <c r="S1259" t="n">
        <v>0</v>
      </c>
      <c r="T1259" t="n">
        <v>0</v>
      </c>
      <c r="U1259" t="n">
        <v>0</v>
      </c>
      <c r="V1259" t="n">
        <v>7</v>
      </c>
      <c r="W1259" t="n">
        <v>65</v>
      </c>
    </row>
    <row r="1260">
      <c r="A1260" t="inlineStr">
        <is>
          <t>Pond's Juice Collection Sheet Mask / Masker Wajah Aloe Vera Extract + Hyaluronic Acid 20 gr - 10 Pcs</t>
        </is>
      </c>
      <c r="B1260" t="inlineStr">
        <is>
          <t>None</t>
        </is>
      </c>
      <c r="C1260" t="inlineStr">
        <is>
          <t>25%</t>
        </is>
      </c>
      <c r="D1260" t="n">
        <v>161500</v>
      </c>
      <c r="E1260" t="n">
        <v>215500</v>
      </c>
      <c r="F1260" t="n">
        <v>161500</v>
      </c>
      <c r="G1260" t="n">
        <v>215500</v>
      </c>
      <c r="H1260" t="n">
        <v>161500</v>
      </c>
      <c r="I1260" t="n">
        <v>215500</v>
      </c>
      <c r="J1260" t="b">
        <v>1</v>
      </c>
      <c r="K1260" t="inlineStr">
        <is>
          <t>Unilever Indonesia Official Shop</t>
        </is>
      </c>
      <c r="L1260" t="inlineStr">
        <is>
          <t>KOTA SURABAYA</t>
        </is>
      </c>
      <c r="M1260" t="n">
        <v>4357562576</v>
      </c>
      <c r="N1260" t="n">
        <v>14318452</v>
      </c>
      <c r="O1260">
        <f>HYPERLINK("https://shopee.co.id/api/v4/item/get?itemid=4357562576&amp;shopid=14318452", "Pond's Juice Collection Sheet Mask / Masker Wajah Aloe Vera Extract + Hyaluronic Acid 20 gr - 10 Pcs")</f>
        <v/>
      </c>
      <c r="P1260" t="n">
        <v>0</v>
      </c>
      <c r="Q1260" t="n">
        <v>22</v>
      </c>
      <c r="R1260" t="n">
        <v>4.958333333333333</v>
      </c>
      <c r="S1260" t="n">
        <v>0</v>
      </c>
      <c r="T1260" t="n">
        <v>0</v>
      </c>
      <c r="U1260" t="n">
        <v>0</v>
      </c>
      <c r="V1260" t="n">
        <v>2</v>
      </c>
      <c r="W1260" t="n">
        <v>46</v>
      </c>
    </row>
    <row r="1261">
      <c r="A1261" t="inlineStr">
        <is>
          <t>Citra Krim Wajah Pearly Glow UV 40G</t>
        </is>
      </c>
      <c r="B1261" t="inlineStr">
        <is>
          <t>Citra</t>
        </is>
      </c>
      <c r="C1261" t="inlineStr">
        <is>
          <t>1%</t>
        </is>
      </c>
      <c r="D1261" t="n">
        <v>44400</v>
      </c>
      <c r="E1261" t="n">
        <v>44800</v>
      </c>
      <c r="F1261" t="n">
        <v>44400</v>
      </c>
      <c r="G1261" t="n">
        <v>44800</v>
      </c>
      <c r="H1261" t="n">
        <v>44400</v>
      </c>
      <c r="I1261" t="n">
        <v>44800</v>
      </c>
      <c r="J1261" t="b">
        <v>1</v>
      </c>
      <c r="K1261" t="inlineStr">
        <is>
          <t>Unilever Indonesia Official Shop</t>
        </is>
      </c>
      <c r="L1261" t="inlineStr">
        <is>
          <t>KOTA BEKASI</t>
        </is>
      </c>
      <c r="M1261" t="n">
        <v>4260835986</v>
      </c>
      <c r="N1261" t="n">
        <v>14318452</v>
      </c>
      <c r="O1261">
        <f>HYPERLINK("https://shopee.co.id/api/v4/item/get?itemid=4260835986&amp;shopid=14318452", "Citra Krim Wajah Pearly Glow UV 40G")</f>
        <v/>
      </c>
      <c r="P1261" t="n">
        <v>72</v>
      </c>
      <c r="Q1261" t="n">
        <v>756</v>
      </c>
      <c r="R1261" t="n">
        <v>4.837398373983739</v>
      </c>
      <c r="S1261" t="n">
        <v>2</v>
      </c>
      <c r="T1261" t="n">
        <v>1</v>
      </c>
      <c r="U1261" t="n">
        <v>3</v>
      </c>
      <c r="V1261" t="n">
        <v>27</v>
      </c>
      <c r="W1261" t="n">
        <v>214</v>
      </c>
    </row>
    <row r="1262">
      <c r="A1262" t="inlineStr">
        <is>
          <t>St Ives Hydrating Vit E Avocado Lotion 621 ml</t>
        </is>
      </c>
      <c r="B1262" t="inlineStr"/>
      <c r="C1262" t="inlineStr">
        <is>
          <t>20%</t>
        </is>
      </c>
      <c r="D1262" t="n">
        <v>87100</v>
      </c>
      <c r="E1262" t="n">
        <v>108500</v>
      </c>
      <c r="F1262" t="n">
        <v>87100</v>
      </c>
      <c r="G1262" t="n">
        <v>108500</v>
      </c>
      <c r="H1262" t="n">
        <v>87100</v>
      </c>
      <c r="I1262" t="n">
        <v>108500</v>
      </c>
      <c r="J1262" t="b">
        <v>0</v>
      </c>
      <c r="K1262" t="inlineStr">
        <is>
          <t>Unilever Indonesia Official Shop</t>
        </is>
      </c>
      <c r="L1262" t="inlineStr">
        <is>
          <t>KOTA BEKASI</t>
        </is>
      </c>
      <c r="M1262" t="n">
        <v>10974255936</v>
      </c>
      <c r="N1262" t="n">
        <v>14318452</v>
      </c>
      <c r="O1262">
        <f>HYPERLINK("https://shopee.co.id/api/v4/item/get?itemid=10974255936&amp;shopid=14318452", "St Ives Hydrating Vit E Avocado Lotion 621 ml")</f>
        <v/>
      </c>
      <c r="P1262" t="n">
        <v>14</v>
      </c>
      <c r="Q1262" t="n">
        <v>18</v>
      </c>
      <c r="R1262" t="n">
        <v>4.82051282051282</v>
      </c>
      <c r="S1262" t="n">
        <v>1</v>
      </c>
      <c r="T1262" t="n">
        <v>1</v>
      </c>
      <c r="U1262" t="n">
        <v>5</v>
      </c>
      <c r="V1262" t="n">
        <v>4</v>
      </c>
      <c r="W1262" t="n">
        <v>106</v>
      </c>
    </row>
    <row r="1263">
      <c r="A1263" t="inlineStr">
        <is>
          <t>Dove Advanced Care Ultimate Repair Deodorant 40 ml - Multi Pack</t>
        </is>
      </c>
      <c r="B1263" t="inlineStr">
        <is>
          <t>Dove</t>
        </is>
      </c>
      <c r="C1263" t="inlineStr">
        <is>
          <t>23%</t>
        </is>
      </c>
      <c r="D1263" t="n">
        <v>54700</v>
      </c>
      <c r="E1263" t="n">
        <v>71000</v>
      </c>
      <c r="F1263" t="n">
        <v>54700</v>
      </c>
      <c r="G1263" t="n">
        <v>71000</v>
      </c>
      <c r="H1263" t="n">
        <v>54700</v>
      </c>
      <c r="I1263" t="n">
        <v>71000</v>
      </c>
      <c r="J1263" t="b">
        <v>0</v>
      </c>
      <c r="K1263" t="inlineStr">
        <is>
          <t>Unilever Indonesia Official Shop</t>
        </is>
      </c>
      <c r="L1263" t="inlineStr">
        <is>
          <t>KOTA BEKASI</t>
        </is>
      </c>
      <c r="M1263" t="n">
        <v>4131062888</v>
      </c>
      <c r="N1263" t="n">
        <v>14318452</v>
      </c>
      <c r="O1263">
        <f>HYPERLINK("https://shopee.co.id/api/v4/item/get?itemid=4131062888&amp;shopid=14318452", "Dove Advanced Care Ultimate Repair Deodorant 40 ml - Multi Pack")</f>
        <v/>
      </c>
      <c r="P1263" t="n">
        <v>42</v>
      </c>
      <c r="Q1263" t="n">
        <v>256</v>
      </c>
      <c r="R1263" t="n">
        <v>4.867924528301887</v>
      </c>
      <c r="S1263" t="n">
        <v>2</v>
      </c>
      <c r="T1263" t="n">
        <v>1</v>
      </c>
      <c r="U1263" t="n">
        <v>6</v>
      </c>
      <c r="V1263" t="n">
        <v>19</v>
      </c>
      <c r="W1263" t="n">
        <v>290</v>
      </c>
    </row>
    <row r="1264">
      <c r="A1264" t="inlineStr">
        <is>
          <t>Clear Shampo Anti Ketombe Complete Soft Care Bersih total dengan Vitamin 660ML</t>
        </is>
      </c>
      <c r="B1264" t="inlineStr"/>
      <c r="C1264" t="inlineStr">
        <is>
          <t>16%</t>
        </is>
      </c>
      <c r="D1264" t="n">
        <v>76000</v>
      </c>
      <c r="E1264" t="n">
        <v>90200</v>
      </c>
      <c r="F1264" t="n">
        <v>76000</v>
      </c>
      <c r="G1264" t="n">
        <v>90200</v>
      </c>
      <c r="H1264" t="n">
        <v>76000</v>
      </c>
      <c r="I1264" t="n">
        <v>90200</v>
      </c>
      <c r="J1264" t="b">
        <v>0</v>
      </c>
      <c r="K1264" t="inlineStr">
        <is>
          <t>Unilever Indonesia Official Shop</t>
        </is>
      </c>
      <c r="L1264" t="inlineStr">
        <is>
          <t>KOTA BEKASI</t>
        </is>
      </c>
      <c r="M1264" t="n">
        <v>13356840929</v>
      </c>
      <c r="N1264" t="n">
        <v>14318452</v>
      </c>
      <c r="O1264">
        <f>HYPERLINK("https://shopee.co.id/api/v4/item/get?itemid=13356840929&amp;shopid=14318452", "Clear Shampo Anti Ketombe Complete Soft Care Bersih total dengan Vitamin 660ML")</f>
        <v/>
      </c>
      <c r="P1264" t="n">
        <v>150</v>
      </c>
      <c r="Q1264" t="n">
        <v>88</v>
      </c>
      <c r="R1264" t="n">
        <v>4.927159209157128</v>
      </c>
      <c r="S1264" t="n">
        <v>3</v>
      </c>
      <c r="T1264" t="n">
        <v>3</v>
      </c>
      <c r="U1264" t="n">
        <v>5</v>
      </c>
      <c r="V1264" t="n">
        <v>43</v>
      </c>
      <c r="W1264" t="n">
        <v>908</v>
      </c>
    </row>
    <row r="1265">
      <c r="A1265" t="inlineStr">
        <is>
          <t>Buy 2x Clear Men 3-in-1 Shampo Active Clean Bottle 160ml Free Cool Sport Shampoo Menthol 70ml</t>
        </is>
      </c>
      <c r="B1265" t="inlineStr"/>
      <c r="C1265" t="inlineStr">
        <is>
          <t>14%</t>
        </is>
      </c>
      <c r="D1265" t="n">
        <v>60400</v>
      </c>
      <c r="E1265" t="n">
        <v>70600</v>
      </c>
      <c r="F1265" t="n">
        <v>60400</v>
      </c>
      <c r="G1265" t="n">
        <v>70600</v>
      </c>
      <c r="H1265" t="n">
        <v>60400</v>
      </c>
      <c r="I1265" t="n">
        <v>70600</v>
      </c>
      <c r="J1265" t="b">
        <v>0</v>
      </c>
      <c r="K1265" t="inlineStr">
        <is>
          <t>Unilever Indonesia Official Shop</t>
        </is>
      </c>
      <c r="L1265" t="inlineStr">
        <is>
          <t>KOTA BEKASI</t>
        </is>
      </c>
      <c r="M1265" t="n">
        <v>15811624499</v>
      </c>
      <c r="N1265" t="n">
        <v>14318452</v>
      </c>
      <c r="O1265">
        <f>HYPERLINK("https://shopee.co.id/api/v4/item/get?itemid=15811624499&amp;shopid=14318452", "Buy 2x Clear Men 3-in-1 Shampo Active Clean Bottle 160ml Free Cool Sport Shampoo Menthol 70ml")</f>
        <v/>
      </c>
      <c r="P1265" t="n">
        <v>102</v>
      </c>
      <c r="Q1265" t="n">
        <v>2</v>
      </c>
      <c r="R1265" t="n">
        <v>4.900568181818182</v>
      </c>
      <c r="S1265" t="n">
        <v>1</v>
      </c>
      <c r="T1265" t="n">
        <v>1</v>
      </c>
      <c r="U1265" t="n">
        <v>4</v>
      </c>
      <c r="V1265" t="n">
        <v>20</v>
      </c>
      <c r="W1265" t="n">
        <v>326</v>
      </c>
    </row>
    <row r="1266">
      <c r="A1266" t="inlineStr">
        <is>
          <t>POND'S VITAMIN DUO SHEET MASK / MASKER WAJAH TOMAT (VIT B6 20G) + AVOCADO (VIT E 20G)</t>
        </is>
      </c>
      <c r="B1266" t="inlineStr">
        <is>
          <t>Pond's</t>
        </is>
      </c>
      <c r="C1266" t="inlineStr">
        <is>
          <t>19%</t>
        </is>
      </c>
      <c r="D1266" t="n">
        <v>33500</v>
      </c>
      <c r="E1266" t="n">
        <v>41300</v>
      </c>
      <c r="F1266" t="n">
        <v>33500</v>
      </c>
      <c r="G1266" t="n">
        <v>41300</v>
      </c>
      <c r="H1266" t="n">
        <v>33500</v>
      </c>
      <c r="I1266" t="n">
        <v>41300</v>
      </c>
      <c r="J1266" t="b">
        <v>1</v>
      </c>
      <c r="K1266" t="inlineStr">
        <is>
          <t>Unilever Indonesia Official Shop</t>
        </is>
      </c>
      <c r="L1266" t="inlineStr">
        <is>
          <t>KOTA BEKASI</t>
        </is>
      </c>
      <c r="M1266" t="n">
        <v>7683122759</v>
      </c>
      <c r="N1266" t="n">
        <v>14318452</v>
      </c>
      <c r="O1266">
        <f>HYPERLINK("https://shopee.co.id/api/v4/item/get?itemid=7683122759&amp;shopid=14318452", "POND'S VITAMIN DUO SHEET MASK / MASKER WAJAH TOMAT (VIT B6 20G) + AVOCADO (VIT E 20G)")</f>
        <v/>
      </c>
      <c r="P1266" t="n">
        <v>1</v>
      </c>
      <c r="Q1266" t="n">
        <v>349</v>
      </c>
      <c r="R1266" t="n">
        <v>4.943396226415095</v>
      </c>
      <c r="S1266" t="n">
        <v>0</v>
      </c>
      <c r="T1266" t="n">
        <v>0</v>
      </c>
      <c r="U1266" t="n">
        <v>0</v>
      </c>
      <c r="V1266" t="n">
        <v>3</v>
      </c>
      <c r="W1266" t="n">
        <v>50</v>
      </c>
    </row>
    <row r="1267">
      <c r="A1267" t="inlineStr">
        <is>
          <t>Citra Glow Recipe Juicy Sheet Mask / Masker Wajah Coconut Water + Blueberry 25 gr - 5 Pcs</t>
        </is>
      </c>
      <c r="B1267" t="inlineStr"/>
      <c r="C1267" t="inlineStr">
        <is>
          <t>1%</t>
        </is>
      </c>
      <c r="D1267" t="n">
        <v>86700</v>
      </c>
      <c r="E1267" t="n">
        <v>87500</v>
      </c>
      <c r="F1267" t="n">
        <v>86700</v>
      </c>
      <c r="G1267" t="n">
        <v>87500</v>
      </c>
      <c r="H1267" t="n">
        <v>86700</v>
      </c>
      <c r="I1267" t="n">
        <v>87500</v>
      </c>
      <c r="J1267" t="b">
        <v>1</v>
      </c>
      <c r="K1267" t="inlineStr">
        <is>
          <t>Unilever Indonesia Official Shop</t>
        </is>
      </c>
      <c r="L1267" t="inlineStr">
        <is>
          <t>KOTA SEMARANG</t>
        </is>
      </c>
      <c r="M1267" t="n">
        <v>3657653516</v>
      </c>
      <c r="N1267" t="n">
        <v>14318452</v>
      </c>
      <c r="O1267">
        <f>HYPERLINK("https://shopee.co.id/api/v4/item/get?itemid=3657653516&amp;shopid=14318452", "Citra Glow Recipe Juicy Sheet Mask / Masker Wajah Coconut Water + Blueberry 25 gr - 5 Pcs")</f>
        <v/>
      </c>
      <c r="P1267" t="n">
        <v>0</v>
      </c>
      <c r="Q1267" t="n">
        <v>18</v>
      </c>
      <c r="R1267" t="n">
        <v>4.90625</v>
      </c>
      <c r="S1267" t="n">
        <v>0</v>
      </c>
      <c r="T1267" t="n">
        <v>0</v>
      </c>
      <c r="U1267" t="n">
        <v>0</v>
      </c>
      <c r="V1267" t="n">
        <v>3</v>
      </c>
      <c r="W1267" t="n">
        <v>29</v>
      </c>
    </row>
    <row r="1268">
      <c r="A1268" t="inlineStr">
        <is>
          <t>Baby Dove Hair to Toe Wash Rich Moisture Refill 430ml</t>
        </is>
      </c>
      <c r="B1268" t="inlineStr"/>
      <c r="C1268" t="inlineStr">
        <is>
          <t>9%</t>
        </is>
      </c>
      <c r="D1268" t="n">
        <v>60500</v>
      </c>
      <c r="E1268" t="n">
        <v>66500</v>
      </c>
      <c r="F1268" t="n">
        <v>60500</v>
      </c>
      <c r="G1268" t="n">
        <v>66500</v>
      </c>
      <c r="H1268" t="n">
        <v>60500</v>
      </c>
      <c r="I1268" t="n">
        <v>66500</v>
      </c>
      <c r="J1268" t="b">
        <v>0</v>
      </c>
      <c r="K1268" t="inlineStr">
        <is>
          <t>Unilever Indonesia Official Shop</t>
        </is>
      </c>
      <c r="L1268" t="inlineStr">
        <is>
          <t>KOTA BEKASI</t>
        </is>
      </c>
      <c r="M1268" t="n">
        <v>10269274519</v>
      </c>
      <c r="N1268" t="n">
        <v>14318452</v>
      </c>
      <c r="O1268">
        <f>HYPERLINK("https://shopee.co.id/api/v4/item/get?itemid=10269274519&amp;shopid=14318452", "Baby Dove Hair to Toe Wash Rich Moisture Refill 430ml")</f>
        <v/>
      </c>
      <c r="P1268" t="n">
        <v>10</v>
      </c>
      <c r="Q1268" t="n">
        <v>92</v>
      </c>
      <c r="R1268" t="n">
        <v>4.963888888888889</v>
      </c>
      <c r="S1268" t="n">
        <v>0</v>
      </c>
      <c r="T1268" t="n">
        <v>0</v>
      </c>
      <c r="U1268" t="n">
        <v>2</v>
      </c>
      <c r="V1268" t="n">
        <v>9</v>
      </c>
      <c r="W1268" t="n">
        <v>349</v>
      </c>
    </row>
    <row r="1269">
      <c r="A1269" t="inlineStr">
        <is>
          <t>Lifebuoy Sabun Cair Matcha Green Tea And Aloe Vera 300 ml Multi Pack</t>
        </is>
      </c>
      <c r="B1269" t="inlineStr">
        <is>
          <t>Lifebuoy</t>
        </is>
      </c>
      <c r="C1269" t="inlineStr">
        <is>
          <t>23%</t>
        </is>
      </c>
      <c r="D1269" t="n">
        <v>104400</v>
      </c>
      <c r="E1269" t="n">
        <v>135800</v>
      </c>
      <c r="F1269" t="n">
        <v>104400</v>
      </c>
      <c r="G1269" t="n">
        <v>135800</v>
      </c>
      <c r="H1269" t="n">
        <v>104400</v>
      </c>
      <c r="I1269" t="n">
        <v>135800</v>
      </c>
      <c r="J1269" t="b">
        <v>1</v>
      </c>
      <c r="K1269" t="inlineStr">
        <is>
          <t>Unilever Indonesia Official Shop</t>
        </is>
      </c>
      <c r="L1269" t="inlineStr">
        <is>
          <t>KOTA BEKASI</t>
        </is>
      </c>
      <c r="M1269" t="n">
        <v>6731393563</v>
      </c>
      <c r="N1269" t="n">
        <v>14318452</v>
      </c>
      <c r="O1269">
        <f>HYPERLINK("https://shopee.co.id/api/v4/item/get?itemid=6731393563&amp;shopid=14318452", "Lifebuoy Sabun Cair Matcha Green Tea And Aloe Vera 300 ml Multi Pack")</f>
        <v/>
      </c>
      <c r="P1269" t="n">
        <v>2</v>
      </c>
      <c r="Q1269" t="n">
        <v>80</v>
      </c>
      <c r="R1269" t="n">
        <v>4.944444444444445</v>
      </c>
      <c r="S1269" t="n">
        <v>0</v>
      </c>
      <c r="T1269" t="n">
        <v>0</v>
      </c>
      <c r="U1269" t="n">
        <v>0</v>
      </c>
      <c r="V1269" t="n">
        <v>2</v>
      </c>
      <c r="W1269" t="n">
        <v>34</v>
      </c>
    </row>
    <row r="1270">
      <c r="A1270" t="inlineStr">
        <is>
          <t>ROYCO SAUS TIRAM BUMBU PENYEDAP MAKANAN KAYA RASA TANPA AMIS 275ML</t>
        </is>
      </c>
      <c r="B1270" t="inlineStr"/>
      <c r="C1270" t="inlineStr">
        <is>
          <t>10%</t>
        </is>
      </c>
      <c r="D1270" t="n">
        <v>16700</v>
      </c>
      <c r="E1270" t="n">
        <v>18500</v>
      </c>
      <c r="F1270" t="n">
        <v>16700</v>
      </c>
      <c r="G1270" t="n">
        <v>18500</v>
      </c>
      <c r="H1270" t="n">
        <v>16700</v>
      </c>
      <c r="I1270" t="n">
        <v>18500</v>
      </c>
      <c r="J1270" t="b">
        <v>0</v>
      </c>
      <c r="K1270" t="inlineStr">
        <is>
          <t>Unilever Indonesia Official Shop</t>
        </is>
      </c>
      <c r="L1270" t="inlineStr">
        <is>
          <t>KOTA BEKASI</t>
        </is>
      </c>
      <c r="M1270" t="n">
        <v>13056854835</v>
      </c>
      <c r="N1270" t="n">
        <v>14318452</v>
      </c>
      <c r="O1270">
        <f>HYPERLINK("https://shopee.co.id/api/v4/item/get?itemid=13056854835&amp;shopid=14318452", "ROYCO SAUS TIRAM BUMBU PENYEDAP MAKANAN KAYA RASA TANPA AMIS 275ML")</f>
        <v/>
      </c>
      <c r="P1270" t="n">
        <v>1651</v>
      </c>
      <c r="Q1270" t="n">
        <v>1572</v>
      </c>
      <c r="R1270" t="n">
        <v>4.92001675041876</v>
      </c>
      <c r="S1270" t="n">
        <v>7</v>
      </c>
      <c r="T1270" t="n">
        <v>2</v>
      </c>
      <c r="U1270" t="n">
        <v>15</v>
      </c>
      <c r="V1270" t="n">
        <v>127</v>
      </c>
      <c r="W1270" t="n">
        <v>2238</v>
      </c>
    </row>
    <row r="1271">
      <c r="A1271" t="inlineStr">
        <is>
          <t>St Ives Body Wash Soothing Oatmeal &amp; Shea Butter 473ml</t>
        </is>
      </c>
      <c r="B1271" t="inlineStr"/>
      <c r="C1271" t="inlineStr">
        <is>
          <t>9%</t>
        </is>
      </c>
      <c r="D1271" t="n">
        <v>79300</v>
      </c>
      <c r="E1271" t="n">
        <v>87500</v>
      </c>
      <c r="F1271" t="n">
        <v>79300</v>
      </c>
      <c r="G1271" t="n">
        <v>87500</v>
      </c>
      <c r="H1271" t="n">
        <v>79300</v>
      </c>
      <c r="I1271" t="n">
        <v>87500</v>
      </c>
      <c r="J1271" t="b">
        <v>0</v>
      </c>
      <c r="K1271" t="inlineStr">
        <is>
          <t>Unilever Indonesia Official Shop</t>
        </is>
      </c>
      <c r="L1271" t="inlineStr">
        <is>
          <t>KOTA SEMARANG</t>
        </is>
      </c>
      <c r="M1271" t="n">
        <v>14205999975</v>
      </c>
      <c r="N1271" t="n">
        <v>14318452</v>
      </c>
      <c r="O1271">
        <f>HYPERLINK("https://shopee.co.id/api/v4/item/get?itemid=14205999975&amp;shopid=14318452", "St Ives Body Wash Soothing Oatmeal &amp; Shea Butter 473ml")</f>
        <v/>
      </c>
      <c r="P1271" t="n">
        <v>68</v>
      </c>
      <c r="Q1271" t="n">
        <v>14</v>
      </c>
      <c r="R1271" t="n">
        <v>4.889400921658986</v>
      </c>
      <c r="S1271" t="n">
        <v>1</v>
      </c>
      <c r="T1271" t="n">
        <v>0</v>
      </c>
      <c r="U1271" t="n">
        <v>3</v>
      </c>
      <c r="V1271" t="n">
        <v>14</v>
      </c>
      <c r="W1271" t="n">
        <v>199</v>
      </c>
    </row>
    <row r="1272">
      <c r="A1272" t="inlineStr">
        <is>
          <t>Buy Sunsilk Hijab Recharge Refresh &amp; Volume Shampoo 320 ml Free Exclusive Pouch Sunsilk</t>
        </is>
      </c>
      <c r="B1272" t="inlineStr"/>
      <c r="C1272" t="inlineStr">
        <is>
          <t>9%</t>
        </is>
      </c>
      <c r="D1272" t="n">
        <v>45100</v>
      </c>
      <c r="E1272" t="n">
        <v>49700</v>
      </c>
      <c r="F1272" t="n">
        <v>45100</v>
      </c>
      <c r="G1272" t="n">
        <v>49700</v>
      </c>
      <c r="H1272" t="n">
        <v>45100</v>
      </c>
      <c r="I1272" t="n">
        <v>49700</v>
      </c>
      <c r="J1272" t="b">
        <v>0</v>
      </c>
      <c r="K1272" t="inlineStr">
        <is>
          <t>Unilever Indonesia Official Shop</t>
        </is>
      </c>
      <c r="L1272" t="inlineStr">
        <is>
          <t>KOTA BEKASI</t>
        </is>
      </c>
      <c r="M1272" t="n">
        <v>13358518159</v>
      </c>
      <c r="N1272" t="n">
        <v>14318452</v>
      </c>
      <c r="O1272">
        <f>HYPERLINK("https://shopee.co.id/api/v4/item/get?itemid=13358518159&amp;shopid=14318452", "Buy Sunsilk Hijab Recharge Refresh &amp; Volume Shampoo 320 ml Free Exclusive Pouch Sunsilk")</f>
        <v/>
      </c>
      <c r="P1272" t="n">
        <v>48</v>
      </c>
      <c r="Q1272" t="n">
        <v>37</v>
      </c>
      <c r="R1272" t="n">
        <v>4.878378378378378</v>
      </c>
      <c r="S1272" t="n">
        <v>0</v>
      </c>
      <c r="T1272" t="n">
        <v>0</v>
      </c>
      <c r="U1272" t="n">
        <v>2</v>
      </c>
      <c r="V1272" t="n">
        <v>14</v>
      </c>
      <c r="W1272" t="n">
        <v>132</v>
      </c>
    </row>
    <row r="1273">
      <c r="A1273" t="inlineStr">
        <is>
          <t>Cif Power &amp; Shine Disinfectant Multipurpose Wipes Ocean Fresh 30s</t>
        </is>
      </c>
      <c r="B1273" t="inlineStr"/>
      <c r="C1273" t="inlineStr">
        <is>
          <t>17%</t>
        </is>
      </c>
      <c r="D1273" t="n">
        <v>19200</v>
      </c>
      <c r="E1273" t="n">
        <v>23100</v>
      </c>
      <c r="F1273" t="n">
        <v>19200</v>
      </c>
      <c r="G1273" t="n">
        <v>23100</v>
      </c>
      <c r="H1273" t="n">
        <v>19200</v>
      </c>
      <c r="I1273" t="n">
        <v>23100</v>
      </c>
      <c r="J1273" t="b">
        <v>0</v>
      </c>
      <c r="K1273" t="inlineStr">
        <is>
          <t>Unilever Indonesia Official Shop</t>
        </is>
      </c>
      <c r="L1273" t="inlineStr">
        <is>
          <t>KOTA DENPASAR</t>
        </is>
      </c>
      <c r="M1273" t="n">
        <v>12538828179</v>
      </c>
      <c r="N1273" t="n">
        <v>14318452</v>
      </c>
      <c r="O1273">
        <f>HYPERLINK("https://shopee.co.id/api/v4/item/get?itemid=12538828179&amp;shopid=14318452", "Cif Power &amp; Shine Disinfectant Multipurpose Wipes Ocean Fresh 30s")</f>
        <v/>
      </c>
      <c r="P1273" t="n">
        <v>2</v>
      </c>
      <c r="Q1273" t="n">
        <v>1</v>
      </c>
      <c r="R1273" t="n">
        <v>4.833333333333333</v>
      </c>
      <c r="S1273" t="n">
        <v>0</v>
      </c>
      <c r="T1273" t="n">
        <v>0</v>
      </c>
      <c r="U1273" t="n">
        <v>1</v>
      </c>
      <c r="V1273" t="n">
        <v>4</v>
      </c>
      <c r="W1273" t="n">
        <v>31</v>
      </c>
    </row>
    <row r="1274">
      <c r="A1274" t="inlineStr">
        <is>
          <t>Ponds Age Miracle Serum Sheet Mask Anti Aging 25G Twin Pack</t>
        </is>
      </c>
      <c r="B1274" t="inlineStr"/>
      <c r="C1274" t="inlineStr">
        <is>
          <t>18%</t>
        </is>
      </c>
      <c r="D1274" t="n">
        <v>44400</v>
      </c>
      <c r="E1274" t="n">
        <v>54300</v>
      </c>
      <c r="F1274" t="n">
        <v>44400</v>
      </c>
      <c r="G1274" t="n">
        <v>54300</v>
      </c>
      <c r="H1274" t="n">
        <v>44400</v>
      </c>
      <c r="I1274" t="n">
        <v>54300</v>
      </c>
      <c r="J1274" t="b">
        <v>0</v>
      </c>
      <c r="K1274" t="inlineStr">
        <is>
          <t>Unilever Indonesia Official Shop</t>
        </is>
      </c>
      <c r="L1274" t="inlineStr">
        <is>
          <t>KOTA BEKASI</t>
        </is>
      </c>
      <c r="M1274" t="n">
        <v>12053856487</v>
      </c>
      <c r="N1274" t="n">
        <v>14318452</v>
      </c>
      <c r="O1274">
        <f>HYPERLINK("https://shopee.co.id/api/v4/item/get?itemid=12053856487&amp;shopid=14318452", "Ponds Age Miracle Serum Sheet Mask Anti Aging 25G Twin Pack")</f>
        <v/>
      </c>
      <c r="P1274" t="n">
        <v>10</v>
      </c>
      <c r="Q1274" t="n">
        <v>1332</v>
      </c>
      <c r="R1274" t="n">
        <v>4.88646288209607</v>
      </c>
      <c r="S1274" t="n">
        <v>4</v>
      </c>
      <c r="T1274" t="n">
        <v>0</v>
      </c>
      <c r="U1274" t="n">
        <v>1</v>
      </c>
      <c r="V1274" t="n">
        <v>8</v>
      </c>
      <c r="W1274" t="n">
        <v>216</v>
      </c>
    </row>
    <row r="1275">
      <c r="A1275" t="inlineStr">
        <is>
          <t>Buavita Juice Jus Kemasan Rasa Buah Asli Jambu 500ml x 12 Pieces (1 Carton)</t>
        </is>
      </c>
      <c r="B1275" t="inlineStr">
        <is>
          <t>Buavita</t>
        </is>
      </c>
      <c r="C1275" t="inlineStr">
        <is>
          <t>16%</t>
        </is>
      </c>
      <c r="D1275" t="n">
        <v>140700</v>
      </c>
      <c r="E1275" t="n">
        <v>168000</v>
      </c>
      <c r="F1275" t="n">
        <v>140700</v>
      </c>
      <c r="G1275" t="n">
        <v>168000</v>
      </c>
      <c r="H1275" t="n">
        <v>140700</v>
      </c>
      <c r="I1275" t="n">
        <v>168000</v>
      </c>
      <c r="J1275" t="b">
        <v>1</v>
      </c>
      <c r="K1275" t="inlineStr">
        <is>
          <t>Unilever Indonesia Official Shop</t>
        </is>
      </c>
      <c r="L1275" t="inlineStr">
        <is>
          <t>KOTA BEKASI</t>
        </is>
      </c>
      <c r="M1275" t="n">
        <v>7638381177</v>
      </c>
      <c r="N1275" t="n">
        <v>14318452</v>
      </c>
      <c r="O1275">
        <f>HYPERLINK("https://shopee.co.id/api/v4/item/get?itemid=7638381177&amp;shopid=14318452", "Buavita Juice Jus Kemasan Rasa Buah Asli Jambu 500ml x 12 Pieces (1 Carton)")</f>
        <v/>
      </c>
      <c r="P1275" t="n">
        <v>2</v>
      </c>
      <c r="Q1275" t="n">
        <v>24</v>
      </c>
      <c r="R1275" t="n">
        <v>4.928571428571429</v>
      </c>
      <c r="S1275" t="n">
        <v>0</v>
      </c>
      <c r="T1275" t="n">
        <v>0</v>
      </c>
      <c r="U1275" t="n">
        <v>0</v>
      </c>
      <c r="V1275" t="n">
        <v>3</v>
      </c>
      <c r="W1275" t="n">
        <v>39</v>
      </c>
    </row>
    <row r="1276">
      <c r="A1276" t="inlineStr">
        <is>
          <t>Lifebuoy Sabun Mandi Cair Mild Care Botol 300ml Multi Pack</t>
        </is>
      </c>
      <c r="B1276" t="inlineStr">
        <is>
          <t>0</t>
        </is>
      </c>
      <c r="C1276" t="inlineStr">
        <is>
          <t>16%</t>
        </is>
      </c>
      <c r="D1276" t="n">
        <v>106300</v>
      </c>
      <c r="E1276" t="n">
        <v>126800</v>
      </c>
      <c r="F1276" t="n">
        <v>106300</v>
      </c>
      <c r="G1276" t="n">
        <v>126800</v>
      </c>
      <c r="H1276" t="n">
        <v>106300</v>
      </c>
      <c r="I1276" t="n">
        <v>126800</v>
      </c>
      <c r="J1276" t="b">
        <v>1</v>
      </c>
      <c r="K1276" t="inlineStr">
        <is>
          <t>Unilever Indonesia Official Shop</t>
        </is>
      </c>
      <c r="L1276" t="inlineStr">
        <is>
          <t>KOTA BEKASI</t>
        </is>
      </c>
      <c r="M1276" t="n">
        <v>7131339943</v>
      </c>
      <c r="N1276" t="n">
        <v>14318452</v>
      </c>
      <c r="O1276">
        <f>HYPERLINK("https://shopee.co.id/api/v4/item/get?itemid=7131339943&amp;shopid=14318452", "Lifebuoy Sabun Mandi Cair Mild Care Botol 300ml Multi Pack")</f>
        <v/>
      </c>
      <c r="P1276" t="n">
        <v>0</v>
      </c>
      <c r="Q1276" t="n">
        <v>80</v>
      </c>
      <c r="R1276" t="n">
        <v>4.944444444444445</v>
      </c>
      <c r="S1276" t="n">
        <v>0</v>
      </c>
      <c r="T1276" t="n">
        <v>0</v>
      </c>
      <c r="U1276" t="n">
        <v>1</v>
      </c>
      <c r="V1276" t="n">
        <v>0</v>
      </c>
      <c r="W1276" t="n">
        <v>35</v>
      </c>
    </row>
    <row r="1277">
      <c r="A1277" t="inlineStr">
        <is>
          <t>Citra Glow Recipe Juicy Sheet Mask / Masker Wajah Coconut Water + Blueberry 25 gr - 10 Pcs</t>
        </is>
      </c>
      <c r="B1277" t="inlineStr"/>
      <c r="C1277" t="inlineStr">
        <is>
          <t>1%</t>
        </is>
      </c>
      <c r="D1277" t="n">
        <v>173300</v>
      </c>
      <c r="E1277" t="n">
        <v>175000</v>
      </c>
      <c r="F1277" t="n">
        <v>173300</v>
      </c>
      <c r="G1277" t="n">
        <v>175000</v>
      </c>
      <c r="H1277" t="n">
        <v>173300</v>
      </c>
      <c r="I1277" t="n">
        <v>175000</v>
      </c>
      <c r="J1277" t="b">
        <v>1</v>
      </c>
      <c r="K1277" t="inlineStr">
        <is>
          <t>Unilever Indonesia Official Shop</t>
        </is>
      </c>
      <c r="L1277" t="inlineStr">
        <is>
          <t>KOTA SEMARANG</t>
        </is>
      </c>
      <c r="M1277" t="n">
        <v>7757554729</v>
      </c>
      <c r="N1277" t="n">
        <v>14318452</v>
      </c>
      <c r="O1277">
        <f>HYPERLINK("https://shopee.co.id/api/v4/item/get?itemid=7757554729&amp;shopid=14318452", "Citra Glow Recipe Juicy Sheet Mask / Masker Wajah Coconut Water + Blueberry 25 gr - 10 Pcs")</f>
        <v/>
      </c>
      <c r="P1277" t="n">
        <v>0</v>
      </c>
      <c r="Q1277" t="n">
        <v>8</v>
      </c>
      <c r="R1277" t="n">
        <v>4.884615384615385</v>
      </c>
      <c r="S1277" t="n">
        <v>0</v>
      </c>
      <c r="T1277" t="n">
        <v>0</v>
      </c>
      <c r="U1277" t="n">
        <v>0</v>
      </c>
      <c r="V1277" t="n">
        <v>3</v>
      </c>
      <c r="W1277" t="n">
        <v>23</v>
      </c>
    </row>
    <row r="1278">
      <c r="A1278" t="inlineStr">
        <is>
          <t>POND'S VITAMIN DUO SHEET MASK / MASKER WAJAH TOMAT (VIT B6 20G) + COCONUT WATER (VIT B3 20G)</t>
        </is>
      </c>
      <c r="B1278" t="inlineStr">
        <is>
          <t>Pond's</t>
        </is>
      </c>
      <c r="C1278" t="inlineStr">
        <is>
          <t>15%</t>
        </is>
      </c>
      <c r="D1278" t="n">
        <v>36200</v>
      </c>
      <c r="E1278" t="n">
        <v>42800</v>
      </c>
      <c r="F1278" t="n">
        <v>36200</v>
      </c>
      <c r="G1278" t="n">
        <v>42800</v>
      </c>
      <c r="H1278" t="n">
        <v>36200</v>
      </c>
      <c r="I1278" t="n">
        <v>42800</v>
      </c>
      <c r="J1278" t="b">
        <v>1</v>
      </c>
      <c r="K1278" t="inlineStr">
        <is>
          <t>Unilever Indonesia Official Shop</t>
        </is>
      </c>
      <c r="L1278" t="inlineStr">
        <is>
          <t>KOTA SURABAYA</t>
        </is>
      </c>
      <c r="M1278" t="n">
        <v>7183128110</v>
      </c>
      <c r="N1278" t="n">
        <v>14318452</v>
      </c>
      <c r="O1278">
        <f>HYPERLINK("https://shopee.co.id/api/v4/item/get?itemid=7183128110&amp;shopid=14318452", "POND'S VITAMIN DUO SHEET MASK / MASKER WAJAH TOMAT (VIT B6 20G) + COCONUT WATER (VIT B3 20G)")</f>
        <v/>
      </c>
      <c r="P1278" t="n">
        <v>1</v>
      </c>
      <c r="Q1278" t="n">
        <v>93</v>
      </c>
      <c r="R1278" t="n">
        <v>4.962962962962963</v>
      </c>
      <c r="S1278" t="n">
        <v>0</v>
      </c>
      <c r="T1278" t="n">
        <v>0</v>
      </c>
      <c r="U1278" t="n">
        <v>0</v>
      </c>
      <c r="V1278" t="n">
        <v>1</v>
      </c>
      <c r="W1278" t="n">
        <v>26</v>
      </c>
    </row>
    <row r="1279">
      <c r="A1279" t="inlineStr">
        <is>
          <t>Lifebuoy Wet Wipes Anti Bacterial Tisu Basah Anti Bakteri 48 lembar Twinpack</t>
        </is>
      </c>
      <c r="B1279" t="inlineStr"/>
      <c r="C1279" t="inlineStr">
        <is>
          <t>33%</t>
        </is>
      </c>
      <c r="D1279" t="n">
        <v>46800</v>
      </c>
      <c r="E1279" t="n">
        <v>70000</v>
      </c>
      <c r="F1279" t="n">
        <v>46800</v>
      </c>
      <c r="G1279" t="n">
        <v>70000</v>
      </c>
      <c r="H1279" t="n">
        <v>46800</v>
      </c>
      <c r="I1279" t="n">
        <v>70000</v>
      </c>
      <c r="J1279" t="b">
        <v>0</v>
      </c>
      <c r="K1279" t="inlineStr">
        <is>
          <t>Unilever Indonesia Official Shop</t>
        </is>
      </c>
      <c r="L1279" t="inlineStr">
        <is>
          <t>KOTA BEKASI</t>
        </is>
      </c>
      <c r="M1279" t="n">
        <v>12437662843</v>
      </c>
      <c r="N1279" t="n">
        <v>14318452</v>
      </c>
      <c r="O1279">
        <f>HYPERLINK("https://shopee.co.id/api/v4/item/get?itemid=12437662843&amp;shopid=14318452", "Lifebuoy Wet Wipes Anti Bacterial Tisu Basah Anti Bakteri 48 lembar Twinpack")</f>
        <v/>
      </c>
      <c r="P1279" t="n">
        <v>4</v>
      </c>
      <c r="Q1279" t="n">
        <v>55</v>
      </c>
      <c r="R1279" t="n">
        <v>4.894117647058824</v>
      </c>
      <c r="S1279" t="n">
        <v>0</v>
      </c>
      <c r="T1279" t="n">
        <v>1</v>
      </c>
      <c r="U1279" t="n">
        <v>2</v>
      </c>
      <c r="V1279" t="n">
        <v>2</v>
      </c>
      <c r="W1279" t="n">
        <v>80</v>
      </c>
    </row>
    <row r="1280">
      <c r="A1280" t="inlineStr">
        <is>
          <t>Rinso Matic Deterjen Bubuk Mesin Cuci Bukaan Depan 1.8 Kg</t>
        </is>
      </c>
      <c r="B1280" t="inlineStr"/>
      <c r="C1280" t="inlineStr">
        <is>
          <t>20%</t>
        </is>
      </c>
      <c r="D1280" t="n">
        <v>76700</v>
      </c>
      <c r="E1280" t="n">
        <v>96200</v>
      </c>
      <c r="F1280" t="n">
        <v>76700</v>
      </c>
      <c r="G1280" t="n">
        <v>96200</v>
      </c>
      <c r="H1280" t="n">
        <v>76700</v>
      </c>
      <c r="I1280" t="n">
        <v>96200</v>
      </c>
      <c r="J1280" t="b">
        <v>0</v>
      </c>
      <c r="K1280" t="inlineStr">
        <is>
          <t>Unilever Indonesia Official Shop</t>
        </is>
      </c>
      <c r="L1280" t="inlineStr">
        <is>
          <t>KOTA BEKASI</t>
        </is>
      </c>
      <c r="M1280" t="n">
        <v>12423640510</v>
      </c>
      <c r="N1280" t="n">
        <v>14318452</v>
      </c>
      <c r="O1280">
        <f>HYPERLINK("https://shopee.co.id/api/v4/item/get?itemid=12423640510&amp;shopid=14318452", "Rinso Matic Deterjen Bubuk Mesin Cuci Bukaan Depan 1.8 Kg")</f>
        <v/>
      </c>
      <c r="P1280" t="n">
        <v>900</v>
      </c>
      <c r="Q1280" t="n">
        <v>1318</v>
      </c>
      <c r="R1280" t="n">
        <v>4.905400635368867</v>
      </c>
      <c r="S1280" t="n">
        <v>21</v>
      </c>
      <c r="T1280" t="n">
        <v>16</v>
      </c>
      <c r="U1280" t="n">
        <v>25</v>
      </c>
      <c r="V1280" t="n">
        <v>86</v>
      </c>
      <c r="W1280" t="n">
        <v>2737</v>
      </c>
    </row>
    <row r="1281">
      <c r="A1281" t="inlineStr">
        <is>
          <t>LUX Botanicals Antibacterial Hand Wash Freesia &amp; Tea Pump 400ML Twin Pack</t>
        </is>
      </c>
      <c r="B1281" t="inlineStr">
        <is>
          <t>None</t>
        </is>
      </c>
      <c r="C1281" t="inlineStr">
        <is>
          <t>1%</t>
        </is>
      </c>
      <c r="D1281" t="n">
        <v>73300</v>
      </c>
      <c r="E1281" t="n">
        <v>74000</v>
      </c>
      <c r="F1281" t="n">
        <v>73300</v>
      </c>
      <c r="G1281" t="n">
        <v>74000</v>
      </c>
      <c r="H1281" t="n">
        <v>73300</v>
      </c>
      <c r="I1281" t="n">
        <v>74000</v>
      </c>
      <c r="J1281" t="b">
        <v>0</v>
      </c>
      <c r="K1281" t="inlineStr">
        <is>
          <t>Unilever Indonesia Official Shop</t>
        </is>
      </c>
      <c r="L1281" t="inlineStr">
        <is>
          <t>KOTA BEKASI</t>
        </is>
      </c>
      <c r="M1281" t="n">
        <v>5796341267</v>
      </c>
      <c r="N1281" t="n">
        <v>14318452</v>
      </c>
      <c r="O1281">
        <f>HYPERLINK("https://shopee.co.id/api/v4/item/get?itemid=5796341267&amp;shopid=14318452", "LUX Botanicals Antibacterial Hand Wash Freesia &amp; Tea Pump 400ML Twin Pack")</f>
        <v/>
      </c>
      <c r="P1281" t="n">
        <v>0</v>
      </c>
      <c r="Q1281" t="n">
        <v>66</v>
      </c>
      <c r="R1281" t="n">
        <v>4.967741935483871</v>
      </c>
      <c r="S1281" t="n">
        <v>0</v>
      </c>
      <c r="T1281" t="n">
        <v>0</v>
      </c>
      <c r="U1281" t="n">
        <v>0</v>
      </c>
      <c r="V1281" t="n">
        <v>1</v>
      </c>
      <c r="W1281" t="n">
        <v>30</v>
      </c>
    </row>
    <row r="1282">
      <c r="A1282" t="inlineStr">
        <is>
          <t>POND'S VITAMIN DUO SHEET MASK / MASKER WAJAH TOMAT + VIT B6 20G - 2 Pcs</t>
        </is>
      </c>
      <c r="B1282" t="inlineStr">
        <is>
          <t>Pond's</t>
        </is>
      </c>
      <c r="C1282" t="inlineStr">
        <is>
          <t>20%</t>
        </is>
      </c>
      <c r="D1282" t="n">
        <v>34300</v>
      </c>
      <c r="E1282" t="n">
        <v>42800</v>
      </c>
      <c r="F1282" t="n">
        <v>34300</v>
      </c>
      <c r="G1282" t="n">
        <v>42800</v>
      </c>
      <c r="H1282" t="n">
        <v>34300</v>
      </c>
      <c r="I1282" t="n">
        <v>42800</v>
      </c>
      <c r="J1282" t="b">
        <v>1</v>
      </c>
      <c r="K1282" t="inlineStr">
        <is>
          <t>Unilever Indonesia Official Shop</t>
        </is>
      </c>
      <c r="L1282" t="inlineStr">
        <is>
          <t>KOTA BEKASI</t>
        </is>
      </c>
      <c r="M1282" t="n">
        <v>9230734460</v>
      </c>
      <c r="N1282" t="n">
        <v>14318452</v>
      </c>
      <c r="O1282">
        <f>HYPERLINK("https://shopee.co.id/api/v4/item/get?itemid=9230734460&amp;shopid=14318452", "POND'S VITAMIN DUO SHEET MASK / MASKER WAJAH TOMAT + VIT B6 20G - 2 Pcs")</f>
        <v/>
      </c>
      <c r="P1282" t="n">
        <v>2</v>
      </c>
      <c r="Q1282" t="n">
        <v>174</v>
      </c>
      <c r="R1282" t="n">
        <v>4.961538461538462</v>
      </c>
      <c r="S1282" t="n">
        <v>0</v>
      </c>
      <c r="T1282" t="n">
        <v>0</v>
      </c>
      <c r="U1282" t="n">
        <v>0</v>
      </c>
      <c r="V1282" t="n">
        <v>1</v>
      </c>
      <c r="W1282" t="n">
        <v>25</v>
      </c>
    </row>
    <row r="1283">
      <c r="A1283" t="inlineStr">
        <is>
          <t>St Ives Body Wash Purifying Sea Salt and Pacific Kelp 473ml</t>
        </is>
      </c>
      <c r="B1283" t="inlineStr"/>
      <c r="C1283" t="inlineStr">
        <is>
          <t>9%</t>
        </is>
      </c>
      <c r="D1283" t="n">
        <v>79300</v>
      </c>
      <c r="E1283" t="n">
        <v>87500</v>
      </c>
      <c r="F1283" t="n">
        <v>79300</v>
      </c>
      <c r="G1283" t="n">
        <v>87500</v>
      </c>
      <c r="H1283" t="n">
        <v>79300</v>
      </c>
      <c r="I1283" t="n">
        <v>87500</v>
      </c>
      <c r="J1283" t="b">
        <v>0</v>
      </c>
      <c r="K1283" t="inlineStr">
        <is>
          <t>Unilever Indonesia Official Shop</t>
        </is>
      </c>
      <c r="L1283" t="inlineStr">
        <is>
          <t>KOTA BEKASI</t>
        </is>
      </c>
      <c r="M1283" t="n">
        <v>15905997214</v>
      </c>
      <c r="N1283" t="n">
        <v>14318452</v>
      </c>
      <c r="O1283">
        <f>HYPERLINK("https://shopee.co.id/api/v4/item/get?itemid=15905997214&amp;shopid=14318452", "St Ives Body Wash Purifying Sea Salt and Pacific Kelp 473ml")</f>
        <v/>
      </c>
      <c r="P1283" t="n">
        <v>21</v>
      </c>
      <c r="Q1283" t="n">
        <v>42</v>
      </c>
      <c r="R1283" t="n">
        <v>4.873134328358209</v>
      </c>
      <c r="S1283" t="n">
        <v>1</v>
      </c>
      <c r="T1283" t="n">
        <v>1</v>
      </c>
      <c r="U1283" t="n">
        <v>1</v>
      </c>
      <c r="V1283" t="n">
        <v>8</v>
      </c>
      <c r="W1283" t="n">
        <v>123</v>
      </c>
    </row>
    <row r="1284">
      <c r="A1284" t="inlineStr">
        <is>
          <t>Ponds Men Bright Blast Face Sheet Mask 20G Spiderman Edition x6</t>
        </is>
      </c>
      <c r="B1284" t="inlineStr"/>
      <c r="C1284" t="inlineStr">
        <is>
          <t>8%</t>
        </is>
      </c>
      <c r="D1284" t="n">
        <v>110700</v>
      </c>
      <c r="E1284" t="n">
        <v>120000</v>
      </c>
      <c r="F1284" t="n">
        <v>110700</v>
      </c>
      <c r="G1284" t="n">
        <v>120000</v>
      </c>
      <c r="H1284" t="n">
        <v>110700</v>
      </c>
      <c r="I1284" t="n">
        <v>120000</v>
      </c>
      <c r="J1284" t="b">
        <v>1</v>
      </c>
      <c r="K1284" t="inlineStr">
        <is>
          <t>Unilever Indonesia Official Shop</t>
        </is>
      </c>
      <c r="L1284" t="inlineStr">
        <is>
          <t>KOTA BEKASI</t>
        </is>
      </c>
      <c r="M1284" t="n">
        <v>11247301646</v>
      </c>
      <c r="N1284" t="n">
        <v>14318452</v>
      </c>
      <c r="O1284">
        <f>HYPERLINK("https://shopee.co.id/api/v4/item/get?itemid=11247301646&amp;shopid=14318452", "Ponds Men Bright Blast Face Sheet Mask 20G Spiderman Edition x6")</f>
        <v/>
      </c>
      <c r="P1284" t="n">
        <v>0</v>
      </c>
      <c r="Q1284" t="n">
        <v>1</v>
      </c>
      <c r="R1284" t="n">
        <v>4.90625</v>
      </c>
      <c r="S1284" t="n">
        <v>0</v>
      </c>
      <c r="T1284" t="n">
        <v>0</v>
      </c>
      <c r="U1284" t="n">
        <v>0</v>
      </c>
      <c r="V1284" t="n">
        <v>3</v>
      </c>
      <c r="W1284" t="n">
        <v>29</v>
      </c>
    </row>
    <row r="1285">
      <c r="A1285" t="inlineStr">
        <is>
          <t>Baby Dove Hair to Toe Wash Rich Moisture Refill 220ml</t>
        </is>
      </c>
      <c r="B1285" t="inlineStr"/>
      <c r="C1285" t="inlineStr">
        <is>
          <t>6%</t>
        </is>
      </c>
      <c r="D1285" t="n">
        <v>42500</v>
      </c>
      <c r="E1285" t="n">
        <v>45000</v>
      </c>
      <c r="F1285" t="n">
        <v>42500</v>
      </c>
      <c r="G1285" t="n">
        <v>45000</v>
      </c>
      <c r="H1285" t="n">
        <v>42500</v>
      </c>
      <c r="I1285" t="n">
        <v>45000</v>
      </c>
      <c r="J1285" t="b">
        <v>0</v>
      </c>
      <c r="K1285" t="inlineStr">
        <is>
          <t>Unilever Indonesia Official Shop</t>
        </is>
      </c>
      <c r="L1285" t="inlineStr">
        <is>
          <t>KOTA BEKASI</t>
        </is>
      </c>
      <c r="M1285" t="n">
        <v>11769273412</v>
      </c>
      <c r="N1285" t="n">
        <v>14318452</v>
      </c>
      <c r="O1285">
        <f>HYPERLINK("https://shopee.co.id/api/v4/item/get?itemid=11769273412&amp;shopid=14318452", "Baby Dove Hair to Toe Wash Rich Moisture Refill 220ml")</f>
        <v/>
      </c>
      <c r="P1285" t="n">
        <v>84</v>
      </c>
      <c r="Q1285" t="n">
        <v>110</v>
      </c>
      <c r="R1285" t="n">
        <v>4.936416184971098</v>
      </c>
      <c r="S1285" t="n">
        <v>0</v>
      </c>
      <c r="T1285" t="n">
        <v>1</v>
      </c>
      <c r="U1285" t="n">
        <v>2</v>
      </c>
      <c r="V1285" t="n">
        <v>7</v>
      </c>
      <c r="W1285" t="n">
        <v>164</v>
      </c>
    </row>
    <row r="1286">
      <c r="A1286" t="inlineStr">
        <is>
          <t>Ponds Age Miracle Day Cream Moisturizer Anti Aging+Glowing 50G Twin Pack</t>
        </is>
      </c>
      <c r="B1286" t="inlineStr"/>
      <c r="C1286" t="inlineStr">
        <is>
          <t>21%</t>
        </is>
      </c>
      <c r="D1286" t="n">
        <v>269700</v>
      </c>
      <c r="E1286" t="n">
        <v>340000</v>
      </c>
      <c r="F1286" t="n">
        <v>269700</v>
      </c>
      <c r="G1286" t="n">
        <v>340000</v>
      </c>
      <c r="H1286" t="n">
        <v>269700</v>
      </c>
      <c r="I1286" t="n">
        <v>340000</v>
      </c>
      <c r="J1286" t="b">
        <v>0</v>
      </c>
      <c r="K1286" t="inlineStr">
        <is>
          <t>Unilever Indonesia Official Shop</t>
        </is>
      </c>
      <c r="L1286" t="inlineStr">
        <is>
          <t>KOTA BEKASI</t>
        </is>
      </c>
      <c r="M1286" t="n">
        <v>15004503748</v>
      </c>
      <c r="N1286" t="n">
        <v>14318452</v>
      </c>
      <c r="O1286">
        <f>HYPERLINK("https://shopee.co.id/api/v4/item/get?itemid=15004503748&amp;shopid=14318452", "Ponds Age Miracle Day Cream Moisturizer Anti Aging+Glowing 50G Twin Pack")</f>
        <v/>
      </c>
      <c r="P1286" t="n">
        <v>43</v>
      </c>
      <c r="Q1286" t="n">
        <v>2654</v>
      </c>
      <c r="R1286" t="n">
        <v>4.941176470588236</v>
      </c>
      <c r="S1286" t="n">
        <v>0</v>
      </c>
      <c r="T1286" t="n">
        <v>0</v>
      </c>
      <c r="U1286" t="n">
        <v>3</v>
      </c>
      <c r="V1286" t="n">
        <v>10</v>
      </c>
      <c r="W1286" t="n">
        <v>259</v>
      </c>
    </row>
    <row r="1287">
      <c r="A1287" t="inlineStr">
        <is>
          <t>LUX Botanicals Antibacterial Hand Wash Gardenia &amp; Honey Pump 400ML Twin Pack</t>
        </is>
      </c>
      <c r="B1287" t="inlineStr">
        <is>
          <t>None</t>
        </is>
      </c>
      <c r="C1287" t="inlineStr">
        <is>
          <t>1%</t>
        </is>
      </c>
      <c r="D1287" t="n">
        <v>73300</v>
      </c>
      <c r="E1287" t="n">
        <v>74000</v>
      </c>
      <c r="F1287" t="n">
        <v>73300</v>
      </c>
      <c r="G1287" t="n">
        <v>74000</v>
      </c>
      <c r="H1287" t="n">
        <v>73300</v>
      </c>
      <c r="I1287" t="n">
        <v>74000</v>
      </c>
      <c r="J1287" t="b">
        <v>1</v>
      </c>
      <c r="K1287" t="inlineStr">
        <is>
          <t>Unilever Indonesia Official Shop</t>
        </is>
      </c>
      <c r="L1287" t="inlineStr">
        <is>
          <t>KOTA BEKASI</t>
        </is>
      </c>
      <c r="M1287" t="n">
        <v>11622972102</v>
      </c>
      <c r="N1287" t="n">
        <v>14318452</v>
      </c>
      <c r="O1287">
        <f>HYPERLINK("https://shopee.co.id/api/v4/item/get?itemid=11622972102&amp;shopid=14318452", "LUX Botanicals Antibacterial Hand Wash Gardenia &amp; Honey Pump 400ML Twin Pack")</f>
        <v/>
      </c>
      <c r="P1287" t="n">
        <v>0</v>
      </c>
      <c r="Q1287" t="n">
        <v>45</v>
      </c>
      <c r="R1287" t="n">
        <v>4.96875</v>
      </c>
      <c r="S1287" t="n">
        <v>0</v>
      </c>
      <c r="T1287" t="n">
        <v>0</v>
      </c>
      <c r="U1287" t="n">
        <v>0</v>
      </c>
      <c r="V1287" t="n">
        <v>1</v>
      </c>
      <c r="W1287" t="n">
        <v>31</v>
      </c>
    </row>
    <row r="1288">
      <c r="A1288" t="inlineStr">
        <is>
          <t>St Ives Body Wash Softening Coconut Water and Orchid 473ml</t>
        </is>
      </c>
      <c r="B1288" t="inlineStr"/>
      <c r="C1288" t="inlineStr">
        <is>
          <t>15%</t>
        </is>
      </c>
      <c r="D1288" t="n">
        <v>74800</v>
      </c>
      <c r="E1288" t="n">
        <v>87500</v>
      </c>
      <c r="F1288" t="n">
        <v>74800</v>
      </c>
      <c r="G1288" t="n">
        <v>87500</v>
      </c>
      <c r="H1288" t="n">
        <v>74800</v>
      </c>
      <c r="I1288" t="n">
        <v>87500</v>
      </c>
      <c r="J1288" t="b">
        <v>0</v>
      </c>
      <c r="K1288" t="inlineStr">
        <is>
          <t>Unilever Indonesia Official Shop</t>
        </is>
      </c>
      <c r="L1288" t="inlineStr">
        <is>
          <t>KOTA BEKASI</t>
        </is>
      </c>
      <c r="M1288" t="n">
        <v>15405997272</v>
      </c>
      <c r="N1288" t="n">
        <v>14318452</v>
      </c>
      <c r="O1288">
        <f>HYPERLINK("https://shopee.co.id/api/v4/item/get?itemid=15405997272&amp;shopid=14318452", "St Ives Body Wash Softening Coconut Water and Orchid 473ml")</f>
        <v/>
      </c>
      <c r="P1288" t="n">
        <v>7</v>
      </c>
      <c r="Q1288" t="n">
        <v>59</v>
      </c>
      <c r="R1288" t="n">
        <v>4.824324324324325</v>
      </c>
      <c r="S1288" t="n">
        <v>1</v>
      </c>
      <c r="T1288" t="n">
        <v>0</v>
      </c>
      <c r="U1288" t="n">
        <v>2</v>
      </c>
      <c r="V1288" t="n">
        <v>5</v>
      </c>
      <c r="W1288" t="n">
        <v>66</v>
      </c>
    </row>
    <row r="1289">
      <c r="A1289" t="inlineStr">
        <is>
          <t>Pepsodent Triple Clean Sikat Gigi Soft Isi 3 Twin Pack</t>
        </is>
      </c>
      <c r="B1289" t="inlineStr">
        <is>
          <t>Pepsodent</t>
        </is>
      </c>
      <c r="C1289" t="inlineStr">
        <is>
          <t>21%</t>
        </is>
      </c>
      <c r="D1289" t="n">
        <v>17000</v>
      </c>
      <c r="E1289" t="n">
        <v>21600</v>
      </c>
      <c r="F1289" t="n">
        <v>17000</v>
      </c>
      <c r="G1289" t="n">
        <v>21600</v>
      </c>
      <c r="H1289" t="n">
        <v>17000</v>
      </c>
      <c r="I1289" t="n">
        <v>21600</v>
      </c>
      <c r="J1289" t="b">
        <v>1</v>
      </c>
      <c r="K1289" t="inlineStr">
        <is>
          <t>Unilever Indonesia Official Shop</t>
        </is>
      </c>
      <c r="L1289" t="inlineStr">
        <is>
          <t>KOTA BEKASI</t>
        </is>
      </c>
      <c r="M1289" t="n">
        <v>5531354722</v>
      </c>
      <c r="N1289" t="n">
        <v>14318452</v>
      </c>
      <c r="O1289">
        <f>HYPERLINK("https://shopee.co.id/api/v4/item/get?itemid=5531354722&amp;shopid=14318452", "Pepsodent Triple Clean Sikat Gigi Soft Isi 3 Twin Pack")</f>
        <v/>
      </c>
      <c r="P1289" t="n">
        <v>55</v>
      </c>
      <c r="Q1289" t="n">
        <v>257</v>
      </c>
      <c r="R1289" t="n">
        <v>4.890410958904109</v>
      </c>
      <c r="S1289" t="n">
        <v>2</v>
      </c>
      <c r="T1289" t="n">
        <v>0</v>
      </c>
      <c r="U1289" t="n">
        <v>0</v>
      </c>
      <c r="V1289" t="n">
        <v>8</v>
      </c>
      <c r="W1289" t="n">
        <v>136</v>
      </c>
    </row>
    <row r="1290">
      <c r="A1290" t="inlineStr">
        <is>
          <t>Baby Dove Hair to Toe Wash Rich Moisture 591ml</t>
        </is>
      </c>
      <c r="B1290" t="inlineStr"/>
      <c r="C1290" t="inlineStr">
        <is>
          <t>8%</t>
        </is>
      </c>
      <c r="D1290" t="n">
        <v>117400</v>
      </c>
      <c r="E1290" t="n">
        <v>128000</v>
      </c>
      <c r="F1290" t="n">
        <v>117400</v>
      </c>
      <c r="G1290" t="n">
        <v>128000</v>
      </c>
      <c r="H1290" t="n">
        <v>117400</v>
      </c>
      <c r="I1290" t="n">
        <v>128000</v>
      </c>
      <c r="J1290" t="b">
        <v>0</v>
      </c>
      <c r="K1290" t="inlineStr">
        <is>
          <t>Unilever Indonesia Official Shop</t>
        </is>
      </c>
      <c r="L1290" t="inlineStr">
        <is>
          <t>KOTA BEKASI</t>
        </is>
      </c>
      <c r="M1290" t="n">
        <v>12545677432</v>
      </c>
      <c r="N1290" t="n">
        <v>14318452</v>
      </c>
      <c r="O1290">
        <f>HYPERLINK("https://shopee.co.id/api/v4/item/get?itemid=12545677432&amp;shopid=14318452", "Baby Dove Hair to Toe Wash Rich Moisture 591ml")</f>
        <v/>
      </c>
      <c r="P1290" t="n">
        <v>26</v>
      </c>
      <c r="Q1290" t="n">
        <v>73</v>
      </c>
      <c r="R1290" t="n">
        <v>4.777777777777778</v>
      </c>
      <c r="S1290" t="n">
        <v>0</v>
      </c>
      <c r="T1290" t="n">
        <v>4</v>
      </c>
      <c r="U1290" t="n">
        <v>5</v>
      </c>
      <c r="V1290" t="n">
        <v>4</v>
      </c>
      <c r="W1290" t="n">
        <v>104</v>
      </c>
    </row>
    <row r="1291">
      <c r="A1291" t="inlineStr">
        <is>
          <t>TRESEMME SCALP CARE SHAMPOO PERAWATAN KULIT KEPALA BERKETOMBE 850ML</t>
        </is>
      </c>
      <c r="B1291" t="inlineStr"/>
      <c r="C1291" t="inlineStr">
        <is>
          <t>18%</t>
        </is>
      </c>
      <c r="D1291" t="n">
        <v>94700</v>
      </c>
      <c r="E1291" t="n">
        <v>116100</v>
      </c>
      <c r="F1291" t="n">
        <v>94700</v>
      </c>
      <c r="G1291" t="n">
        <v>116100</v>
      </c>
      <c r="H1291" t="n">
        <v>94700</v>
      </c>
      <c r="I1291" t="n">
        <v>116100</v>
      </c>
      <c r="J1291" t="b">
        <v>0</v>
      </c>
      <c r="K1291" t="inlineStr">
        <is>
          <t>Unilever Indonesia Official Shop</t>
        </is>
      </c>
      <c r="L1291" t="inlineStr">
        <is>
          <t>KOTA BEKASI</t>
        </is>
      </c>
      <c r="M1291" t="n">
        <v>12256862248</v>
      </c>
      <c r="N1291" t="n">
        <v>14318452</v>
      </c>
      <c r="O1291">
        <f>HYPERLINK("https://shopee.co.id/api/v4/item/get?itemid=12256862248&amp;shopid=14318452", "TRESEMME SCALP CARE SHAMPOO PERAWATAN KULIT KEPALA BERKETOMBE 850ML")</f>
        <v/>
      </c>
      <c r="P1291" t="n">
        <v>1129</v>
      </c>
      <c r="Q1291" t="n">
        <v>1500</v>
      </c>
      <c r="R1291" t="n">
        <v>4.93518094365552</v>
      </c>
      <c r="S1291" t="n">
        <v>13</v>
      </c>
      <c r="T1291" t="n">
        <v>6</v>
      </c>
      <c r="U1291" t="n">
        <v>16</v>
      </c>
      <c r="V1291" t="n">
        <v>185</v>
      </c>
      <c r="W1291" t="n">
        <v>4147</v>
      </c>
    </row>
    <row r="1292">
      <c r="A1292" t="inlineStr">
        <is>
          <t>St Ives Body Wash 
Exfoliating Pink Lemon &amp; 
Mandarin Orange 473ml</t>
        </is>
      </c>
      <c r="B1292" t="inlineStr"/>
      <c r="C1292" t="inlineStr">
        <is>
          <t>15%</t>
        </is>
      </c>
      <c r="D1292" t="n">
        <v>74800</v>
      </c>
      <c r="E1292" t="n">
        <v>87500</v>
      </c>
      <c r="F1292" t="n">
        <v>74800</v>
      </c>
      <c r="G1292" t="n">
        <v>87500</v>
      </c>
      <c r="H1292" t="n">
        <v>74800</v>
      </c>
      <c r="I1292" t="n">
        <v>87500</v>
      </c>
      <c r="J1292" t="b">
        <v>0</v>
      </c>
      <c r="K1292" t="inlineStr">
        <is>
          <t>Unilever Indonesia Official Shop</t>
        </is>
      </c>
      <c r="L1292" t="inlineStr">
        <is>
          <t>KOTA BEKASI</t>
        </is>
      </c>
      <c r="M1292" t="n">
        <v>15606000581</v>
      </c>
      <c r="N1292" t="n">
        <v>14318452</v>
      </c>
      <c r="O1292">
        <f>HYPERLINK("https://shopee.co.id/api/v4/item/get?itemid=15606000581&amp;shopid=14318452", "St Ives Body Wash 
Exfoliating Pink Lemon &amp; 
Mandarin Orange 473ml")</f>
        <v/>
      </c>
      <c r="P1292" t="n">
        <v>31</v>
      </c>
      <c r="Q1292" t="n">
        <v>36</v>
      </c>
      <c r="R1292" t="n">
        <v>4.931818181818182</v>
      </c>
      <c r="S1292" t="n">
        <v>0</v>
      </c>
      <c r="T1292" t="n">
        <v>1</v>
      </c>
      <c r="U1292" t="n">
        <v>1</v>
      </c>
      <c r="V1292" t="n">
        <v>7</v>
      </c>
      <c r="W1292" t="n">
        <v>167</v>
      </c>
    </row>
    <row r="1293">
      <c r="A1293" t="inlineStr">
        <is>
          <t>POND'S VITAMIN DUO SHEET MASK / MASKER WAJAH COCONUT WATER + VIT B3 - 2 Pcs</t>
        </is>
      </c>
      <c r="B1293" t="inlineStr">
        <is>
          <t>Pond's</t>
        </is>
      </c>
      <c r="C1293" t="inlineStr">
        <is>
          <t>28%</t>
        </is>
      </c>
      <c r="D1293" t="n">
        <v>30900</v>
      </c>
      <c r="E1293" t="n">
        <v>42800</v>
      </c>
      <c r="F1293" t="n">
        <v>30900</v>
      </c>
      <c r="G1293" t="n">
        <v>42800</v>
      </c>
      <c r="H1293" t="n">
        <v>30900</v>
      </c>
      <c r="I1293" t="n">
        <v>42800</v>
      </c>
      <c r="J1293" t="b">
        <v>1</v>
      </c>
      <c r="K1293" t="inlineStr">
        <is>
          <t>Unilever Indonesia Official Shop</t>
        </is>
      </c>
      <c r="L1293" t="inlineStr">
        <is>
          <t>KOTA SURABAYA</t>
        </is>
      </c>
      <c r="M1293" t="n">
        <v>9730732576</v>
      </c>
      <c r="N1293" t="n">
        <v>14318452</v>
      </c>
      <c r="O1293">
        <f>HYPERLINK("https://shopee.co.id/api/v4/item/get?itemid=9730732576&amp;shopid=14318452", "POND'S VITAMIN DUO SHEET MASK / MASKER WAJAH COCONUT WATER + VIT B3 - 2 Pcs")</f>
        <v/>
      </c>
      <c r="P1293" t="n">
        <v>2</v>
      </c>
      <c r="Q1293" t="n">
        <v>85</v>
      </c>
      <c r="R1293" t="n">
        <v>4.868421052631579</v>
      </c>
      <c r="S1293" t="n">
        <v>0</v>
      </c>
      <c r="T1293" t="n">
        <v>1</v>
      </c>
      <c r="U1293" t="n">
        <v>2</v>
      </c>
      <c r="V1293" t="n">
        <v>8</v>
      </c>
      <c r="W1293" t="n">
        <v>103</v>
      </c>
    </row>
    <row r="1294">
      <c r="A1294" t="inlineStr">
        <is>
          <t>Paket Hampers St. Ives Hand Cream</t>
        </is>
      </c>
      <c r="B1294" t="inlineStr">
        <is>
          <t>St.Ives</t>
        </is>
      </c>
      <c r="C1294" t="inlineStr">
        <is>
          <t>12%</t>
        </is>
      </c>
      <c r="D1294" t="n">
        <v>265500</v>
      </c>
      <c r="E1294" t="n">
        <v>300000</v>
      </c>
      <c r="F1294" t="n">
        <v>265500</v>
      </c>
      <c r="G1294" t="n">
        <v>300000</v>
      </c>
      <c r="H1294" t="n">
        <v>265500</v>
      </c>
      <c r="I1294" t="n">
        <v>300000</v>
      </c>
      <c r="J1294" t="b">
        <v>1</v>
      </c>
      <c r="K1294" t="inlineStr">
        <is>
          <t>Unilever Indonesia Official Shop</t>
        </is>
      </c>
      <c r="L1294" t="inlineStr">
        <is>
          <t>KOTA PEKANBARU</t>
        </is>
      </c>
      <c r="M1294" t="n">
        <v>8335521472</v>
      </c>
      <c r="N1294" t="n">
        <v>14318452</v>
      </c>
      <c r="O1294">
        <f>HYPERLINK("https://shopee.co.id/api/v4/item/get?itemid=8335521472&amp;shopid=14318452", "Paket Hampers St. Ives Hand Cream")</f>
        <v/>
      </c>
      <c r="P1294" t="n">
        <v>4</v>
      </c>
      <c r="Q1294" t="n">
        <v>3</v>
      </c>
      <c r="R1294" t="n">
        <v>4.678571428571429</v>
      </c>
      <c r="S1294" t="n">
        <v>1</v>
      </c>
      <c r="T1294" t="n">
        <v>1</v>
      </c>
      <c r="U1294" t="n">
        <v>0</v>
      </c>
      <c r="V1294" t="n">
        <v>2</v>
      </c>
      <c r="W1294" t="n">
        <v>24</v>
      </c>
    </row>
    <row r="1295">
      <c r="A1295" t="inlineStr">
        <is>
          <t>Baby Dove Hair to Toe Wash Sensitive Moisture 1L</t>
        </is>
      </c>
      <c r="B1295" t="inlineStr"/>
      <c r="C1295" t="inlineStr">
        <is>
          <t>1%</t>
        </is>
      </c>
      <c r="D1295" t="n">
        <v>232700</v>
      </c>
      <c r="E1295" t="n">
        <v>235000</v>
      </c>
      <c r="F1295" t="n">
        <v>232700</v>
      </c>
      <c r="G1295" t="n">
        <v>235000</v>
      </c>
      <c r="H1295" t="n">
        <v>232700</v>
      </c>
      <c r="I1295" t="n">
        <v>235000</v>
      </c>
      <c r="J1295" t="b">
        <v>0</v>
      </c>
      <c r="K1295" t="inlineStr">
        <is>
          <t>Unilever Indonesia Official Shop</t>
        </is>
      </c>
      <c r="L1295" t="inlineStr">
        <is>
          <t>KOTA BEKASI</t>
        </is>
      </c>
      <c r="M1295" t="n">
        <v>13545666303</v>
      </c>
      <c r="N1295" t="n">
        <v>14318452</v>
      </c>
      <c r="O1295">
        <f>HYPERLINK("https://shopee.co.id/api/v4/item/get?itemid=13545666303&amp;shopid=14318452", "Baby Dove Hair to Toe Wash Sensitive Moisture 1L")</f>
        <v/>
      </c>
      <c r="P1295" t="n">
        <v>23</v>
      </c>
      <c r="Q1295" t="n">
        <v>33</v>
      </c>
      <c r="R1295" t="n">
        <v>4.734939759036145</v>
      </c>
      <c r="S1295" t="n">
        <v>0</v>
      </c>
      <c r="T1295" t="n">
        <v>6</v>
      </c>
      <c r="U1295" t="n">
        <v>1</v>
      </c>
      <c r="V1295" t="n">
        <v>2</v>
      </c>
      <c r="W1295" t="n">
        <v>74</v>
      </c>
    </row>
    <row r="1296">
      <c r="A1296" t="inlineStr">
        <is>
          <t>Baby Dove Hair to Toe Wash Sensitive Moisture 591ml</t>
        </is>
      </c>
      <c r="B1296" t="inlineStr"/>
      <c r="C1296" t="inlineStr">
        <is>
          <t>8%</t>
        </is>
      </c>
      <c r="D1296" t="n">
        <v>135000</v>
      </c>
      <c r="E1296" t="n">
        <v>147000</v>
      </c>
      <c r="F1296" t="n">
        <v>135000</v>
      </c>
      <c r="G1296" t="n">
        <v>147000</v>
      </c>
      <c r="H1296" t="n">
        <v>135000</v>
      </c>
      <c r="I1296" t="n">
        <v>147000</v>
      </c>
      <c r="J1296" t="b">
        <v>0</v>
      </c>
      <c r="K1296" t="inlineStr">
        <is>
          <t>Unilever Indonesia Official Shop</t>
        </is>
      </c>
      <c r="L1296" t="inlineStr">
        <is>
          <t>KOTA BEKASI</t>
        </is>
      </c>
      <c r="M1296" t="n">
        <v>11169274599</v>
      </c>
      <c r="N1296" t="n">
        <v>14318452</v>
      </c>
      <c r="O1296">
        <f>HYPERLINK("https://shopee.co.id/api/v4/item/get?itemid=11169274599&amp;shopid=14318452", "Baby Dove Hair to Toe Wash Sensitive Moisture 591ml")</f>
        <v/>
      </c>
      <c r="P1296" t="n">
        <v>25</v>
      </c>
      <c r="Q1296" t="n">
        <v>14</v>
      </c>
      <c r="R1296" t="n">
        <v>4.747826086956522</v>
      </c>
      <c r="S1296" t="n">
        <v>2</v>
      </c>
      <c r="T1296" t="n">
        <v>2</v>
      </c>
      <c r="U1296" t="n">
        <v>4</v>
      </c>
      <c r="V1296" t="n">
        <v>7</v>
      </c>
      <c r="W1296" t="n">
        <v>100</v>
      </c>
    </row>
    <row r="1297">
      <c r="A1297" t="inlineStr">
        <is>
          <t>St. Ives Renewing Body Lotion Collagen &amp; Elastin 621ml</t>
        </is>
      </c>
      <c r="B1297" t="inlineStr"/>
      <c r="C1297" t="inlineStr">
        <is>
          <t>14%</t>
        </is>
      </c>
      <c r="D1297" t="n">
        <v>92800</v>
      </c>
      <c r="E1297" t="n">
        <v>108500</v>
      </c>
      <c r="F1297" t="n">
        <v>92800</v>
      </c>
      <c r="G1297" t="n">
        <v>108500</v>
      </c>
      <c r="H1297" t="n">
        <v>92800</v>
      </c>
      <c r="I1297" t="n">
        <v>108500</v>
      </c>
      <c r="J1297" t="b">
        <v>0</v>
      </c>
      <c r="K1297" t="inlineStr">
        <is>
          <t>Unilever Indonesia Official Shop</t>
        </is>
      </c>
      <c r="L1297" t="inlineStr">
        <is>
          <t>KOTA BEKASI</t>
        </is>
      </c>
      <c r="M1297" t="n">
        <v>12954486260</v>
      </c>
      <c r="N1297" t="n">
        <v>14318452</v>
      </c>
      <c r="O1297">
        <f>HYPERLINK("https://shopee.co.id/api/v4/item/get?itemid=12954486260&amp;shopid=14318452", "St. Ives Renewing Body Lotion Collagen &amp; Elastin 621ml")</f>
        <v/>
      </c>
      <c r="P1297" t="n">
        <v>21</v>
      </c>
      <c r="Q1297" t="n">
        <v>33</v>
      </c>
      <c r="R1297" t="n">
        <v>4.790697674418604</v>
      </c>
      <c r="S1297" t="n">
        <v>2</v>
      </c>
      <c r="T1297" t="n">
        <v>0</v>
      </c>
      <c r="U1297" t="n">
        <v>0</v>
      </c>
      <c r="V1297" t="n">
        <v>10</v>
      </c>
      <c r="W1297" t="n">
        <v>74</v>
      </c>
    </row>
    <row r="1298">
      <c r="A1298" t="inlineStr">
        <is>
          <t>St Ives Softening Coconut and Orchid Body Lotion 621 ml</t>
        </is>
      </c>
      <c r="B1298" t="inlineStr"/>
      <c r="C1298" t="inlineStr">
        <is>
          <t>14%</t>
        </is>
      </c>
      <c r="D1298" t="n">
        <v>92800</v>
      </c>
      <c r="E1298" t="n">
        <v>108500</v>
      </c>
      <c r="F1298" t="n">
        <v>92800</v>
      </c>
      <c r="G1298" t="n">
        <v>108500</v>
      </c>
      <c r="H1298" t="n">
        <v>92800</v>
      </c>
      <c r="I1298" t="n">
        <v>108500</v>
      </c>
      <c r="J1298" t="b">
        <v>0</v>
      </c>
      <c r="K1298" t="inlineStr">
        <is>
          <t>Unilever Indonesia Official Shop</t>
        </is>
      </c>
      <c r="L1298" t="inlineStr">
        <is>
          <t>KOTA BEKASI</t>
        </is>
      </c>
      <c r="M1298" t="n">
        <v>12354485187</v>
      </c>
      <c r="N1298" t="n">
        <v>14318452</v>
      </c>
      <c r="O1298">
        <f>HYPERLINK("https://shopee.co.id/api/v4/item/get?itemid=12354485187&amp;shopid=14318452", "St Ives Softening Coconut and Orchid Body Lotion 621 ml")</f>
        <v/>
      </c>
      <c r="P1298" t="n">
        <v>12</v>
      </c>
      <c r="Q1298" t="n">
        <v>48</v>
      </c>
      <c r="R1298" t="n">
        <v>4.871794871794871</v>
      </c>
      <c r="S1298" t="n">
        <v>2</v>
      </c>
      <c r="T1298" t="n">
        <v>0</v>
      </c>
      <c r="U1298" t="n">
        <v>0</v>
      </c>
      <c r="V1298" t="n">
        <v>2</v>
      </c>
      <c r="W1298" t="n">
        <v>74</v>
      </c>
    </row>
    <row r="1299">
      <c r="A1299" t="inlineStr">
        <is>
          <t>Cif Multipurpose Disinfectant Spray Ocean Breeze 200ml</t>
        </is>
      </c>
      <c r="B1299" t="inlineStr"/>
      <c r="C1299" t="inlineStr">
        <is>
          <t>21%</t>
        </is>
      </c>
      <c r="D1299" t="n">
        <v>41900</v>
      </c>
      <c r="E1299" t="n">
        <v>52900</v>
      </c>
      <c r="F1299" t="n">
        <v>41900</v>
      </c>
      <c r="G1299" t="n">
        <v>52900</v>
      </c>
      <c r="H1299" t="n">
        <v>41900</v>
      </c>
      <c r="I1299" t="n">
        <v>52900</v>
      </c>
      <c r="J1299" t="b">
        <v>0</v>
      </c>
      <c r="K1299" t="inlineStr">
        <is>
          <t>Unilever Indonesia Official Shop</t>
        </is>
      </c>
      <c r="L1299" t="inlineStr">
        <is>
          <t>KOTA BEKASI</t>
        </is>
      </c>
      <c r="M1299" t="n">
        <v>10465402287</v>
      </c>
      <c r="N1299" t="n">
        <v>14318452</v>
      </c>
      <c r="O1299">
        <f>HYPERLINK("https://shopee.co.id/api/v4/item/get?itemid=10465402287&amp;shopid=14318452", "Cif Multipurpose Disinfectant Spray Ocean Breeze 200ml")</f>
        <v/>
      </c>
      <c r="P1299" t="n">
        <v>3</v>
      </c>
      <c r="Q1299" t="n">
        <v>8</v>
      </c>
      <c r="R1299" t="n">
        <v>4.863636363636363</v>
      </c>
      <c r="S1299" t="n">
        <v>0</v>
      </c>
      <c r="T1299" t="n">
        <v>0</v>
      </c>
      <c r="U1299" t="n">
        <v>1</v>
      </c>
      <c r="V1299" t="n">
        <v>1</v>
      </c>
      <c r="W1299" t="n">
        <v>20</v>
      </c>
    </row>
    <row r="1300">
      <c r="A1300" t="inlineStr">
        <is>
          <t>Sunsilk Shampoo Soft &amp; Smooth 340Ml+Sunsilk Hair Vitamin Mist 40Ml X2 Free Hair Mist Holder</t>
        </is>
      </c>
      <c r="B1300" t="inlineStr">
        <is>
          <t>Sunsilk</t>
        </is>
      </c>
      <c r="C1300" t="inlineStr">
        <is>
          <t>18%</t>
        </is>
      </c>
      <c r="D1300" t="n">
        <v>74300</v>
      </c>
      <c r="E1300" t="n">
        <v>90200</v>
      </c>
      <c r="F1300" t="n">
        <v>74300</v>
      </c>
      <c r="G1300" t="n">
        <v>90200</v>
      </c>
      <c r="H1300" t="n">
        <v>74300</v>
      </c>
      <c r="I1300" t="n">
        <v>90200</v>
      </c>
      <c r="J1300" t="b">
        <v>1</v>
      </c>
      <c r="K1300" t="inlineStr">
        <is>
          <t>Unilever Indonesia Official Shop</t>
        </is>
      </c>
      <c r="L1300" t="inlineStr">
        <is>
          <t>KOTA BEKASI</t>
        </is>
      </c>
      <c r="M1300" t="n">
        <v>11607832057</v>
      </c>
      <c r="N1300" t="n">
        <v>14318452</v>
      </c>
      <c r="O1300">
        <f>HYPERLINK("https://shopee.co.id/api/v4/item/get?itemid=11607832057&amp;shopid=14318452", "Sunsilk Shampoo Soft &amp; Smooth 340Ml+Sunsilk Hair Vitamin Mist 40Ml X2 Free Hair Mist Holder")</f>
        <v/>
      </c>
      <c r="P1300" t="n">
        <v>8</v>
      </c>
      <c r="Q1300" t="n">
        <v>51</v>
      </c>
      <c r="R1300" t="n">
        <v>4.772727272727272</v>
      </c>
      <c r="S1300" t="n">
        <v>2</v>
      </c>
      <c r="T1300" t="n">
        <v>0</v>
      </c>
      <c r="U1300" t="n">
        <v>1</v>
      </c>
      <c r="V1300" t="n">
        <v>5</v>
      </c>
      <c r="W1300" t="n">
        <v>58</v>
      </c>
    </row>
    <row r="1301">
      <c r="A1301" t="inlineStr">
        <is>
          <t>PONDS Pure Bright 2in1 Sheet Mask Brighten Skin 25G - 10 Pcs</t>
        </is>
      </c>
      <c r="B1301" t="inlineStr">
        <is>
          <t>Pond's</t>
        </is>
      </c>
      <c r="C1301" t="inlineStr">
        <is>
          <t>24%</t>
        </is>
      </c>
      <c r="D1301" t="n">
        <v>190800</v>
      </c>
      <c r="E1301" t="n">
        <v>250000</v>
      </c>
      <c r="F1301" t="n">
        <v>190800</v>
      </c>
      <c r="G1301" t="n">
        <v>250000</v>
      </c>
      <c r="H1301" t="n">
        <v>190800</v>
      </c>
      <c r="I1301" t="n">
        <v>250000</v>
      </c>
      <c r="J1301" t="b">
        <v>1</v>
      </c>
      <c r="K1301" t="inlineStr">
        <is>
          <t>Unilever Indonesia Official Shop</t>
        </is>
      </c>
      <c r="L1301" t="inlineStr">
        <is>
          <t>KAB. BANYUASIN</t>
        </is>
      </c>
      <c r="M1301" t="n">
        <v>6662645737</v>
      </c>
      <c r="N1301" t="n">
        <v>14318452</v>
      </c>
      <c r="O1301">
        <f>HYPERLINK("https://shopee.co.id/api/v4/item/get?itemid=6662645737&amp;shopid=14318452", "PONDS Pure Bright 2in1 Sheet Mask Brighten Skin 25G - 10 Pcs")</f>
        <v/>
      </c>
      <c r="P1301" t="n">
        <v>0</v>
      </c>
      <c r="Q1301" t="n">
        <v>4</v>
      </c>
      <c r="R1301" t="n">
        <v>4.4</v>
      </c>
      <c r="S1301" t="n">
        <v>1</v>
      </c>
      <c r="T1301" t="n">
        <v>2</v>
      </c>
      <c r="U1301" t="n">
        <v>0</v>
      </c>
      <c r="V1301" t="n">
        <v>2</v>
      </c>
      <c r="W1301" t="n">
        <v>15</v>
      </c>
    </row>
    <row r="1302">
      <c r="A1302" t="inlineStr">
        <is>
          <t>St. Ives Softening Rose &amp; Argan Oil 621ml</t>
        </is>
      </c>
      <c r="B1302" t="inlineStr"/>
      <c r="C1302" t="inlineStr">
        <is>
          <t>6%</t>
        </is>
      </c>
      <c r="D1302" t="n">
        <v>92800</v>
      </c>
      <c r="E1302" t="n">
        <v>99000</v>
      </c>
      <c r="F1302" t="n">
        <v>92800</v>
      </c>
      <c r="G1302" t="n">
        <v>99000</v>
      </c>
      <c r="H1302" t="n">
        <v>92800</v>
      </c>
      <c r="I1302" t="n">
        <v>99000</v>
      </c>
      <c r="J1302" t="b">
        <v>0</v>
      </c>
      <c r="K1302" t="inlineStr">
        <is>
          <t>Unilever Indonesia Official Shop</t>
        </is>
      </c>
      <c r="L1302" t="inlineStr">
        <is>
          <t>KOTA BEKASI</t>
        </is>
      </c>
      <c r="M1302" t="n">
        <v>12454486607</v>
      </c>
      <c r="N1302" t="n">
        <v>14318452</v>
      </c>
      <c r="O1302">
        <f>HYPERLINK("https://shopee.co.id/api/v4/item/get?itemid=12454486607&amp;shopid=14318452", "St. Ives Softening Rose &amp; Argan Oil 621ml")</f>
        <v/>
      </c>
      <c r="P1302" t="n">
        <v>24</v>
      </c>
      <c r="Q1302" t="n">
        <v>26</v>
      </c>
      <c r="R1302" t="n">
        <v>4.789473684210527</v>
      </c>
      <c r="S1302" t="n">
        <v>1</v>
      </c>
      <c r="T1302" t="n">
        <v>2</v>
      </c>
      <c r="U1302" t="n">
        <v>3</v>
      </c>
      <c r="V1302" t="n">
        <v>8</v>
      </c>
      <c r="W1302" t="n">
        <v>100</v>
      </c>
    </row>
    <row r="1303">
      <c r="A1303" t="inlineStr">
        <is>
          <t>Pond's Men Bright Boost Face Moisturizer 20 ml</t>
        </is>
      </c>
      <c r="B1303" t="inlineStr"/>
      <c r="C1303" t="inlineStr">
        <is>
          <t>11%</t>
        </is>
      </c>
      <c r="D1303" t="n">
        <v>30900</v>
      </c>
      <c r="E1303" t="n">
        <v>34800</v>
      </c>
      <c r="F1303" t="n">
        <v>30900</v>
      </c>
      <c r="G1303" t="n">
        <v>34800</v>
      </c>
      <c r="H1303" t="n">
        <v>30900</v>
      </c>
      <c r="I1303" t="n">
        <v>34800</v>
      </c>
      <c r="J1303" t="b">
        <v>0</v>
      </c>
      <c r="K1303" t="inlineStr">
        <is>
          <t>Unilever Indonesia Official Shop</t>
        </is>
      </c>
      <c r="L1303" t="inlineStr">
        <is>
          <t>KOTA BEKASI</t>
        </is>
      </c>
      <c r="M1303" t="n">
        <v>12826185858</v>
      </c>
      <c r="N1303" t="n">
        <v>14318452</v>
      </c>
      <c r="O1303">
        <f>HYPERLINK("https://shopee.co.id/api/v4/item/get?itemid=12826185858&amp;shopid=14318452", "Pond's Men Bright Boost Face Moisturizer 20 ml")</f>
        <v/>
      </c>
      <c r="P1303" t="n">
        <v>370</v>
      </c>
      <c r="Q1303" t="n">
        <v>776</v>
      </c>
      <c r="R1303" t="n">
        <v>4.894555478980013</v>
      </c>
      <c r="S1303" t="n">
        <v>3</v>
      </c>
      <c r="T1303" t="n">
        <v>1</v>
      </c>
      <c r="U1303" t="n">
        <v>21</v>
      </c>
      <c r="V1303" t="n">
        <v>96</v>
      </c>
      <c r="W1303" t="n">
        <v>1330</v>
      </c>
    </row>
    <row r="1304">
      <c r="A1304" t="inlineStr">
        <is>
          <t>LUX Botanicals Gardenia &amp; Honey Body Mist 100ML Triple Pack</t>
        </is>
      </c>
      <c r="B1304" t="inlineStr">
        <is>
          <t>None</t>
        </is>
      </c>
      <c r="C1304" t="inlineStr">
        <is>
          <t>2%</t>
        </is>
      </c>
      <c r="D1304" t="n">
        <v>102600</v>
      </c>
      <c r="E1304" t="n">
        <v>105000</v>
      </c>
      <c r="F1304" t="n">
        <v>102600</v>
      </c>
      <c r="G1304" t="n">
        <v>105000</v>
      </c>
      <c r="H1304" t="n">
        <v>102600</v>
      </c>
      <c r="I1304" t="n">
        <v>105000</v>
      </c>
      <c r="J1304" t="b">
        <v>0</v>
      </c>
      <c r="K1304" t="inlineStr">
        <is>
          <t>Unilever Indonesia Official Shop</t>
        </is>
      </c>
      <c r="L1304" t="inlineStr">
        <is>
          <t>KOTA SEMARANG</t>
        </is>
      </c>
      <c r="M1304" t="n">
        <v>5696352727</v>
      </c>
      <c r="N1304" t="n">
        <v>14318452</v>
      </c>
      <c r="O1304">
        <f>HYPERLINK("https://shopee.co.id/api/v4/item/get?itemid=5696352727&amp;shopid=14318452", "LUX Botanicals Gardenia &amp; Honey Body Mist 100ML Triple Pack")</f>
        <v/>
      </c>
      <c r="P1304" t="n">
        <v>12</v>
      </c>
      <c r="Q1304" t="n">
        <v>23</v>
      </c>
      <c r="R1304" t="n">
        <v>4.95</v>
      </c>
      <c r="S1304" t="n">
        <v>0</v>
      </c>
      <c r="T1304" t="n">
        <v>0</v>
      </c>
      <c r="U1304" t="n">
        <v>0</v>
      </c>
      <c r="V1304" t="n">
        <v>2</v>
      </c>
      <c r="W1304" t="n">
        <v>38</v>
      </c>
    </row>
    <row r="1305">
      <c r="A1305" t="inlineStr">
        <is>
          <t xml:space="preserve"> BUY 2x CLEAR SHAMPOO ANTI KETOMBE COMPLETE SOFT CARE 300ML FREE CLEAR MEN COOL SPORT MENTHOL 160ML</t>
        </is>
      </c>
      <c r="B1305" t="inlineStr">
        <is>
          <t>None</t>
        </is>
      </c>
      <c r="C1305" t="inlineStr">
        <is>
          <t>15%</t>
        </is>
      </c>
      <c r="D1305" t="n">
        <v>105200</v>
      </c>
      <c r="E1305" t="n">
        <v>123600</v>
      </c>
      <c r="F1305" t="n">
        <v>105200</v>
      </c>
      <c r="G1305" t="n">
        <v>123600</v>
      </c>
      <c r="H1305" t="n">
        <v>105200</v>
      </c>
      <c r="I1305" t="n">
        <v>123600</v>
      </c>
      <c r="J1305" t="b">
        <v>1</v>
      </c>
      <c r="K1305" t="inlineStr">
        <is>
          <t>Unilever Indonesia Official Shop</t>
        </is>
      </c>
      <c r="L1305" t="inlineStr">
        <is>
          <t>KOTA BEKASI</t>
        </is>
      </c>
      <c r="M1305" t="n">
        <v>11245871581</v>
      </c>
      <c r="N1305" t="n">
        <v>14318452</v>
      </c>
      <c r="O1305">
        <f>HYPERLINK("https://shopee.co.id/api/v4/item/get?itemid=11245871581&amp;shopid=14318452", " BUY 2x CLEAR SHAMPOO ANTI KETOMBE COMPLETE SOFT CARE 300ML FREE CLEAR MEN COOL SPORT MENTHOL 160ML")</f>
        <v/>
      </c>
      <c r="P1305" t="n">
        <v>1</v>
      </c>
      <c r="Q1305" t="n">
        <v>195</v>
      </c>
      <c r="R1305" t="n">
        <v>5</v>
      </c>
      <c r="S1305" t="n">
        <v>0</v>
      </c>
      <c r="T1305" t="n">
        <v>0</v>
      </c>
      <c r="U1305" t="n">
        <v>0</v>
      </c>
      <c r="V1305" t="n">
        <v>0</v>
      </c>
      <c r="W1305" t="n">
        <v>13</v>
      </c>
    </row>
    <row r="1306">
      <c r="A1306" t="inlineStr">
        <is>
          <t>St Ives Body Wash Refreshing Rose Water &amp; Aloe Vera 473ml</t>
        </is>
      </c>
      <c r="B1306" t="inlineStr"/>
      <c r="C1306" t="inlineStr">
        <is>
          <t>30%</t>
        </is>
      </c>
      <c r="D1306" t="n">
        <v>61300</v>
      </c>
      <c r="E1306" t="n">
        <v>87500</v>
      </c>
      <c r="F1306" t="n">
        <v>61300</v>
      </c>
      <c r="G1306" t="n">
        <v>87500</v>
      </c>
      <c r="H1306" t="n">
        <v>61300</v>
      </c>
      <c r="I1306" t="n">
        <v>87500</v>
      </c>
      <c r="J1306" t="b">
        <v>0</v>
      </c>
      <c r="K1306" t="inlineStr">
        <is>
          <t>Unilever Indonesia Official Shop</t>
        </is>
      </c>
      <c r="L1306" t="inlineStr">
        <is>
          <t>KOTA BEKASI</t>
        </is>
      </c>
      <c r="M1306" t="n">
        <v>14806001030</v>
      </c>
      <c r="N1306" t="n">
        <v>14318452</v>
      </c>
      <c r="O1306">
        <f>HYPERLINK("https://shopee.co.id/api/v4/item/get?itemid=14806001030&amp;shopid=14318452", "St Ives Body Wash Refreshing Rose Water &amp; Aloe Vera 473ml")</f>
        <v/>
      </c>
      <c r="P1306" t="n">
        <v>13</v>
      </c>
      <c r="Q1306" t="n">
        <v>32</v>
      </c>
      <c r="R1306" t="n">
        <v>4.92</v>
      </c>
      <c r="S1306" t="n">
        <v>0</v>
      </c>
      <c r="T1306" t="n">
        <v>0</v>
      </c>
      <c r="U1306" t="n">
        <v>1</v>
      </c>
      <c r="V1306" t="n">
        <v>4</v>
      </c>
      <c r="W1306" t="n">
        <v>70</v>
      </c>
    </row>
    <row r="1307">
      <c r="A1307" t="inlineStr">
        <is>
          <t>PONDS JUICE COLLECTION SHEET MASK WATERMELON EXTRACT 20G Twinpack</t>
        </is>
      </c>
      <c r="B1307" t="inlineStr"/>
      <c r="C1307" t="inlineStr">
        <is>
          <t>12%</t>
        </is>
      </c>
      <c r="D1307" t="n">
        <v>37700</v>
      </c>
      <c r="E1307" t="n">
        <v>42800</v>
      </c>
      <c r="F1307" t="n">
        <v>37700</v>
      </c>
      <c r="G1307" t="n">
        <v>42800</v>
      </c>
      <c r="H1307" t="n">
        <v>37700</v>
      </c>
      <c r="I1307" t="n">
        <v>42800</v>
      </c>
      <c r="J1307" t="b">
        <v>0</v>
      </c>
      <c r="K1307" t="inlineStr">
        <is>
          <t>Unilever Indonesia Official Shop</t>
        </is>
      </c>
      <c r="L1307" t="inlineStr">
        <is>
          <t>KOTA BALIKPAPAN</t>
        </is>
      </c>
      <c r="M1307" t="n">
        <v>12453564103</v>
      </c>
      <c r="N1307" t="n">
        <v>14318452</v>
      </c>
      <c r="O1307">
        <f>HYPERLINK("https://shopee.co.id/api/v4/item/get?itemid=12453564103&amp;shopid=14318452", "PONDS JUICE COLLECTION SHEET MASK WATERMELON EXTRACT 20G Twinpack")</f>
        <v/>
      </c>
      <c r="P1307" t="n">
        <v>0</v>
      </c>
      <c r="Q1307" t="n">
        <v>102</v>
      </c>
      <c r="R1307" t="n">
        <v>4.894736842105263</v>
      </c>
      <c r="S1307" t="n">
        <v>0</v>
      </c>
      <c r="T1307" t="n">
        <v>0</v>
      </c>
      <c r="U1307" t="n">
        <v>0</v>
      </c>
      <c r="V1307" t="n">
        <v>2</v>
      </c>
      <c r="W1307" t="n">
        <v>17</v>
      </c>
    </row>
    <row r="1308">
      <c r="A1308" t="inlineStr">
        <is>
          <t>Buy Lifebuoy Shampoo Anti Dandruff 900ML Free Lifebuoy Hair Mist Anti Bakteri 60ML</t>
        </is>
      </c>
      <c r="B1308" t="inlineStr"/>
      <c r="C1308" t="inlineStr">
        <is>
          <t>1%</t>
        </is>
      </c>
      <c r="D1308" t="n">
        <v>69300</v>
      </c>
      <c r="E1308" t="n">
        <v>69900</v>
      </c>
      <c r="F1308" t="n">
        <v>69300</v>
      </c>
      <c r="G1308" t="n">
        <v>69900</v>
      </c>
      <c r="H1308" t="n">
        <v>69300</v>
      </c>
      <c r="I1308" t="n">
        <v>69900</v>
      </c>
      <c r="J1308" t="b">
        <v>0</v>
      </c>
      <c r="K1308" t="inlineStr">
        <is>
          <t>Unilever Indonesia Official Shop</t>
        </is>
      </c>
      <c r="L1308" t="inlineStr">
        <is>
          <t>KOTA BEKASI</t>
        </is>
      </c>
      <c r="M1308" t="n">
        <v>12058845137</v>
      </c>
      <c r="N1308" t="n">
        <v>14318452</v>
      </c>
      <c r="O1308">
        <f>HYPERLINK("https://shopee.co.id/api/v4/item/get?itemid=12058845137&amp;shopid=14318452", "Buy Lifebuoy Shampoo Anti Dandruff 900ML Free Lifebuoy Hair Mist Anti Bakteri 60ML")</f>
        <v/>
      </c>
      <c r="P1308" t="n">
        <v>264</v>
      </c>
      <c r="Q1308" t="n">
        <v>1493</v>
      </c>
      <c r="R1308" t="n">
        <v>4.951798010711554</v>
      </c>
      <c r="S1308" t="n">
        <v>4</v>
      </c>
      <c r="T1308" t="n">
        <v>1</v>
      </c>
      <c r="U1308" t="n">
        <v>6</v>
      </c>
      <c r="V1308" t="n">
        <v>32</v>
      </c>
      <c r="W1308" t="n">
        <v>1264</v>
      </c>
    </row>
    <row r="1309">
      <c r="A1309" t="inlineStr">
        <is>
          <t>Pepsodent Action 123 Pasta Gigi Herbal 75G + 25G</t>
        </is>
      </c>
      <c r="B1309" t="inlineStr"/>
      <c r="C1309" t="inlineStr">
        <is>
          <t>18%</t>
        </is>
      </c>
      <c r="D1309" t="n">
        <v>9900</v>
      </c>
      <c r="E1309" t="n">
        <v>12000</v>
      </c>
      <c r="F1309" t="n">
        <v>9900</v>
      </c>
      <c r="G1309" t="n">
        <v>12000</v>
      </c>
      <c r="H1309" t="n">
        <v>9900</v>
      </c>
      <c r="I1309" t="n">
        <v>12000</v>
      </c>
      <c r="J1309" t="b">
        <v>0</v>
      </c>
      <c r="K1309" t="inlineStr">
        <is>
          <t>Unilever Indonesia Official Shop</t>
        </is>
      </c>
      <c r="L1309" t="inlineStr">
        <is>
          <t>KAB. BANYUASIN</t>
        </is>
      </c>
      <c r="M1309" t="n">
        <v>11871287434</v>
      </c>
      <c r="N1309" t="n">
        <v>14318452</v>
      </c>
      <c r="O1309">
        <f>HYPERLINK("https://shopee.co.id/api/v4/item/get?itemid=11871287434&amp;shopid=14318452", "Pepsodent Action 123 Pasta Gigi Herbal 75G + 25G")</f>
        <v/>
      </c>
      <c r="P1309" t="n">
        <v>958</v>
      </c>
      <c r="Q1309" t="n">
        <v>76</v>
      </c>
      <c r="R1309" t="n">
        <v>4.868071818891491</v>
      </c>
      <c r="S1309" t="n">
        <v>14</v>
      </c>
      <c r="T1309" t="n">
        <v>10</v>
      </c>
      <c r="U1309" t="n">
        <v>30</v>
      </c>
      <c r="V1309" t="n">
        <v>196</v>
      </c>
      <c r="W1309" t="n">
        <v>2313</v>
      </c>
    </row>
    <row r="1310">
      <c r="A1310" t="inlineStr">
        <is>
          <t>LUX Botanicals Antibacterial Hand Wash Gardenia &amp; Honey Pump 400ML Multi Pack</t>
        </is>
      </c>
      <c r="B1310" t="inlineStr">
        <is>
          <t>None</t>
        </is>
      </c>
      <c r="C1310" t="inlineStr">
        <is>
          <t>1%</t>
        </is>
      </c>
      <c r="D1310" t="n">
        <v>109900</v>
      </c>
      <c r="E1310" t="n">
        <v>111000</v>
      </c>
      <c r="F1310" t="n">
        <v>109900</v>
      </c>
      <c r="G1310" t="n">
        <v>111000</v>
      </c>
      <c r="H1310" t="n">
        <v>109900</v>
      </c>
      <c r="I1310" t="n">
        <v>111000</v>
      </c>
      <c r="J1310" t="b">
        <v>1</v>
      </c>
      <c r="K1310" t="inlineStr">
        <is>
          <t>Unilever Indonesia Official Shop</t>
        </is>
      </c>
      <c r="L1310" t="inlineStr">
        <is>
          <t>KOTA BEKASI</t>
        </is>
      </c>
      <c r="M1310" t="n">
        <v>9085545692</v>
      </c>
      <c r="N1310" t="n">
        <v>14318452</v>
      </c>
      <c r="O1310">
        <f>HYPERLINK("https://shopee.co.id/api/v4/item/get?itemid=9085545692&amp;shopid=14318452", "LUX Botanicals Antibacterial Hand Wash Gardenia &amp; Honey Pump 400ML Multi Pack")</f>
        <v/>
      </c>
      <c r="P1310" t="n">
        <v>2</v>
      </c>
      <c r="Q1310" t="n">
        <v>29</v>
      </c>
      <c r="R1310" t="n">
        <v>4.8</v>
      </c>
      <c r="S1310" t="n">
        <v>0</v>
      </c>
      <c r="T1310" t="n">
        <v>0</v>
      </c>
      <c r="U1310" t="n">
        <v>0</v>
      </c>
      <c r="V1310" t="n">
        <v>2</v>
      </c>
      <c r="W1310" t="n">
        <v>8</v>
      </c>
    </row>
    <row r="1311">
      <c r="A1311" t="inlineStr">
        <is>
          <t>Citra Pearly Glow Brightening Facial Foam Face Wash Sabun Cuci Muka Pencerah 100G</t>
        </is>
      </c>
      <c r="B1311" t="inlineStr"/>
      <c r="C1311" t="inlineStr">
        <is>
          <t>1%</t>
        </is>
      </c>
      <c r="D1311" t="n">
        <v>33000</v>
      </c>
      <c r="E1311" t="n">
        <v>33300</v>
      </c>
      <c r="F1311" t="n">
        <v>33000</v>
      </c>
      <c r="G1311" t="n">
        <v>33300</v>
      </c>
      <c r="H1311" t="n">
        <v>33000</v>
      </c>
      <c r="I1311" t="n">
        <v>33300</v>
      </c>
      <c r="J1311" t="b">
        <v>0</v>
      </c>
      <c r="K1311" t="inlineStr">
        <is>
          <t>Unilever Indonesia Official Shop</t>
        </is>
      </c>
      <c r="L1311" t="inlineStr">
        <is>
          <t>KOTA BEKASI</t>
        </is>
      </c>
      <c r="M1311" t="n">
        <v>12826790325</v>
      </c>
      <c r="N1311" t="n">
        <v>14318452</v>
      </c>
      <c r="O1311">
        <f>HYPERLINK("https://shopee.co.id/api/v4/item/get?itemid=12826790325&amp;shopid=14318452", "Citra Pearly Glow Brightening Facial Foam Face Wash Sabun Cuci Muka Pencerah 100G")</f>
        <v/>
      </c>
      <c r="P1311" t="n">
        <v>242</v>
      </c>
      <c r="Q1311" t="n">
        <v>795</v>
      </c>
      <c r="R1311" t="n">
        <v>4.890066225165563</v>
      </c>
      <c r="S1311" t="n">
        <v>3</v>
      </c>
      <c r="T1311" t="n">
        <v>0</v>
      </c>
      <c r="U1311" t="n">
        <v>12</v>
      </c>
      <c r="V1311" t="n">
        <v>47</v>
      </c>
      <c r="W1311" t="n">
        <v>693</v>
      </c>
    </row>
    <row r="1312">
      <c r="A1312" t="inlineStr">
        <is>
          <t>Pond's Age Miracle Whip Cream 20 gr</t>
        </is>
      </c>
      <c r="B1312" t="inlineStr"/>
      <c r="C1312" t="inlineStr">
        <is>
          <t>15%</t>
        </is>
      </c>
      <c r="D1312" t="n">
        <v>63300</v>
      </c>
      <c r="E1312" t="n">
        <v>74400</v>
      </c>
      <c r="F1312" t="n">
        <v>63300</v>
      </c>
      <c r="G1312" t="n">
        <v>74400</v>
      </c>
      <c r="H1312" t="n">
        <v>63300</v>
      </c>
      <c r="I1312" t="n">
        <v>74400</v>
      </c>
      <c r="J1312" t="b">
        <v>0</v>
      </c>
      <c r="K1312" t="inlineStr">
        <is>
          <t>Unilever Indonesia Official Shop</t>
        </is>
      </c>
      <c r="L1312" t="inlineStr">
        <is>
          <t>KOTA BEKASI</t>
        </is>
      </c>
      <c r="M1312" t="n">
        <v>13923651859</v>
      </c>
      <c r="N1312" t="n">
        <v>14318452</v>
      </c>
      <c r="O1312">
        <f>HYPERLINK("https://shopee.co.id/api/v4/item/get?itemid=13923651859&amp;shopid=14318452", "Pond's Age Miracle Whip Cream 20 gr")</f>
        <v/>
      </c>
      <c r="P1312" t="n">
        <v>119</v>
      </c>
      <c r="Q1312" t="n">
        <v>448</v>
      </c>
      <c r="R1312" t="n">
        <v>4.904545454545454</v>
      </c>
      <c r="S1312" t="n">
        <v>1</v>
      </c>
      <c r="T1312" t="n">
        <v>0</v>
      </c>
      <c r="U1312" t="n">
        <v>6</v>
      </c>
      <c r="V1312" t="n">
        <v>47</v>
      </c>
      <c r="W1312" t="n">
        <v>606</v>
      </c>
    </row>
    <row r="1313">
      <c r="A1313" t="inlineStr">
        <is>
          <t>LUX Botanicals White Freesia &amp; Tea Tree Body Mist 100ML Triple Pack</t>
        </is>
      </c>
      <c r="B1313" t="inlineStr">
        <is>
          <t>None</t>
        </is>
      </c>
      <c r="C1313" t="inlineStr">
        <is>
          <t>2%</t>
        </is>
      </c>
      <c r="D1313" t="n">
        <v>102600</v>
      </c>
      <c r="E1313" t="n">
        <v>105000</v>
      </c>
      <c r="F1313" t="n">
        <v>102600</v>
      </c>
      <c r="G1313" t="n">
        <v>105000</v>
      </c>
      <c r="H1313" t="n">
        <v>102600</v>
      </c>
      <c r="I1313" t="n">
        <v>105000</v>
      </c>
      <c r="J1313" t="b">
        <v>0</v>
      </c>
      <c r="K1313" t="inlineStr">
        <is>
          <t>Unilever Indonesia Official Shop</t>
        </is>
      </c>
      <c r="L1313" t="inlineStr">
        <is>
          <t>KOTA BEKASI</t>
        </is>
      </c>
      <c r="M1313" t="n">
        <v>5096375146</v>
      </c>
      <c r="N1313" t="n">
        <v>14318452</v>
      </c>
      <c r="O1313">
        <f>HYPERLINK("https://shopee.co.id/api/v4/item/get?itemid=5096375146&amp;shopid=14318452", "LUX Botanicals White Freesia &amp; Tea Tree Body Mist 100ML Triple Pack")</f>
        <v/>
      </c>
      <c r="P1313" t="n">
        <v>6</v>
      </c>
      <c r="Q1313" t="n">
        <v>47</v>
      </c>
      <c r="R1313" t="n">
        <v>4.774193548387097</v>
      </c>
      <c r="S1313" t="n">
        <v>1</v>
      </c>
      <c r="T1313" t="n">
        <v>0</v>
      </c>
      <c r="U1313" t="n">
        <v>0</v>
      </c>
      <c r="V1313" t="n">
        <v>3</v>
      </c>
      <c r="W1313" t="n">
        <v>27</v>
      </c>
    </row>
    <row r="1314">
      <c r="A1314" t="inlineStr">
        <is>
          <t>Vaseline Healthy Bright Gluta Hyaluron Pro-Retinol Serum UV Lotion Flawless Bright 200Ml - Twinpack</t>
        </is>
      </c>
      <c r="B1314" t="inlineStr"/>
      <c r="C1314" t="inlineStr">
        <is>
          <t>17%</t>
        </is>
      </c>
      <c r="D1314" t="n">
        <v>90000</v>
      </c>
      <c r="E1314" t="n">
        <v>108000</v>
      </c>
      <c r="F1314" t="n">
        <v>90000</v>
      </c>
      <c r="G1314" t="n">
        <v>108000</v>
      </c>
      <c r="H1314" t="n">
        <v>90000</v>
      </c>
      <c r="I1314" t="n">
        <v>108000</v>
      </c>
      <c r="J1314" t="b">
        <v>0</v>
      </c>
      <c r="K1314" t="inlineStr">
        <is>
          <t>Unilever Indonesia Official Shop</t>
        </is>
      </c>
      <c r="L1314" t="inlineStr">
        <is>
          <t>KOTA BEKASI</t>
        </is>
      </c>
      <c r="M1314" t="n">
        <v>15622401034</v>
      </c>
      <c r="N1314" t="n">
        <v>14318452</v>
      </c>
      <c r="O1314">
        <f>HYPERLINK("https://shopee.co.id/api/v4/item/get?itemid=15622401034&amp;shopid=14318452", "Vaseline Healthy Bright Gluta Hyaluron Pro-Retinol Serum UV Lotion Flawless Bright 200Ml - Twinpack")</f>
        <v/>
      </c>
      <c r="P1314" t="n">
        <v>1545</v>
      </c>
      <c r="Q1314" t="n">
        <v>13024</v>
      </c>
      <c r="R1314" t="n">
        <v>4.909489051094891</v>
      </c>
      <c r="S1314" t="n">
        <v>18</v>
      </c>
      <c r="T1314" t="n">
        <v>11</v>
      </c>
      <c r="U1314" t="n">
        <v>26</v>
      </c>
      <c r="V1314" t="n">
        <v>236</v>
      </c>
      <c r="W1314" t="n">
        <v>3911</v>
      </c>
    </row>
    <row r="1315">
      <c r="A1315" t="inlineStr">
        <is>
          <t>Molto Trika Blue Pouch 400Ml</t>
        </is>
      </c>
      <c r="B1315" t="inlineStr">
        <is>
          <t>Molto</t>
        </is>
      </c>
      <c r="C1315" t="inlineStr">
        <is>
          <t>6%</t>
        </is>
      </c>
      <c r="D1315" t="n">
        <v>7900</v>
      </c>
      <c r="E1315" t="n">
        <v>8400</v>
      </c>
      <c r="F1315" t="n">
        <v>7900</v>
      </c>
      <c r="G1315" t="n">
        <v>8400</v>
      </c>
      <c r="H1315" t="n">
        <v>7900</v>
      </c>
      <c r="I1315" t="n">
        <v>8400</v>
      </c>
      <c r="J1315" t="b">
        <v>0</v>
      </c>
      <c r="K1315" t="inlineStr">
        <is>
          <t>Unilever Indonesia Official Shop</t>
        </is>
      </c>
      <c r="L1315" t="inlineStr">
        <is>
          <t>KOTA BEKASI</t>
        </is>
      </c>
      <c r="M1315" t="n">
        <v>9642407160</v>
      </c>
      <c r="N1315" t="n">
        <v>14318452</v>
      </c>
      <c r="O1315">
        <f>HYPERLINK("https://shopee.co.id/api/v4/item/get?itemid=9642407160&amp;shopid=14318452", "Molto Trika Blue Pouch 400Ml")</f>
        <v/>
      </c>
      <c r="P1315" t="n">
        <v>283</v>
      </c>
      <c r="Q1315" t="n">
        <v>2924</v>
      </c>
      <c r="R1315" t="n">
        <v>4.936545240893067</v>
      </c>
      <c r="S1315" t="n">
        <v>4</v>
      </c>
      <c r="T1315" t="n">
        <v>0</v>
      </c>
      <c r="U1315" t="n">
        <v>3</v>
      </c>
      <c r="V1315" t="n">
        <v>36</v>
      </c>
      <c r="W1315" t="n">
        <v>811</v>
      </c>
    </row>
    <row r="1316">
      <c r="A1316" t="inlineStr">
        <is>
          <t>Tresemme Shampoo Keratin Smooth Dengan Hydrolyzed Keratin Shampoo Salon 850Ml</t>
        </is>
      </c>
      <c r="B1316" t="inlineStr"/>
      <c r="C1316" t="inlineStr">
        <is>
          <t>18%</t>
        </is>
      </c>
      <c r="D1316" t="n">
        <v>94700</v>
      </c>
      <c r="E1316" t="n">
        <v>116100</v>
      </c>
      <c r="F1316" t="n">
        <v>94700</v>
      </c>
      <c r="G1316" t="n">
        <v>116100</v>
      </c>
      <c r="H1316" t="n">
        <v>94700</v>
      </c>
      <c r="I1316" t="n">
        <v>116100</v>
      </c>
      <c r="J1316" t="b">
        <v>0</v>
      </c>
      <c r="K1316" t="inlineStr">
        <is>
          <t>Unilever Indonesia Official Shop</t>
        </is>
      </c>
      <c r="L1316" t="inlineStr">
        <is>
          <t>KOTA BEKASI</t>
        </is>
      </c>
      <c r="M1316" t="n">
        <v>15510896622</v>
      </c>
      <c r="N1316" t="n">
        <v>14318452</v>
      </c>
      <c r="O1316">
        <f>HYPERLINK("https://shopee.co.id/api/v4/item/get?itemid=15510896622&amp;shopid=14318452", "Tresemme Shampoo Keratin Smooth Dengan Hydrolyzed Keratin Shampoo Salon 850Ml")</f>
        <v/>
      </c>
      <c r="P1316" t="n">
        <v>1547</v>
      </c>
      <c r="Q1316" t="n">
        <v>1261</v>
      </c>
      <c r="R1316" t="n">
        <v>4.939118825100134</v>
      </c>
      <c r="S1316" t="n">
        <v>8</v>
      </c>
      <c r="T1316" t="n">
        <v>6</v>
      </c>
      <c r="U1316" t="n">
        <v>19</v>
      </c>
      <c r="V1316" t="n">
        <v>149</v>
      </c>
      <c r="W1316" t="n">
        <v>3566</v>
      </c>
    </row>
    <row r="1317">
      <c r="A1317" t="inlineStr">
        <is>
          <t>Clear Shampo Anti Ketombe COMPLETE SOFT CARE Bersih total dengan Vitamin 850ML</t>
        </is>
      </c>
      <c r="B1317" t="inlineStr"/>
      <c r="C1317" t="inlineStr">
        <is>
          <t>17%</t>
        </is>
      </c>
      <c r="D1317" t="n">
        <v>84100</v>
      </c>
      <c r="E1317" t="n">
        <v>101000</v>
      </c>
      <c r="F1317" t="n">
        <v>84100</v>
      </c>
      <c r="G1317" t="n">
        <v>101000</v>
      </c>
      <c r="H1317" t="n">
        <v>84100</v>
      </c>
      <c r="I1317" t="n">
        <v>101000</v>
      </c>
      <c r="J1317" t="b">
        <v>0</v>
      </c>
      <c r="K1317" t="inlineStr">
        <is>
          <t>Unilever Indonesia Official Shop</t>
        </is>
      </c>
      <c r="L1317" t="inlineStr">
        <is>
          <t>KOTA BEKASI</t>
        </is>
      </c>
      <c r="M1317" t="n">
        <v>14910910919</v>
      </c>
      <c r="N1317" t="n">
        <v>14318452</v>
      </c>
      <c r="O1317">
        <f>HYPERLINK("https://shopee.co.id/api/v4/item/get?itemid=14910910919&amp;shopid=14318452", "Clear Shampo Anti Ketombe COMPLETE SOFT CARE Bersih total dengan Vitamin 850ML")</f>
        <v/>
      </c>
      <c r="P1317" t="n">
        <v>136</v>
      </c>
      <c r="Q1317" t="n">
        <v>426</v>
      </c>
      <c r="R1317" t="n">
        <v>4.915194346289753</v>
      </c>
      <c r="S1317" t="n">
        <v>1</v>
      </c>
      <c r="T1317" t="n">
        <v>3</v>
      </c>
      <c r="U1317" t="n">
        <v>0</v>
      </c>
      <c r="V1317" t="n">
        <v>11</v>
      </c>
      <c r="W1317" t="n">
        <v>268</v>
      </c>
    </row>
    <row r="1318">
      <c r="A1318" t="inlineStr">
        <is>
          <t>LUX Botanicals Antibacterial Hand Wash Freesia &amp; Tea Pump 400ML Multi Pack</t>
        </is>
      </c>
      <c r="B1318" t="inlineStr">
        <is>
          <t>None</t>
        </is>
      </c>
      <c r="C1318" t="inlineStr">
        <is>
          <t>1%</t>
        </is>
      </c>
      <c r="D1318" t="n">
        <v>109900</v>
      </c>
      <c r="E1318" t="n">
        <v>111000</v>
      </c>
      <c r="F1318" t="n">
        <v>109900</v>
      </c>
      <c r="G1318" t="n">
        <v>111000</v>
      </c>
      <c r="H1318" t="n">
        <v>109900</v>
      </c>
      <c r="I1318" t="n">
        <v>111000</v>
      </c>
      <c r="J1318" t="b">
        <v>1</v>
      </c>
      <c r="K1318" t="inlineStr">
        <is>
          <t>Unilever Indonesia Official Shop</t>
        </is>
      </c>
      <c r="L1318" t="inlineStr">
        <is>
          <t>KOTA BEKASI</t>
        </is>
      </c>
      <c r="M1318" t="n">
        <v>10222924101</v>
      </c>
      <c r="N1318" t="n">
        <v>14318452</v>
      </c>
      <c r="O1318">
        <f>HYPERLINK("https://shopee.co.id/api/v4/item/get?itemid=10222924101&amp;shopid=14318452", "LUX Botanicals Antibacterial Hand Wash Freesia &amp; Tea Pump 400ML Multi Pack")</f>
        <v/>
      </c>
      <c r="P1318" t="n">
        <v>1</v>
      </c>
      <c r="Q1318" t="n">
        <v>44</v>
      </c>
      <c r="R1318" t="n">
        <v>5</v>
      </c>
      <c r="S1318" t="n">
        <v>0</v>
      </c>
      <c r="T1318" t="n">
        <v>0</v>
      </c>
      <c r="U1318" t="n">
        <v>0</v>
      </c>
      <c r="V1318" t="n">
        <v>0</v>
      </c>
      <c r="W1318" t="n">
        <v>13</v>
      </c>
    </row>
    <row r="1319">
      <c r="A1319" t="inlineStr">
        <is>
          <t>Vaseline Lotion Intensive Care Aloe Soothe 400ml Twin Pack</t>
        </is>
      </c>
      <c r="B1319" t="inlineStr"/>
      <c r="C1319" t="inlineStr">
        <is>
          <t>13%</t>
        </is>
      </c>
      <c r="D1319" t="n">
        <v>111000</v>
      </c>
      <c r="E1319" t="n">
        <v>127100</v>
      </c>
      <c r="F1319" t="n">
        <v>111000</v>
      </c>
      <c r="G1319" t="n">
        <v>127100</v>
      </c>
      <c r="H1319" t="n">
        <v>111000</v>
      </c>
      <c r="I1319" t="n">
        <v>127100</v>
      </c>
      <c r="J1319" t="b">
        <v>0</v>
      </c>
      <c r="K1319" t="inlineStr">
        <is>
          <t>Unilever Indonesia Official Shop</t>
        </is>
      </c>
      <c r="L1319" t="inlineStr">
        <is>
          <t>KOTA BEKASI</t>
        </is>
      </c>
      <c r="M1319" t="n">
        <v>14204074720</v>
      </c>
      <c r="N1319" t="n">
        <v>14318452</v>
      </c>
      <c r="O1319">
        <f>HYPERLINK("https://shopee.co.id/api/v4/item/get?itemid=14204074720&amp;shopid=14318452", "Vaseline Lotion Intensive Care Aloe Soothe 400ml Twin Pack")</f>
        <v/>
      </c>
      <c r="P1319" t="n">
        <v>107</v>
      </c>
      <c r="Q1319" t="n">
        <v>1042</v>
      </c>
      <c r="R1319" t="n">
        <v>4.841772151898734</v>
      </c>
      <c r="S1319" t="n">
        <v>5</v>
      </c>
      <c r="T1319" t="n">
        <v>0</v>
      </c>
      <c r="U1319" t="n">
        <v>14</v>
      </c>
      <c r="V1319" t="n">
        <v>27</v>
      </c>
      <c r="W1319" t="n">
        <v>428</v>
      </c>
    </row>
    <row r="1320">
      <c r="A1320" t="inlineStr">
        <is>
          <t>PONDS Pure Bright 2in1 Sheet Mask Soothe Skin 25G - 5 Pcs</t>
        </is>
      </c>
      <c r="B1320" t="inlineStr">
        <is>
          <t>Pond's</t>
        </is>
      </c>
      <c r="C1320" t="inlineStr">
        <is>
          <t>18%</t>
        </is>
      </c>
      <c r="D1320" t="n">
        <v>102900</v>
      </c>
      <c r="E1320" t="n">
        <v>125000</v>
      </c>
      <c r="F1320" t="n">
        <v>102900</v>
      </c>
      <c r="G1320" t="n">
        <v>125000</v>
      </c>
      <c r="H1320" t="n">
        <v>102900</v>
      </c>
      <c r="I1320" t="n">
        <v>125000</v>
      </c>
      <c r="J1320" t="b">
        <v>1</v>
      </c>
      <c r="K1320" t="inlineStr">
        <is>
          <t>Unilever Indonesia Official Shop</t>
        </is>
      </c>
      <c r="L1320" t="inlineStr">
        <is>
          <t>KAB. BANYUASIN</t>
        </is>
      </c>
      <c r="M1320" t="n">
        <v>7462647949</v>
      </c>
      <c r="N1320" t="n">
        <v>14318452</v>
      </c>
      <c r="O1320">
        <f>HYPERLINK("https://shopee.co.id/api/v4/item/get?itemid=7462647949&amp;shopid=14318452", "PONDS Pure Bright 2in1 Sheet Mask Soothe Skin 25G - 5 Pcs")</f>
        <v/>
      </c>
      <c r="P1320" t="n">
        <v>1</v>
      </c>
      <c r="Q1320" t="n">
        <v>16</v>
      </c>
      <c r="R1320" t="n">
        <v>4.555555555555555</v>
      </c>
      <c r="S1320" t="n">
        <v>0</v>
      </c>
      <c r="T1320" t="n">
        <v>1</v>
      </c>
      <c r="U1320" t="n">
        <v>0</v>
      </c>
      <c r="V1320" t="n">
        <v>1</v>
      </c>
      <c r="W1320" t="n">
        <v>7</v>
      </c>
    </row>
    <row r="1321">
      <c r="A1321" t="inlineStr">
        <is>
          <t>Bango Kecap Manis Light 220Ml</t>
        </is>
      </c>
      <c r="B1321" t="inlineStr">
        <is>
          <t>None</t>
        </is>
      </c>
      <c r="C1321" t="inlineStr">
        <is>
          <t>17%</t>
        </is>
      </c>
      <c r="D1321" t="n">
        <v>10000</v>
      </c>
      <c r="E1321" t="n">
        <v>12100</v>
      </c>
      <c r="F1321" t="n">
        <v>10000</v>
      </c>
      <c r="G1321" t="n">
        <v>12100</v>
      </c>
      <c r="H1321" t="n">
        <v>10000</v>
      </c>
      <c r="I1321" t="n">
        <v>12100</v>
      </c>
      <c r="J1321" t="b">
        <v>1</v>
      </c>
      <c r="K1321" t="inlineStr">
        <is>
          <t>Unilever Indonesia Official Shop</t>
        </is>
      </c>
      <c r="L1321" t="inlineStr">
        <is>
          <t>KAB. BANYUASIN</t>
        </is>
      </c>
      <c r="M1321" t="n">
        <v>10219629173</v>
      </c>
      <c r="N1321" t="n">
        <v>14318452</v>
      </c>
      <c r="O1321">
        <f>HYPERLINK("https://shopee.co.id/api/v4/item/get?itemid=10219629173&amp;shopid=14318452", "Bango Kecap Manis Light 220Ml")</f>
        <v/>
      </c>
      <c r="P1321" t="n">
        <v>251</v>
      </c>
      <c r="Q1321" t="n">
        <v>97</v>
      </c>
      <c r="R1321" t="n">
        <v>4.891304347826087</v>
      </c>
      <c r="S1321" t="n">
        <v>2</v>
      </c>
      <c r="T1321" t="n">
        <v>1</v>
      </c>
      <c r="U1321" t="n">
        <v>0</v>
      </c>
      <c r="V1321" t="n">
        <v>14</v>
      </c>
      <c r="W1321" t="n">
        <v>213</v>
      </c>
    </row>
    <row r="1322">
      <c r="A1322" t="inlineStr">
        <is>
          <t>Dove Shampoo Perawatan Rambut Rontok berkurang 99% dengan Nutri Serum dan Dynazinc 900ml</t>
        </is>
      </c>
      <c r="B1322" t="inlineStr"/>
      <c r="C1322" t="inlineStr">
        <is>
          <t>1%</t>
        </is>
      </c>
      <c r="D1322" t="n">
        <v>98300</v>
      </c>
      <c r="E1322" t="n">
        <v>99200</v>
      </c>
      <c r="F1322" t="n">
        <v>98300</v>
      </c>
      <c r="G1322" t="n">
        <v>99200</v>
      </c>
      <c r="H1322" t="n">
        <v>98300</v>
      </c>
      <c r="I1322" t="n">
        <v>99200</v>
      </c>
      <c r="J1322" t="b">
        <v>0</v>
      </c>
      <c r="K1322" t="inlineStr">
        <is>
          <t>Unilever Indonesia Official Shop</t>
        </is>
      </c>
      <c r="L1322" t="inlineStr">
        <is>
          <t>KOTA BEKASI</t>
        </is>
      </c>
      <c r="M1322" t="n">
        <v>14810912036</v>
      </c>
      <c r="N1322" t="n">
        <v>14318452</v>
      </c>
      <c r="O1322">
        <f>HYPERLINK("https://shopee.co.id/api/v4/item/get?itemid=14810912036&amp;shopid=14318452", "Dove Shampoo Perawatan Rambut Rontok berkurang 99% dengan Nutri Serum dan Dynazinc 900ml")</f>
        <v/>
      </c>
      <c r="P1322" t="n">
        <v>1524</v>
      </c>
      <c r="Q1322" t="n">
        <v>2573</v>
      </c>
      <c r="R1322" t="n">
        <v>4.921681543334294</v>
      </c>
      <c r="S1322" t="n">
        <v>9</v>
      </c>
      <c r="T1322" t="n">
        <v>3</v>
      </c>
      <c r="U1322" t="n">
        <v>30</v>
      </c>
      <c r="V1322" t="n">
        <v>167</v>
      </c>
      <c r="W1322" t="n">
        <v>3268</v>
      </c>
    </row>
    <row r="1323">
      <c r="A1323" t="inlineStr">
        <is>
          <t>Clear Sampo Anti Ketombe Anti Dandruff Ice Cool Menthol 3x Bersih Total! 850ML</t>
        </is>
      </c>
      <c r="B1323" t="inlineStr"/>
      <c r="C1323" t="inlineStr">
        <is>
          <t>17%</t>
        </is>
      </c>
      <c r="D1323" t="n">
        <v>84100</v>
      </c>
      <c r="E1323" t="n">
        <v>101000</v>
      </c>
      <c r="F1323" t="n">
        <v>84100</v>
      </c>
      <c r="G1323" t="n">
        <v>101000</v>
      </c>
      <c r="H1323" t="n">
        <v>84100</v>
      </c>
      <c r="I1323" t="n">
        <v>101000</v>
      </c>
      <c r="J1323" t="b">
        <v>0</v>
      </c>
      <c r="K1323" t="inlineStr">
        <is>
          <t>Unilever Indonesia Official Shop</t>
        </is>
      </c>
      <c r="L1323" t="inlineStr">
        <is>
          <t>KOTA BEKASI</t>
        </is>
      </c>
      <c r="M1323" t="n">
        <v>14210903750</v>
      </c>
      <c r="N1323" t="n">
        <v>14318452</v>
      </c>
      <c r="O1323">
        <f>HYPERLINK("https://shopee.co.id/api/v4/item/get?itemid=14210903750&amp;shopid=14318452", "Clear Sampo Anti Ketombe Anti Dandruff Ice Cool Menthol 3x Bersih Total! 850ML")</f>
        <v/>
      </c>
      <c r="P1323" t="n">
        <v>257</v>
      </c>
      <c r="Q1323" t="n">
        <v>268</v>
      </c>
      <c r="R1323" t="n">
        <v>4.941520467836257</v>
      </c>
      <c r="S1323" t="n">
        <v>1</v>
      </c>
      <c r="T1323" t="n">
        <v>1</v>
      </c>
      <c r="U1323" t="n">
        <v>0</v>
      </c>
      <c r="V1323" t="n">
        <v>23</v>
      </c>
      <c r="W1323" t="n">
        <v>488</v>
      </c>
    </row>
    <row r="1324">
      <c r="A1324" t="inlineStr">
        <is>
          <t>PONDS Pure Bright 2in1 Sheet Mask Soothe Skin 25G - 10 Pcs</t>
        </is>
      </c>
      <c r="B1324" t="inlineStr">
        <is>
          <t>Pond's</t>
        </is>
      </c>
      <c r="C1324" t="inlineStr">
        <is>
          <t>24%</t>
        </is>
      </c>
      <c r="D1324" t="n">
        <v>190800</v>
      </c>
      <c r="E1324" t="n">
        <v>250000</v>
      </c>
      <c r="F1324" t="n">
        <v>190800</v>
      </c>
      <c r="G1324" t="n">
        <v>250000</v>
      </c>
      <c r="H1324" t="n">
        <v>190800</v>
      </c>
      <c r="I1324" t="n">
        <v>250000</v>
      </c>
      <c r="J1324" t="b">
        <v>1</v>
      </c>
      <c r="K1324" t="inlineStr">
        <is>
          <t>Unilever Indonesia Official Shop</t>
        </is>
      </c>
      <c r="L1324" t="inlineStr">
        <is>
          <t>KAB. BANYUASIN</t>
        </is>
      </c>
      <c r="M1324" t="n">
        <v>7362645137</v>
      </c>
      <c r="N1324" t="n">
        <v>14318452</v>
      </c>
      <c r="O1324">
        <f>HYPERLINK("https://shopee.co.id/api/v4/item/get?itemid=7362645137&amp;shopid=14318452", "PONDS Pure Bright 2in1 Sheet Mask Soothe Skin 25G - 10 Pcs")</f>
        <v/>
      </c>
      <c r="P1324" t="n">
        <v>0</v>
      </c>
      <c r="Q1324" t="n">
        <v>7</v>
      </c>
      <c r="R1324" t="n">
        <v>4</v>
      </c>
      <c r="S1324" t="n">
        <v>0</v>
      </c>
      <c r="T1324" t="n">
        <v>2</v>
      </c>
      <c r="U1324" t="n">
        <v>0</v>
      </c>
      <c r="V1324" t="n">
        <v>1</v>
      </c>
      <c r="W1324" t="n">
        <v>4</v>
      </c>
    </row>
    <row r="1325">
      <c r="A1325" t="inlineStr">
        <is>
          <t>Tresemme Conditioner Keratin Smooth 340 Ml - Nutrisi Rambut, Kondisioner Rambut Terbaik</t>
        </is>
      </c>
      <c r="B1325" t="inlineStr"/>
      <c r="C1325" t="inlineStr">
        <is>
          <t>2%</t>
        </is>
      </c>
      <c r="D1325" t="n">
        <v>75700</v>
      </c>
      <c r="E1325" t="n">
        <v>77600</v>
      </c>
      <c r="F1325" t="n">
        <v>75700</v>
      </c>
      <c r="G1325" t="n">
        <v>77600</v>
      </c>
      <c r="H1325" t="n">
        <v>75700</v>
      </c>
      <c r="I1325" t="n">
        <v>77600</v>
      </c>
      <c r="J1325" t="b">
        <v>0</v>
      </c>
      <c r="K1325" t="inlineStr">
        <is>
          <t>Unilever Indonesia Official Shop</t>
        </is>
      </c>
      <c r="L1325" t="inlineStr">
        <is>
          <t>KOTA BEKASI</t>
        </is>
      </c>
      <c r="M1325" t="n">
        <v>10258238590</v>
      </c>
      <c r="N1325" t="n">
        <v>14318452</v>
      </c>
      <c r="O1325">
        <f>HYPERLINK("https://shopee.co.id/api/v4/item/get?itemid=10258238590&amp;shopid=14318452", "Tresemme Conditioner Keratin Smooth 340 Ml - Nutrisi Rambut, Kondisioner Rambut Terbaik")</f>
        <v/>
      </c>
      <c r="P1325" t="n">
        <v>248</v>
      </c>
      <c r="Q1325" t="n">
        <v>2736</v>
      </c>
      <c r="R1325" t="n">
        <v>4.887533875338754</v>
      </c>
      <c r="S1325" t="n">
        <v>3</v>
      </c>
      <c r="T1325" t="n">
        <v>4</v>
      </c>
      <c r="U1325" t="n">
        <v>6</v>
      </c>
      <c r="V1325" t="n">
        <v>47</v>
      </c>
      <c r="W1325" t="n">
        <v>678</v>
      </c>
    </row>
    <row r="1326">
      <c r="A1326" t="inlineStr">
        <is>
          <t>Ponds Age Miracle Day Whip Moisturizer Cream Anti Aging 50G</t>
        </is>
      </c>
      <c r="B1326" t="inlineStr">
        <is>
          <t>Pond's</t>
        </is>
      </c>
      <c r="C1326" t="inlineStr">
        <is>
          <t>20%</t>
        </is>
      </c>
      <c r="D1326" t="n">
        <v>141400</v>
      </c>
      <c r="E1326" t="n">
        <v>176100</v>
      </c>
      <c r="F1326" t="n">
        <v>141400</v>
      </c>
      <c r="G1326" t="n">
        <v>176100</v>
      </c>
      <c r="H1326" t="n">
        <v>141400</v>
      </c>
      <c r="I1326" t="n">
        <v>176100</v>
      </c>
      <c r="J1326" t="b">
        <v>0</v>
      </c>
      <c r="K1326" t="inlineStr">
        <is>
          <t>Unilever Indonesia Official Shop</t>
        </is>
      </c>
      <c r="L1326" t="inlineStr">
        <is>
          <t>KOTA BEKASI</t>
        </is>
      </c>
      <c r="M1326" t="n">
        <v>9934340974</v>
      </c>
      <c r="N1326" t="n">
        <v>14318452</v>
      </c>
      <c r="O1326">
        <f>HYPERLINK("https://shopee.co.id/api/v4/item/get?itemid=9934340974&amp;shopid=14318452", "Ponds Age Miracle Day Whip Moisturizer Cream Anti Aging 50G")</f>
        <v/>
      </c>
      <c r="P1326" t="n">
        <v>210</v>
      </c>
      <c r="Q1326" t="n">
        <v>501</v>
      </c>
      <c r="R1326" t="n">
        <v>4.956072351421189</v>
      </c>
      <c r="S1326" t="n">
        <v>0</v>
      </c>
      <c r="T1326" t="n">
        <v>0</v>
      </c>
      <c r="U1326" t="n">
        <v>1</v>
      </c>
      <c r="V1326" t="n">
        <v>15</v>
      </c>
      <c r="W1326" t="n">
        <v>371</v>
      </c>
    </row>
    <row r="1327">
      <c r="A1327" t="inlineStr">
        <is>
          <t>Bango Kecap Manis Hitam Gurih 550ML</t>
        </is>
      </c>
      <c r="B1327" t="inlineStr"/>
      <c r="C1327" t="inlineStr">
        <is>
          <t>11%</t>
        </is>
      </c>
      <c r="D1327" t="n">
        <v>21600</v>
      </c>
      <c r="E1327" t="n">
        <v>24300</v>
      </c>
      <c r="F1327" t="n">
        <v>21600</v>
      </c>
      <c r="G1327" t="n">
        <v>24300</v>
      </c>
      <c r="H1327" t="n">
        <v>21600</v>
      </c>
      <c r="I1327" t="n">
        <v>24300</v>
      </c>
      <c r="J1327" t="b">
        <v>0</v>
      </c>
      <c r="K1327" t="inlineStr">
        <is>
          <t>Unilever Indonesia Official Shop</t>
        </is>
      </c>
      <c r="L1327" t="inlineStr">
        <is>
          <t>KOTA BEKASI</t>
        </is>
      </c>
      <c r="M1327" t="n">
        <v>13849219144</v>
      </c>
      <c r="N1327" t="n">
        <v>14318452</v>
      </c>
      <c r="O1327">
        <f>HYPERLINK("https://shopee.co.id/api/v4/item/get?itemid=13849219144&amp;shopid=14318452", "Bango Kecap Manis Hitam Gurih 550ML")</f>
        <v/>
      </c>
      <c r="P1327" t="n">
        <v>977</v>
      </c>
      <c r="Q1327" t="n">
        <v>278</v>
      </c>
      <c r="R1327" t="n">
        <v>4.937297297297297</v>
      </c>
      <c r="S1327" t="n">
        <v>2</v>
      </c>
      <c r="T1327" t="n">
        <v>1</v>
      </c>
      <c r="U1327" t="n">
        <v>9</v>
      </c>
      <c r="V1327" t="n">
        <v>87</v>
      </c>
      <c r="W1327" t="n">
        <v>1751</v>
      </c>
    </row>
    <row r="1328">
      <c r="A1328" t="inlineStr">
        <is>
          <t>Royco BUMBU KALDU SPESIAL Penyedap Makanan, Penyedap Rasa AYAM Tanpa Penguat Rasa 40G</t>
        </is>
      </c>
      <c r="B1328" t="inlineStr"/>
      <c r="C1328" t="inlineStr">
        <is>
          <t>4%</t>
        </is>
      </c>
      <c r="D1328" t="n">
        <v>4800</v>
      </c>
      <c r="E1328" t="n">
        <v>5000</v>
      </c>
      <c r="F1328" t="n">
        <v>4800</v>
      </c>
      <c r="G1328" t="n">
        <v>5000</v>
      </c>
      <c r="H1328" t="n">
        <v>4800</v>
      </c>
      <c r="I1328" t="n">
        <v>5000</v>
      </c>
      <c r="J1328" t="b">
        <v>0</v>
      </c>
      <c r="K1328" t="inlineStr">
        <is>
          <t>Unilever Indonesia Official Shop</t>
        </is>
      </c>
      <c r="L1328" t="inlineStr">
        <is>
          <t>KOTA BEKASI</t>
        </is>
      </c>
      <c r="M1328" t="n">
        <v>10271287151</v>
      </c>
      <c r="N1328" t="n">
        <v>14318452</v>
      </c>
      <c r="O1328">
        <f>HYPERLINK("https://shopee.co.id/api/v4/item/get?itemid=10271287151&amp;shopid=14318452", "Royco BUMBU KALDU SPESIAL Penyedap Makanan, Penyedap Rasa AYAM Tanpa Penguat Rasa 40G")</f>
        <v/>
      </c>
      <c r="P1328" t="n">
        <v>783</v>
      </c>
      <c r="Q1328" t="n">
        <v>9694</v>
      </c>
      <c r="R1328" t="n">
        <v>4.928815004262574</v>
      </c>
      <c r="S1328" t="n">
        <v>8</v>
      </c>
      <c r="T1328" t="n">
        <v>4</v>
      </c>
      <c r="U1328" t="n">
        <v>18</v>
      </c>
      <c r="V1328" t="n">
        <v>91</v>
      </c>
      <c r="W1328" t="n">
        <v>2226</v>
      </c>
    </row>
    <row r="1329">
      <c r="A1329" t="inlineStr">
        <is>
          <t>Dove Shampoo Perawatan Rambut Rontok berkurang 99% dengan Nutri Serum dan Dynazinc 1400ml</t>
        </is>
      </c>
      <c r="B1329" t="inlineStr"/>
      <c r="C1329" t="inlineStr">
        <is>
          <t>1%</t>
        </is>
      </c>
      <c r="D1329" t="n">
        <v>138600</v>
      </c>
      <c r="E1329" t="n">
        <v>140000</v>
      </c>
      <c r="F1329" t="n">
        <v>138600</v>
      </c>
      <c r="G1329" t="n">
        <v>140000</v>
      </c>
      <c r="H1329" t="n">
        <v>138600</v>
      </c>
      <c r="I1329" t="n">
        <v>140000</v>
      </c>
      <c r="J1329" t="b">
        <v>0</v>
      </c>
      <c r="K1329" t="inlineStr">
        <is>
          <t>Unilever Indonesia Official Shop</t>
        </is>
      </c>
      <c r="L1329" t="inlineStr">
        <is>
          <t>KOTA BEKASI</t>
        </is>
      </c>
      <c r="M1329" t="n">
        <v>14310912632</v>
      </c>
      <c r="N1329" t="n">
        <v>14318452</v>
      </c>
      <c r="O1329">
        <f>HYPERLINK("https://shopee.co.id/api/v4/item/get?itemid=14310912632&amp;shopid=14318452", "Dove Shampoo Perawatan Rambut Rontok berkurang 99% dengan Nutri Serum dan Dynazinc 1400ml")</f>
        <v/>
      </c>
      <c r="P1329" t="n">
        <v>295</v>
      </c>
      <c r="Q1329" t="n">
        <v>438</v>
      </c>
      <c r="R1329" t="n">
        <v>4.9</v>
      </c>
      <c r="S1329" t="n">
        <v>3</v>
      </c>
      <c r="T1329" t="n">
        <v>4</v>
      </c>
      <c r="U1329" t="n">
        <v>5</v>
      </c>
      <c r="V1329" t="n">
        <v>24</v>
      </c>
      <c r="W1329" t="n">
        <v>544</v>
      </c>
    </row>
    <row r="1330">
      <c r="A1330" t="inlineStr">
        <is>
          <t>Royco  BUMBU KALDU SPESIAL Penyedap Makanan, Penyedap Rasa AYAM Tanpa Penguat Rasa 170G</t>
        </is>
      </c>
      <c r="B1330" t="inlineStr"/>
      <c r="C1330" t="inlineStr">
        <is>
          <t>18%</t>
        </is>
      </c>
      <c r="D1330" t="n">
        <v>16500</v>
      </c>
      <c r="E1330" t="n">
        <v>20000</v>
      </c>
      <c r="F1330" t="n">
        <v>16500</v>
      </c>
      <c r="G1330" t="n">
        <v>20000</v>
      </c>
      <c r="H1330" t="n">
        <v>16500</v>
      </c>
      <c r="I1330" t="n">
        <v>20000</v>
      </c>
      <c r="J1330" t="b">
        <v>0</v>
      </c>
      <c r="K1330" t="inlineStr">
        <is>
          <t>Unilever Indonesia Official Shop</t>
        </is>
      </c>
      <c r="L1330" t="inlineStr">
        <is>
          <t>KOTA BEKASI</t>
        </is>
      </c>
      <c r="M1330" t="n">
        <v>11571287273</v>
      </c>
      <c r="N1330" t="n">
        <v>14318452</v>
      </c>
      <c r="O1330">
        <f>HYPERLINK("https://shopee.co.id/api/v4/item/get?itemid=11571287273&amp;shopid=14318452", "Royco  BUMBU KALDU SPESIAL Penyedap Makanan, Penyedap Rasa AYAM Tanpa Penguat Rasa 170G")</f>
        <v/>
      </c>
      <c r="P1330" t="n">
        <v>177</v>
      </c>
      <c r="Q1330" t="n">
        <v>443</v>
      </c>
      <c r="R1330" t="n">
        <v>4.874439461883408</v>
      </c>
      <c r="S1330" t="n">
        <v>0</v>
      </c>
      <c r="T1330" t="n">
        <v>3</v>
      </c>
      <c r="U1330" t="n">
        <v>1</v>
      </c>
      <c r="V1330" t="n">
        <v>17</v>
      </c>
      <c r="W1330" t="n">
        <v>202</v>
      </c>
    </row>
    <row r="1331">
      <c r="A1331" t="inlineStr">
        <is>
          <t>DOVE BODY WASH CARE &amp; PROTECT BODY WASH PUMP 1L</t>
        </is>
      </c>
      <c r="B1331" t="inlineStr"/>
      <c r="C1331" t="inlineStr">
        <is>
          <t>8%</t>
        </is>
      </c>
      <c r="D1331" t="n">
        <v>109900</v>
      </c>
      <c r="E1331" t="n">
        <v>120000</v>
      </c>
      <c r="F1331" t="n">
        <v>109900</v>
      </c>
      <c r="G1331" t="n">
        <v>120000</v>
      </c>
      <c r="H1331" t="n">
        <v>109900</v>
      </c>
      <c r="I1331" t="n">
        <v>120000</v>
      </c>
      <c r="J1331" t="b">
        <v>0</v>
      </c>
      <c r="K1331" t="inlineStr">
        <is>
          <t>Unilever Indonesia Official Shop</t>
        </is>
      </c>
      <c r="L1331" t="inlineStr">
        <is>
          <t>KOTA BEKASI</t>
        </is>
      </c>
      <c r="M1331" t="n">
        <v>12540927727</v>
      </c>
      <c r="N1331" t="n">
        <v>14318452</v>
      </c>
      <c r="O1331">
        <f>HYPERLINK("https://shopee.co.id/api/v4/item/get?itemid=12540927727&amp;shopid=14318452", "DOVE BODY WASH CARE &amp; PROTECT BODY WASH PUMP 1L")</f>
        <v/>
      </c>
      <c r="P1331" t="n">
        <v>31</v>
      </c>
      <c r="Q1331" t="n">
        <v>99</v>
      </c>
      <c r="R1331" t="n">
        <v>4.77536231884058</v>
      </c>
      <c r="S1331" t="n">
        <v>5</v>
      </c>
      <c r="T1331" t="n">
        <v>4</v>
      </c>
      <c r="U1331" t="n">
        <v>5</v>
      </c>
      <c r="V1331" t="n">
        <v>23</v>
      </c>
      <c r="W1331" t="n">
        <v>240</v>
      </c>
    </row>
    <row r="1332">
      <c r="A1332" t="inlineStr">
        <is>
          <t xml:space="preserve">Buy Pond's Age Miracle Serum 30ml + Sheetmask Anti Aging 25gr + Eye Mask Free Jade Roller </t>
        </is>
      </c>
      <c r="B1332" t="inlineStr"/>
      <c r="C1332" t="inlineStr">
        <is>
          <t>3%</t>
        </is>
      </c>
      <c r="D1332" t="n">
        <v>283300</v>
      </c>
      <c r="E1332" t="n">
        <v>292700</v>
      </c>
      <c r="F1332" t="n">
        <v>283300</v>
      </c>
      <c r="G1332" t="n">
        <v>292700</v>
      </c>
      <c r="H1332" t="n">
        <v>283300</v>
      </c>
      <c r="I1332" t="n">
        <v>292700</v>
      </c>
      <c r="J1332" t="b">
        <v>0</v>
      </c>
      <c r="K1332" t="inlineStr">
        <is>
          <t>Unilever Indonesia Official Shop</t>
        </is>
      </c>
      <c r="L1332" t="inlineStr">
        <is>
          <t>KOTA BEKASI</t>
        </is>
      </c>
      <c r="M1332" t="n">
        <v>13945659624</v>
      </c>
      <c r="N1332" t="n">
        <v>14318452</v>
      </c>
      <c r="O1332">
        <f>HYPERLINK("https://shopee.co.id/api/v4/item/get?itemid=13945659624&amp;shopid=14318452", "Buy Pond's Age Miracle Serum 30ml + Sheetmask Anti Aging 25gr + Eye Mask Free Jade Roller ")</f>
        <v/>
      </c>
      <c r="P1332" t="n">
        <v>2</v>
      </c>
      <c r="Q1332" t="n">
        <v>138</v>
      </c>
      <c r="R1332" t="n">
        <v>4.983333333333333</v>
      </c>
      <c r="S1332" t="n">
        <v>0</v>
      </c>
      <c r="T1332" t="n">
        <v>0</v>
      </c>
      <c r="U1332" t="n">
        <v>0</v>
      </c>
      <c r="V1332" t="n">
        <v>1</v>
      </c>
      <c r="W1332" t="n">
        <v>59</v>
      </c>
    </row>
    <row r="1333">
      <c r="A1333" t="inlineStr">
        <is>
          <t xml:space="preserve">Lifebuoy Wet Wipes Anti Bacterial Tisu Basah Anti Bakteri 48 lembar Multipack (4pcs) </t>
        </is>
      </c>
      <c r="B1333" t="inlineStr"/>
      <c r="C1333" t="inlineStr">
        <is>
          <t>33%</t>
        </is>
      </c>
      <c r="D1333" t="n">
        <v>93600</v>
      </c>
      <c r="E1333" t="n">
        <v>140000</v>
      </c>
      <c r="F1333" t="n">
        <v>93600</v>
      </c>
      <c r="G1333" t="n">
        <v>140000</v>
      </c>
      <c r="H1333" t="n">
        <v>93600</v>
      </c>
      <c r="I1333" t="n">
        <v>140000</v>
      </c>
      <c r="J1333" t="b">
        <v>0</v>
      </c>
      <c r="K1333" t="inlineStr">
        <is>
          <t>Unilever Indonesia Official Shop</t>
        </is>
      </c>
      <c r="L1333" t="inlineStr">
        <is>
          <t>KOTA BEKASI</t>
        </is>
      </c>
      <c r="M1333" t="n">
        <v>12237663654</v>
      </c>
      <c r="N1333" t="n">
        <v>14318452</v>
      </c>
      <c r="O1333">
        <f>HYPERLINK("https://shopee.co.id/api/v4/item/get?itemid=12237663654&amp;shopid=14318452", "Lifebuoy Wet Wipes Anti Bacterial Tisu Basah Anti Bakteri 48 lembar Multipack (4pcs) ")</f>
        <v/>
      </c>
      <c r="P1333" t="n">
        <v>0</v>
      </c>
      <c r="Q1333" t="n">
        <v>27</v>
      </c>
      <c r="R1333" t="n">
        <v>5</v>
      </c>
      <c r="S1333" t="n">
        <v>0</v>
      </c>
      <c r="T1333" t="n">
        <v>0</v>
      </c>
      <c r="U1333" t="n">
        <v>0</v>
      </c>
      <c r="V1333" t="n">
        <v>0</v>
      </c>
      <c r="W1333" t="n">
        <v>9</v>
      </c>
    </row>
    <row r="1334">
      <c r="A1334" t="inlineStr">
        <is>
          <t>Royco Cream of Chicken 58g x 58 Pieces (1 Carton)</t>
        </is>
      </c>
      <c r="B1334" t="inlineStr"/>
      <c r="C1334" t="inlineStr">
        <is>
          <t>4%</t>
        </is>
      </c>
      <c r="D1334" t="n">
        <v>509900</v>
      </c>
      <c r="E1334" t="n">
        <v>530400</v>
      </c>
      <c r="F1334" t="n">
        <v>509900</v>
      </c>
      <c r="G1334" t="n">
        <v>530400</v>
      </c>
      <c r="H1334" t="n">
        <v>509900</v>
      </c>
      <c r="I1334" t="n">
        <v>530400</v>
      </c>
      <c r="J1334" t="b">
        <v>1</v>
      </c>
      <c r="K1334" t="inlineStr">
        <is>
          <t>Unilever Indonesia Official Shop</t>
        </is>
      </c>
      <c r="L1334" t="inlineStr">
        <is>
          <t>KOTA BEKASI</t>
        </is>
      </c>
      <c r="M1334" t="n">
        <v>7238392058</v>
      </c>
      <c r="N1334" t="n">
        <v>14318452</v>
      </c>
      <c r="O1334">
        <f>HYPERLINK("https://shopee.co.id/api/v4/item/get?itemid=7238392058&amp;shopid=14318452", "Royco Cream of Chicken 58g x 58 Pieces (1 Carton)")</f>
        <v/>
      </c>
      <c r="P1334" t="n">
        <v>1</v>
      </c>
      <c r="Q1334" t="n">
        <v>6</v>
      </c>
      <c r="R1334" t="n">
        <v>5</v>
      </c>
      <c r="S1334" t="n">
        <v>0</v>
      </c>
      <c r="T1334" t="n">
        <v>0</v>
      </c>
      <c r="U1334" t="n">
        <v>0</v>
      </c>
      <c r="V1334" t="n">
        <v>0</v>
      </c>
      <c r="W1334" t="n">
        <v>2</v>
      </c>
    </row>
    <row r="1335">
      <c r="A1335" t="inlineStr">
        <is>
          <t>MOLTO PERFUME BEADS LUXURY PERFUME PURPLE - PERFUME BOOSTER 200 G</t>
        </is>
      </c>
      <c r="B1335" t="inlineStr"/>
      <c r="C1335" t="inlineStr">
        <is>
          <t>23%</t>
        </is>
      </c>
      <c r="D1335" t="n">
        <v>38000</v>
      </c>
      <c r="E1335" t="n">
        <v>49500</v>
      </c>
      <c r="F1335" t="n">
        <v>38000</v>
      </c>
      <c r="G1335" t="n">
        <v>49500</v>
      </c>
      <c r="H1335" t="n">
        <v>38000</v>
      </c>
      <c r="I1335" t="n">
        <v>49500</v>
      </c>
      <c r="J1335" t="b">
        <v>0</v>
      </c>
      <c r="K1335" t="inlineStr">
        <is>
          <t>Unilever Indonesia Official Shop</t>
        </is>
      </c>
      <c r="L1335" t="inlineStr">
        <is>
          <t>KOTA BEKASI</t>
        </is>
      </c>
      <c r="M1335" t="n">
        <v>15659129864</v>
      </c>
      <c r="N1335" t="n">
        <v>14318452</v>
      </c>
      <c r="O1335">
        <f>HYPERLINK("https://shopee.co.id/api/v4/item/get?itemid=15659129864&amp;shopid=14318452", "MOLTO PERFUME BEADS LUXURY PERFUME PURPLE - PERFUME BOOSTER 200 G")</f>
        <v/>
      </c>
      <c r="P1335" t="n">
        <v>1605</v>
      </c>
      <c r="Q1335" t="n">
        <v>1725</v>
      </c>
      <c r="R1335" t="n">
        <v>4.930426098535286</v>
      </c>
      <c r="S1335" t="n">
        <v>7</v>
      </c>
      <c r="T1335" t="n">
        <v>3</v>
      </c>
      <c r="U1335" t="n">
        <v>17</v>
      </c>
      <c r="V1335" t="n">
        <v>141</v>
      </c>
      <c r="W1335" t="n">
        <v>2837</v>
      </c>
    </row>
    <row r="1336">
      <c r="A1336" t="inlineStr">
        <is>
          <t>SARIWANGI TEH MELATI 25 TEH CELUP</t>
        </is>
      </c>
      <c r="B1336" t="inlineStr"/>
      <c r="C1336" t="inlineStr">
        <is>
          <t>23%</t>
        </is>
      </c>
      <c r="D1336" t="n">
        <v>7100</v>
      </c>
      <c r="E1336" t="n">
        <v>9200</v>
      </c>
      <c r="F1336" t="n">
        <v>7100</v>
      </c>
      <c r="G1336" t="n">
        <v>9200</v>
      </c>
      <c r="H1336" t="n">
        <v>7100</v>
      </c>
      <c r="I1336" t="n">
        <v>9200</v>
      </c>
      <c r="J1336" t="b">
        <v>0</v>
      </c>
      <c r="K1336" t="inlineStr">
        <is>
          <t>Unilever Indonesia Official Shop</t>
        </is>
      </c>
      <c r="L1336" t="inlineStr">
        <is>
          <t>KOTA SEMARANG</t>
        </is>
      </c>
      <c r="M1336" t="n">
        <v>14823744638</v>
      </c>
      <c r="N1336" t="n">
        <v>14318452</v>
      </c>
      <c r="O1336">
        <f>HYPERLINK("https://shopee.co.id/api/v4/item/get?itemid=14823744638&amp;shopid=14318452", "SARIWANGI TEH MELATI 25 TEH CELUP")</f>
        <v/>
      </c>
      <c r="P1336" t="n">
        <v>892</v>
      </c>
      <c r="Q1336" t="n">
        <v>85</v>
      </c>
      <c r="R1336" t="n">
        <v>4.91896551724138</v>
      </c>
      <c r="S1336" t="n">
        <v>6</v>
      </c>
      <c r="T1336" t="n">
        <v>3</v>
      </c>
      <c r="U1336" t="n">
        <v>7</v>
      </c>
      <c r="V1336" t="n">
        <v>47</v>
      </c>
      <c r="W1336" t="n">
        <v>1097</v>
      </c>
    </row>
    <row r="1337">
      <c r="A1337" t="inlineStr">
        <is>
          <t>Buy Clear Sampo Anti Ketombe Anti Dandruff Ice Cool Menthol 1200ML Free CLEAR SHAMPOO MEN COOL SPORT MENTHOL 300ML</t>
        </is>
      </c>
      <c r="B1337" t="inlineStr"/>
      <c r="C1337" t="inlineStr">
        <is>
          <t>13%</t>
        </is>
      </c>
      <c r="D1337" t="n">
        <v>113500</v>
      </c>
      <c r="E1337" t="n">
        <v>130000</v>
      </c>
      <c r="F1337" t="n">
        <v>113500</v>
      </c>
      <c r="G1337" t="n">
        <v>130000</v>
      </c>
      <c r="H1337" t="n">
        <v>113500</v>
      </c>
      <c r="I1337" t="n">
        <v>130000</v>
      </c>
      <c r="J1337" t="b">
        <v>0</v>
      </c>
      <c r="K1337" t="inlineStr">
        <is>
          <t>Unilever Indonesia Official Shop</t>
        </is>
      </c>
      <c r="L1337" t="inlineStr">
        <is>
          <t>KOTA BEKASI</t>
        </is>
      </c>
      <c r="M1337" t="n">
        <v>14550426549</v>
      </c>
      <c r="N1337" t="n">
        <v>14318452</v>
      </c>
      <c r="O1337">
        <f>HYPERLINK("https://shopee.co.id/api/v4/item/get?itemid=14550426549&amp;shopid=14318452", "Buy Clear Sampo Anti Ketombe Anti Dandruff Ice Cool Menthol 1200ML Free CLEAR SHAMPOO MEN COOL SPORT MENTHOL 300ML")</f>
        <v/>
      </c>
      <c r="P1337" t="n">
        <v>462</v>
      </c>
      <c r="Q1337" t="n">
        <v>346</v>
      </c>
      <c r="R1337" t="n">
        <v>4.915742793791575</v>
      </c>
      <c r="S1337" t="n">
        <v>6</v>
      </c>
      <c r="T1337" t="n">
        <v>3</v>
      </c>
      <c r="U1337" t="n">
        <v>17</v>
      </c>
      <c r="V1337" t="n">
        <v>50</v>
      </c>
      <c r="W1337" t="n">
        <v>1280</v>
      </c>
    </row>
    <row r="1338">
      <c r="A1338" t="inlineStr">
        <is>
          <t>Glow &amp; Lovely Vitamin C Serum Sheet Mask 20G</t>
        </is>
      </c>
      <c r="B1338" t="inlineStr"/>
      <c r="C1338" t="inlineStr">
        <is>
          <t>18%</t>
        </is>
      </c>
      <c r="D1338" t="n">
        <v>8200</v>
      </c>
      <c r="E1338" t="n">
        <v>10000</v>
      </c>
      <c r="F1338" t="n">
        <v>8200</v>
      </c>
      <c r="G1338" t="n">
        <v>10000</v>
      </c>
      <c r="H1338" t="n">
        <v>8200</v>
      </c>
      <c r="I1338" t="n">
        <v>10000</v>
      </c>
      <c r="J1338" t="b">
        <v>0</v>
      </c>
      <c r="K1338" t="inlineStr">
        <is>
          <t>Unilever Indonesia Official Shop</t>
        </is>
      </c>
      <c r="L1338" t="inlineStr">
        <is>
          <t>KOTA BEKASI</t>
        </is>
      </c>
      <c r="M1338" t="n">
        <v>10662321901</v>
      </c>
      <c r="N1338" t="n">
        <v>14318452</v>
      </c>
      <c r="O1338">
        <f>HYPERLINK("https://shopee.co.id/api/v4/item/get?itemid=10662321901&amp;shopid=14318452", "Glow &amp; Lovely Vitamin C Serum Sheet Mask 20G")</f>
        <v/>
      </c>
      <c r="P1338" t="n">
        <v>421</v>
      </c>
      <c r="Q1338" t="n">
        <v>1586</v>
      </c>
      <c r="R1338" t="n">
        <v>4.924161073825504</v>
      </c>
      <c r="S1338" t="n">
        <v>3</v>
      </c>
      <c r="T1338" t="n">
        <v>0</v>
      </c>
      <c r="U1338" t="n">
        <v>9</v>
      </c>
      <c r="V1338" t="n">
        <v>83</v>
      </c>
      <c r="W1338" t="n">
        <v>1395</v>
      </c>
    </row>
    <row r="1339">
      <c r="A1339" t="inlineStr">
        <is>
          <t>Buy 3 Get 1 ZWITSAL EAU DE TOILETTE BODY MIST 100ML</t>
        </is>
      </c>
      <c r="B1339" t="inlineStr"/>
      <c r="C1339" t="inlineStr">
        <is>
          <t>15%</t>
        </is>
      </c>
      <c r="D1339" t="n">
        <v>89800</v>
      </c>
      <c r="E1339" t="n">
        <v>106100</v>
      </c>
      <c r="F1339" t="n">
        <v>89800</v>
      </c>
      <c r="G1339" t="n">
        <v>106100</v>
      </c>
      <c r="H1339" t="n">
        <v>89800</v>
      </c>
      <c r="I1339" t="n">
        <v>106100</v>
      </c>
      <c r="J1339" t="b">
        <v>0</v>
      </c>
      <c r="K1339" t="inlineStr">
        <is>
          <t>Unilever Indonesia Official Shop</t>
        </is>
      </c>
      <c r="L1339" t="inlineStr">
        <is>
          <t>KOTA BEKASI</t>
        </is>
      </c>
      <c r="M1339" t="n">
        <v>14148983543</v>
      </c>
      <c r="N1339" t="n">
        <v>14318452</v>
      </c>
      <c r="O1339">
        <f>HYPERLINK("https://shopee.co.id/api/v4/item/get?itemid=14148983543&amp;shopid=14318452", "Buy 3 Get 1 ZWITSAL EAU DE TOILETTE BODY MIST 100ML")</f>
        <v/>
      </c>
      <c r="P1339" t="n">
        <v>277</v>
      </c>
      <c r="Q1339" t="n">
        <v>230</v>
      </c>
      <c r="R1339" t="n">
        <v>4.848754448398576</v>
      </c>
      <c r="S1339" t="n">
        <v>3</v>
      </c>
      <c r="T1339" t="n">
        <v>4</v>
      </c>
      <c r="U1339" t="n">
        <v>17</v>
      </c>
      <c r="V1339" t="n">
        <v>27</v>
      </c>
      <c r="W1339" t="n">
        <v>511</v>
      </c>
    </row>
    <row r="1340">
      <c r="A1340" t="inlineStr">
        <is>
          <t>Dove Hyaluron Serum Shampoo Restoring &amp; Nourishing Rambut Rusak 450ml</t>
        </is>
      </c>
      <c r="B1340" t="inlineStr"/>
      <c r="C1340" t="inlineStr">
        <is>
          <t>14%</t>
        </is>
      </c>
      <c r="D1340" t="n">
        <v>94800</v>
      </c>
      <c r="E1340" t="n">
        <v>110000</v>
      </c>
      <c r="F1340" t="n">
        <v>94800</v>
      </c>
      <c r="G1340" t="n">
        <v>110000</v>
      </c>
      <c r="H1340" t="n">
        <v>94800</v>
      </c>
      <c r="I1340" t="n">
        <v>110000</v>
      </c>
      <c r="J1340" t="b">
        <v>0</v>
      </c>
      <c r="K1340" t="inlineStr">
        <is>
          <t>Unilever Indonesia Official Shop</t>
        </is>
      </c>
      <c r="L1340" t="inlineStr">
        <is>
          <t>KOTA BEKASI</t>
        </is>
      </c>
      <c r="M1340" t="n">
        <v>12375171579</v>
      </c>
      <c r="N1340" t="n">
        <v>14318452</v>
      </c>
      <c r="O1340">
        <f>HYPERLINK("https://shopee.co.id/api/v4/item/get?itemid=12375171579&amp;shopid=14318452", "Dove Hyaluron Serum Shampoo Restoring &amp; Nourishing Rambut Rusak 450ml")</f>
        <v/>
      </c>
      <c r="P1340" t="n">
        <v>230</v>
      </c>
      <c r="Q1340" t="n">
        <v>150</v>
      </c>
      <c r="R1340" t="n">
        <v>4.757299270072993</v>
      </c>
      <c r="S1340" t="n">
        <v>16</v>
      </c>
      <c r="T1340" t="n">
        <v>10</v>
      </c>
      <c r="U1340" t="n">
        <v>46</v>
      </c>
      <c r="V1340" t="n">
        <v>83</v>
      </c>
      <c r="W1340" t="n">
        <v>942</v>
      </c>
    </row>
    <row r="1341">
      <c r="A1341" t="inlineStr">
        <is>
          <t>Buy 2x ZWITSAL BABY BATH HAIR &amp; BODY ALOE VERA 600ML Free Zwitsal Baby Wipes Baby Shark 2x40</t>
        </is>
      </c>
      <c r="B1341" t="inlineStr"/>
      <c r="C1341" t="inlineStr">
        <is>
          <t>24%</t>
        </is>
      </c>
      <c r="D1341" t="n">
        <v>80100</v>
      </c>
      <c r="E1341" t="n">
        <v>105300</v>
      </c>
      <c r="F1341" t="n">
        <v>80100</v>
      </c>
      <c r="G1341" t="n">
        <v>105300</v>
      </c>
      <c r="H1341" t="n">
        <v>80100</v>
      </c>
      <c r="I1341" t="n">
        <v>105300</v>
      </c>
      <c r="J1341" t="b">
        <v>0</v>
      </c>
      <c r="K1341" t="inlineStr">
        <is>
          <t>Unilever Indonesia Official Shop</t>
        </is>
      </c>
      <c r="L1341" t="inlineStr">
        <is>
          <t>KOTA BEKASI</t>
        </is>
      </c>
      <c r="M1341" t="n">
        <v>10086037815</v>
      </c>
      <c r="N1341" t="n">
        <v>14318452</v>
      </c>
      <c r="O1341">
        <f>HYPERLINK("https://shopee.co.id/api/v4/item/get?itemid=10086037815&amp;shopid=14318452", "Buy 2x ZWITSAL BABY BATH HAIR &amp; BODY ALOE VERA 600ML Free Zwitsal Baby Wipes Baby Shark 2x40")</f>
        <v/>
      </c>
      <c r="P1341" t="n">
        <v>225</v>
      </c>
      <c r="Q1341" t="n">
        <v>473</v>
      </c>
      <c r="R1341" t="n">
        <v>4.946913580246914</v>
      </c>
      <c r="S1341" t="n">
        <v>4</v>
      </c>
      <c r="T1341" t="n">
        <v>1</v>
      </c>
      <c r="U1341" t="n">
        <v>4</v>
      </c>
      <c r="V1341" t="n">
        <v>23</v>
      </c>
      <c r="W1341" t="n">
        <v>781</v>
      </c>
    </row>
    <row r="1342">
      <c r="A1342" t="inlineStr">
        <is>
          <t>Vaseline Lip Balm Pelembab Bibir Cocoa Butter 7G - Lip Care</t>
        </is>
      </c>
      <c r="B1342" t="inlineStr"/>
      <c r="C1342" t="inlineStr">
        <is>
          <t>1%</t>
        </is>
      </c>
      <c r="D1342" t="n">
        <v>43100</v>
      </c>
      <c r="E1342" t="n">
        <v>43500</v>
      </c>
      <c r="F1342" t="n">
        <v>43100</v>
      </c>
      <c r="G1342" t="n">
        <v>43500</v>
      </c>
      <c r="H1342" t="n">
        <v>43100</v>
      </c>
      <c r="I1342" t="n">
        <v>43500</v>
      </c>
      <c r="J1342" t="b">
        <v>0</v>
      </c>
      <c r="K1342" t="inlineStr">
        <is>
          <t>Unilever Indonesia Official Shop</t>
        </is>
      </c>
      <c r="L1342" t="inlineStr">
        <is>
          <t>KOTA BEKASI</t>
        </is>
      </c>
      <c r="M1342" t="n">
        <v>10485346701</v>
      </c>
      <c r="N1342" t="n">
        <v>14318452</v>
      </c>
      <c r="O1342">
        <f>HYPERLINK("https://shopee.co.id/api/v4/item/get?itemid=10485346701&amp;shopid=14318452", "Vaseline Lip Balm Pelembab Bibir Cocoa Butter 7G - Lip Care")</f>
        <v/>
      </c>
      <c r="P1342" t="n">
        <v>156</v>
      </c>
      <c r="Q1342" t="n">
        <v>39</v>
      </c>
      <c r="R1342" t="n">
        <v>4.936018957345971</v>
      </c>
      <c r="S1342" t="n">
        <v>0</v>
      </c>
      <c r="T1342" t="n">
        <v>1</v>
      </c>
      <c r="U1342" t="n">
        <v>6</v>
      </c>
      <c r="V1342" t="n">
        <v>39</v>
      </c>
      <c r="W1342" t="n">
        <v>798</v>
      </c>
    </row>
    <row r="1343">
      <c r="A1343" t="inlineStr">
        <is>
          <t>Dove Nourishing Lip Balm Essential 4.8g Lip Care - Pelembap Bibir</t>
        </is>
      </c>
      <c r="B1343" t="inlineStr"/>
      <c r="C1343" t="inlineStr">
        <is>
          <t>5%</t>
        </is>
      </c>
      <c r="D1343" t="n">
        <v>30300</v>
      </c>
      <c r="E1343" t="n">
        <v>32000</v>
      </c>
      <c r="F1343" t="n">
        <v>30300</v>
      </c>
      <c r="G1343" t="n">
        <v>32000</v>
      </c>
      <c r="H1343" t="n">
        <v>30300</v>
      </c>
      <c r="I1343" t="n">
        <v>32000</v>
      </c>
      <c r="J1343" t="b">
        <v>0</v>
      </c>
      <c r="K1343" t="inlineStr">
        <is>
          <t>Unilever Indonesia Official Shop</t>
        </is>
      </c>
      <c r="L1343" t="inlineStr">
        <is>
          <t>KOTA BEKASI</t>
        </is>
      </c>
      <c r="M1343" t="n">
        <v>13674035544</v>
      </c>
      <c r="N1343" t="n">
        <v>14318452</v>
      </c>
      <c r="O1343">
        <f>HYPERLINK("https://shopee.co.id/api/v4/item/get?itemid=13674035544&amp;shopid=14318452", "Dove Nourishing Lip Balm Essential 4.8g Lip Care - Pelembap Bibir")</f>
        <v/>
      </c>
      <c r="P1343" t="n">
        <v>118</v>
      </c>
      <c r="Q1343" t="n">
        <v>48</v>
      </c>
      <c r="R1343" t="n">
        <v>4.93186372745491</v>
      </c>
      <c r="S1343" t="n">
        <v>1</v>
      </c>
      <c r="T1343" t="n">
        <v>0</v>
      </c>
      <c r="U1343" t="n">
        <v>1</v>
      </c>
      <c r="V1343" t="n">
        <v>28</v>
      </c>
      <c r="W1343" t="n">
        <v>469</v>
      </c>
    </row>
    <row r="1344">
      <c r="A1344" t="inlineStr">
        <is>
          <t xml:space="preserve">Buy Citra Bengkoang Natural Glow UV 380ml + Night Collagen Glow 230 ml Free Glow Recipe Juicy Sheet Mask Coconut Water + Blueberry 25g </t>
        </is>
      </c>
      <c r="B1344" t="inlineStr"/>
      <c r="C1344" t="inlineStr">
        <is>
          <t>1%</t>
        </is>
      </c>
      <c r="D1344" t="n">
        <v>70600</v>
      </c>
      <c r="E1344" t="n">
        <v>71300</v>
      </c>
      <c r="F1344" t="n">
        <v>70600</v>
      </c>
      <c r="G1344" t="n">
        <v>71300</v>
      </c>
      <c r="H1344" t="n">
        <v>70600</v>
      </c>
      <c r="I1344" t="n">
        <v>71300</v>
      </c>
      <c r="J1344" t="b">
        <v>0</v>
      </c>
      <c r="K1344" t="inlineStr">
        <is>
          <t>Unilever Indonesia Official Shop</t>
        </is>
      </c>
      <c r="L1344" t="inlineStr">
        <is>
          <t>KOTA BEKASI</t>
        </is>
      </c>
      <c r="M1344" t="n">
        <v>12070858807</v>
      </c>
      <c r="N1344" t="n">
        <v>14318452</v>
      </c>
      <c r="O1344">
        <f>HYPERLINK("https://shopee.co.id/api/v4/item/get?itemid=12070858807&amp;shopid=14318452", "Buy Citra Bengkoang Natural Glow UV 380ml + Night Collagen Glow 230 ml Free Glow Recipe Juicy Sheet Mask Coconut Water + Blueberry 25g ")</f>
        <v/>
      </c>
      <c r="P1344" t="n">
        <v>96</v>
      </c>
      <c r="Q1344" t="n">
        <v>269</v>
      </c>
      <c r="R1344" t="n">
        <v>4.891666666666667</v>
      </c>
      <c r="S1344" t="n">
        <v>1</v>
      </c>
      <c r="T1344" t="n">
        <v>0</v>
      </c>
      <c r="U1344" t="n">
        <v>3</v>
      </c>
      <c r="V1344" t="n">
        <v>42</v>
      </c>
      <c r="W1344" t="n">
        <v>434</v>
      </c>
    </row>
    <row r="1345">
      <c r="A1345" t="inlineStr">
        <is>
          <t>Dove Nourishing Lip Balm Hydro 4.8g Lip Care - Pelembap Bibir</t>
        </is>
      </c>
      <c r="B1345" t="inlineStr"/>
      <c r="C1345" t="inlineStr">
        <is>
          <t>5%</t>
        </is>
      </c>
      <c r="D1345" t="n">
        <v>30300</v>
      </c>
      <c r="E1345" t="n">
        <v>32000</v>
      </c>
      <c r="F1345" t="n">
        <v>30300</v>
      </c>
      <c r="G1345" t="n">
        <v>32000</v>
      </c>
      <c r="H1345" t="n">
        <v>30300</v>
      </c>
      <c r="I1345" t="n">
        <v>32000</v>
      </c>
      <c r="J1345" t="b">
        <v>0</v>
      </c>
      <c r="K1345" t="inlineStr">
        <is>
          <t>Unilever Indonesia Official Shop</t>
        </is>
      </c>
      <c r="L1345" t="inlineStr">
        <is>
          <t>KOTA BEKASI</t>
        </is>
      </c>
      <c r="M1345" t="n">
        <v>15046495371</v>
      </c>
      <c r="N1345" t="n">
        <v>14318452</v>
      </c>
      <c r="O1345">
        <f>HYPERLINK("https://shopee.co.id/api/v4/item/get?itemid=15046495371&amp;shopid=14318452", "Dove Nourishing Lip Balm Hydro 4.8g Lip Care - Pelembap Bibir")</f>
        <v/>
      </c>
      <c r="P1345" t="n">
        <v>78</v>
      </c>
      <c r="Q1345" t="n">
        <v>37</v>
      </c>
      <c r="R1345" t="n">
        <v>4.933161953727506</v>
      </c>
      <c r="S1345" t="n">
        <v>0</v>
      </c>
      <c r="T1345" t="n">
        <v>0</v>
      </c>
      <c r="U1345" t="n">
        <v>2</v>
      </c>
      <c r="V1345" t="n">
        <v>22</v>
      </c>
      <c r="W1345" t="n">
        <v>365</v>
      </c>
    </row>
    <row r="1346">
      <c r="A1346" t="inlineStr">
        <is>
          <t>Buy 2x Zwitsal Minyak TelonPlus 3+1 100Ml  Free Baygon Elektrik</t>
        </is>
      </c>
      <c r="B1346" t="inlineStr"/>
      <c r="C1346" t="inlineStr">
        <is>
          <t>28%</t>
        </is>
      </c>
      <c r="D1346" t="n">
        <v>54700</v>
      </c>
      <c r="E1346" t="n">
        <v>76500</v>
      </c>
      <c r="F1346" t="n">
        <v>54700</v>
      </c>
      <c r="G1346" t="n">
        <v>76500</v>
      </c>
      <c r="H1346" t="n">
        <v>54700</v>
      </c>
      <c r="I1346" t="n">
        <v>76500</v>
      </c>
      <c r="J1346" t="b">
        <v>0</v>
      </c>
      <c r="K1346" t="inlineStr">
        <is>
          <t>Unilever Indonesia Official Shop</t>
        </is>
      </c>
      <c r="L1346" t="inlineStr">
        <is>
          <t>KOTA BEKASI</t>
        </is>
      </c>
      <c r="M1346" t="n">
        <v>14048810004</v>
      </c>
      <c r="N1346" t="n">
        <v>14318452</v>
      </c>
      <c r="O1346">
        <f>HYPERLINK("https://shopee.co.id/api/v4/item/get?itemid=14048810004&amp;shopid=14318452", "Buy 2x Zwitsal Minyak TelonPlus 3+1 100Ml  Free Baygon Elektrik")</f>
        <v/>
      </c>
      <c r="P1346" t="n">
        <v>74</v>
      </c>
      <c r="Q1346" t="n">
        <v>383</v>
      </c>
      <c r="R1346" t="n">
        <v>4.910144927536232</v>
      </c>
      <c r="S1346" t="n">
        <v>1</v>
      </c>
      <c r="T1346" t="n">
        <v>0</v>
      </c>
      <c r="U1346" t="n">
        <v>5</v>
      </c>
      <c r="V1346" t="n">
        <v>17</v>
      </c>
      <c r="W1346" t="n">
        <v>322</v>
      </c>
    </row>
    <row r="1347">
      <c r="A1347" t="inlineStr">
        <is>
          <t>Dove Shampo Perawatan Rambut Rusak Sampo 680 ML</t>
        </is>
      </c>
      <c r="B1347" t="inlineStr"/>
      <c r="C1347" t="inlineStr">
        <is>
          <t>1%</t>
        </is>
      </c>
      <c r="D1347" t="n">
        <v>92400</v>
      </c>
      <c r="E1347" t="n">
        <v>93300</v>
      </c>
      <c r="F1347" t="n">
        <v>92400</v>
      </c>
      <c r="G1347" t="n">
        <v>93300</v>
      </c>
      <c r="H1347" t="n">
        <v>92400</v>
      </c>
      <c r="I1347" t="n">
        <v>93300</v>
      </c>
      <c r="J1347" t="b">
        <v>0</v>
      </c>
      <c r="K1347" t="inlineStr">
        <is>
          <t>Unilever Indonesia Official Shop</t>
        </is>
      </c>
      <c r="L1347" t="inlineStr">
        <is>
          <t>KOTA BEKASI</t>
        </is>
      </c>
      <c r="M1347" t="n">
        <v>12626741139</v>
      </c>
      <c r="N1347" t="n">
        <v>14318452</v>
      </c>
      <c r="O1347">
        <f>HYPERLINK("https://shopee.co.id/api/v4/item/get?itemid=12626741139&amp;shopid=14318452", "Dove Shampo Perawatan Rambut Rusak Sampo 680 ML")</f>
        <v/>
      </c>
      <c r="P1347" t="n">
        <v>74</v>
      </c>
      <c r="Q1347" t="n">
        <v>1318</v>
      </c>
      <c r="R1347" t="n">
        <v>4.91578947368421</v>
      </c>
      <c r="S1347" t="n">
        <v>1</v>
      </c>
      <c r="T1347" t="n">
        <v>3</v>
      </c>
      <c r="U1347" t="n">
        <v>22</v>
      </c>
      <c r="V1347" t="n">
        <v>63</v>
      </c>
      <c r="W1347" t="n">
        <v>1336</v>
      </c>
    </row>
    <row r="1348">
      <c r="A1348" t="inlineStr">
        <is>
          <t>Buy 2x Zwitsal Kids 2 In 1 Hair &amp; Body Wash Soft And Moisturizing 280 ml Free Zwitsal Hand Sanitizer</t>
        </is>
      </c>
      <c r="B1348" t="inlineStr"/>
      <c r="C1348" t="inlineStr">
        <is>
          <t>21%</t>
        </is>
      </c>
      <c r="D1348" t="n">
        <v>43900</v>
      </c>
      <c r="E1348" t="n">
        <v>55800</v>
      </c>
      <c r="F1348" t="n">
        <v>43900</v>
      </c>
      <c r="G1348" t="n">
        <v>55800</v>
      </c>
      <c r="H1348" t="n">
        <v>43900</v>
      </c>
      <c r="I1348" t="n">
        <v>55800</v>
      </c>
      <c r="J1348" t="b">
        <v>0</v>
      </c>
      <c r="K1348" t="inlineStr">
        <is>
          <t>Unilever Indonesia Official Shop</t>
        </is>
      </c>
      <c r="L1348" t="inlineStr">
        <is>
          <t>KOTA SEMARANG</t>
        </is>
      </c>
      <c r="M1348" t="n">
        <v>15148984471</v>
      </c>
      <c r="N1348" t="n">
        <v>14318452</v>
      </c>
      <c r="O1348">
        <f>HYPERLINK("https://shopee.co.id/api/v4/item/get?itemid=15148984471&amp;shopid=14318452", "Buy 2x Zwitsal Kids 2 In 1 Hair &amp; Body Wash Soft And Moisturizing 280 ml Free Zwitsal Hand Sanitizer")</f>
        <v/>
      </c>
      <c r="P1348" t="n">
        <v>60</v>
      </c>
      <c r="Q1348" t="n">
        <v>76</v>
      </c>
      <c r="R1348" t="n">
        <v>4.932038834951456</v>
      </c>
      <c r="S1348" t="n">
        <v>0</v>
      </c>
      <c r="T1348" t="n">
        <v>0</v>
      </c>
      <c r="U1348" t="n">
        <v>2</v>
      </c>
      <c r="V1348" t="n">
        <v>3</v>
      </c>
      <c r="W1348" t="n">
        <v>98</v>
      </c>
    </row>
    <row r="1349">
      <c r="A1349" t="inlineStr">
        <is>
          <t>Buy 2 Zwitsal Baby Bath &amp; Body Antibacterial 450 ml Free Hair Lotion Aloe Vera Kemiri Seledri 100ml</t>
        </is>
      </c>
      <c r="B1349" t="inlineStr"/>
      <c r="C1349" t="inlineStr">
        <is>
          <t>8%</t>
        </is>
      </c>
      <c r="D1349" t="n">
        <v>73800</v>
      </c>
      <c r="E1349" t="n">
        <v>80100</v>
      </c>
      <c r="F1349" t="n">
        <v>73800</v>
      </c>
      <c r="G1349" t="n">
        <v>80100</v>
      </c>
      <c r="H1349" t="n">
        <v>73800</v>
      </c>
      <c r="I1349" t="n">
        <v>80100</v>
      </c>
      <c r="J1349" t="b">
        <v>0</v>
      </c>
      <c r="K1349" t="inlineStr">
        <is>
          <t>Unilever Indonesia Official Shop</t>
        </is>
      </c>
      <c r="L1349" t="inlineStr">
        <is>
          <t>KOTA BEKASI</t>
        </is>
      </c>
      <c r="M1349" t="n">
        <v>13475237839</v>
      </c>
      <c r="N1349" t="n">
        <v>14318452</v>
      </c>
      <c r="O1349">
        <f>HYPERLINK("https://shopee.co.id/api/v4/item/get?itemid=13475237839&amp;shopid=14318452", "Buy 2 Zwitsal Baby Bath &amp; Body Antibacterial 450 ml Free Hair Lotion Aloe Vera Kemiri Seledri 100ml")</f>
        <v/>
      </c>
      <c r="P1349" t="n">
        <v>18</v>
      </c>
      <c r="Q1349" t="n">
        <v>123</v>
      </c>
      <c r="R1349" t="n">
        <v>4.913043478260869</v>
      </c>
      <c r="S1349" t="n">
        <v>1</v>
      </c>
      <c r="T1349" t="n">
        <v>0</v>
      </c>
      <c r="U1349" t="n">
        <v>1</v>
      </c>
      <c r="V1349" t="n">
        <v>4</v>
      </c>
      <c r="W1349" t="n">
        <v>109</v>
      </c>
    </row>
    <row r="1350">
      <c r="A1350" t="inlineStr">
        <is>
          <t>Buy 2x ZWITSAL KIDS 2 IN 1 SABUN MANDI NATURAL AND NOURISH 280ML Free Zwitsal Handsanitizer</t>
        </is>
      </c>
      <c r="B1350" t="inlineStr"/>
      <c r="C1350" t="inlineStr">
        <is>
          <t>8%</t>
        </is>
      </c>
      <c r="D1350" t="n">
        <v>50800</v>
      </c>
      <c r="E1350" t="n">
        <v>55200</v>
      </c>
      <c r="F1350" t="n">
        <v>50800</v>
      </c>
      <c r="G1350" t="n">
        <v>55200</v>
      </c>
      <c r="H1350" t="n">
        <v>50800</v>
      </c>
      <c r="I1350" t="n">
        <v>55200</v>
      </c>
      <c r="J1350" t="b">
        <v>0</v>
      </c>
      <c r="K1350" t="inlineStr">
        <is>
          <t>Unilever Indonesia Official Shop</t>
        </is>
      </c>
      <c r="L1350" t="inlineStr">
        <is>
          <t>KOTA SEMARANG</t>
        </is>
      </c>
      <c r="M1350" t="n">
        <v>10686030124</v>
      </c>
      <c r="N1350" t="n">
        <v>14318452</v>
      </c>
      <c r="O1350">
        <f>HYPERLINK("https://shopee.co.id/api/v4/item/get?itemid=10686030124&amp;shopid=14318452", "Buy 2x ZWITSAL KIDS 2 IN 1 SABUN MANDI NATURAL AND NOURISH 280ML Free Zwitsal Handsanitizer")</f>
        <v/>
      </c>
      <c r="P1350" t="n">
        <v>14</v>
      </c>
      <c r="Q1350" t="n">
        <v>39</v>
      </c>
      <c r="R1350" t="n">
        <v>4.883116883116883</v>
      </c>
      <c r="S1350" t="n">
        <v>0</v>
      </c>
      <c r="T1350" t="n">
        <v>0</v>
      </c>
      <c r="U1350" t="n">
        <v>3</v>
      </c>
      <c r="V1350" t="n">
        <v>3</v>
      </c>
      <c r="W1350" t="n">
        <v>71</v>
      </c>
    </row>
    <row r="1351">
      <c r="A1351" t="inlineStr">
        <is>
          <t>SUPERPELL BABY LAVENDER POUCH 770ML</t>
        </is>
      </c>
      <c r="B1351" t="inlineStr"/>
      <c r="C1351" t="inlineStr">
        <is>
          <t>20%</t>
        </is>
      </c>
      <c r="D1351" t="n">
        <v>12000</v>
      </c>
      <c r="E1351" t="n">
        <v>15000</v>
      </c>
      <c r="F1351" t="n">
        <v>12000</v>
      </c>
      <c r="G1351" t="n">
        <v>15000</v>
      </c>
      <c r="H1351" t="n">
        <v>12000</v>
      </c>
      <c r="I1351" t="n">
        <v>15000</v>
      </c>
      <c r="J1351" t="b">
        <v>0</v>
      </c>
      <c r="K1351" t="inlineStr">
        <is>
          <t>Unilever Indonesia Official Shop</t>
        </is>
      </c>
      <c r="L1351" t="inlineStr">
        <is>
          <t>KOTA BEKASI</t>
        </is>
      </c>
      <c r="M1351" t="n">
        <v>15600093146</v>
      </c>
      <c r="N1351" t="n">
        <v>14318452</v>
      </c>
      <c r="O1351">
        <f>HYPERLINK("https://shopee.co.id/api/v4/item/get?itemid=15600093146&amp;shopid=14318452", "SUPERPELL BABY LAVENDER POUCH 770ML")</f>
        <v/>
      </c>
      <c r="P1351" t="n">
        <v>1485</v>
      </c>
      <c r="Q1351" t="n">
        <v>1038</v>
      </c>
      <c r="R1351" t="n">
        <v>4.912787271655863</v>
      </c>
      <c r="S1351" t="n">
        <v>6</v>
      </c>
      <c r="T1351" t="n">
        <v>8</v>
      </c>
      <c r="U1351" t="n">
        <v>9</v>
      </c>
      <c r="V1351" t="n">
        <v>82</v>
      </c>
      <c r="W1351" t="n">
        <v>1592</v>
      </c>
    </row>
    <row r="1352">
      <c r="A1352" t="inlineStr">
        <is>
          <t>PEPSODENT MOUTHWASH SIWAK 150ml</t>
        </is>
      </c>
      <c r="B1352" t="inlineStr"/>
      <c r="C1352" t="inlineStr">
        <is>
          <t>22%</t>
        </is>
      </c>
      <c r="D1352" t="n">
        <v>11800</v>
      </c>
      <c r="E1352" t="n">
        <v>15100</v>
      </c>
      <c r="F1352" t="n">
        <v>11800</v>
      </c>
      <c r="G1352" t="n">
        <v>15100</v>
      </c>
      <c r="H1352" t="n">
        <v>11800</v>
      </c>
      <c r="I1352" t="n">
        <v>15100</v>
      </c>
      <c r="J1352" t="b">
        <v>0</v>
      </c>
      <c r="K1352" t="inlineStr">
        <is>
          <t>Unilever Indonesia Official Shop</t>
        </is>
      </c>
      <c r="L1352" t="inlineStr">
        <is>
          <t>KOTA BEKASI</t>
        </is>
      </c>
      <c r="M1352" t="n">
        <v>15600068792</v>
      </c>
      <c r="N1352" t="n">
        <v>14318452</v>
      </c>
      <c r="O1352">
        <f>HYPERLINK("https://shopee.co.id/api/v4/item/get?itemid=15600068792&amp;shopid=14318452", "PEPSODENT MOUTHWASH SIWAK 150ml")</f>
        <v/>
      </c>
      <c r="P1352" t="n">
        <v>572</v>
      </c>
      <c r="Q1352" t="n">
        <v>242</v>
      </c>
      <c r="R1352" t="n">
        <v>4.885222381635581</v>
      </c>
      <c r="S1352" t="n">
        <v>4</v>
      </c>
      <c r="T1352" t="n">
        <v>1</v>
      </c>
      <c r="U1352" t="n">
        <v>7</v>
      </c>
      <c r="V1352" t="n">
        <v>47</v>
      </c>
      <c r="W1352" t="n">
        <v>638</v>
      </c>
    </row>
    <row r="1353">
      <c r="A1353" t="inlineStr">
        <is>
          <t>Dove Perawatan Rambut Rontok Serum Sampo dan Kondisioner</t>
        </is>
      </c>
      <c r="B1353" t="inlineStr"/>
      <c r="C1353" t="inlineStr">
        <is>
          <t>5%</t>
        </is>
      </c>
      <c r="D1353" t="n">
        <v>189100</v>
      </c>
      <c r="E1353" t="n">
        <v>198700</v>
      </c>
      <c r="F1353" t="n">
        <v>189100</v>
      </c>
      <c r="G1353" t="n">
        <v>198700</v>
      </c>
      <c r="H1353" t="n">
        <v>189100</v>
      </c>
      <c r="I1353" t="n">
        <v>198700</v>
      </c>
      <c r="J1353" t="b">
        <v>0</v>
      </c>
      <c r="K1353" t="inlineStr">
        <is>
          <t>Unilever Indonesia Official Shop</t>
        </is>
      </c>
      <c r="L1353" t="inlineStr">
        <is>
          <t>KOTA BEKASI</t>
        </is>
      </c>
      <c r="M1353" t="n">
        <v>15500077753</v>
      </c>
      <c r="N1353" t="n">
        <v>14318452</v>
      </c>
      <c r="O1353">
        <f>HYPERLINK("https://shopee.co.id/api/v4/item/get?itemid=15500077753&amp;shopid=14318452", "Dove Perawatan Rambut Rontok Serum Sampo dan Kondisioner")</f>
        <v/>
      </c>
      <c r="P1353" t="n">
        <v>46</v>
      </c>
      <c r="Q1353" t="n">
        <v>8</v>
      </c>
      <c r="R1353" t="n">
        <v>4.900355871886121</v>
      </c>
      <c r="S1353" t="n">
        <v>3</v>
      </c>
      <c r="T1353" t="n">
        <v>0</v>
      </c>
      <c r="U1353" t="n">
        <v>5</v>
      </c>
      <c r="V1353" t="n">
        <v>10</v>
      </c>
      <c r="W1353" t="n">
        <v>264</v>
      </c>
    </row>
    <row r="1354">
      <c r="A1354" t="inlineStr">
        <is>
          <t>Lifebuoy Wet Wipes Anti Bacterial Tisu Basah Anti Bakteri 48 lembar</t>
        </is>
      </c>
      <c r="B1354" t="inlineStr"/>
      <c r="C1354" t="inlineStr">
        <is>
          <t>24%</t>
        </is>
      </c>
      <c r="D1354" t="n">
        <v>26500</v>
      </c>
      <c r="E1354" t="n">
        <v>35000</v>
      </c>
      <c r="F1354" t="n">
        <v>26500</v>
      </c>
      <c r="G1354" t="n">
        <v>35000</v>
      </c>
      <c r="H1354" t="n">
        <v>26500</v>
      </c>
      <c r="I1354" t="n">
        <v>35000</v>
      </c>
      <c r="J1354" t="b">
        <v>0</v>
      </c>
      <c r="K1354" t="inlineStr">
        <is>
          <t>Unilever Indonesia Official Shop</t>
        </is>
      </c>
      <c r="L1354" t="inlineStr">
        <is>
          <t>KOTA BEKASI</t>
        </is>
      </c>
      <c r="M1354" t="n">
        <v>13631623671</v>
      </c>
      <c r="N1354" t="n">
        <v>14318452</v>
      </c>
      <c r="O1354">
        <f>HYPERLINK("https://shopee.co.id/api/v4/item/get?itemid=13631623671&amp;shopid=14318452", "Lifebuoy Wet Wipes Anti Bacterial Tisu Basah Anti Bakteri 48 lembar")</f>
        <v/>
      </c>
      <c r="P1354" t="n">
        <v>8</v>
      </c>
      <c r="Q1354" t="n">
        <v>111</v>
      </c>
      <c r="R1354" t="n">
        <v>4.913043478260869</v>
      </c>
      <c r="S1354" t="n">
        <v>0</v>
      </c>
      <c r="T1354" t="n">
        <v>1</v>
      </c>
      <c r="U1354" t="n">
        <v>0</v>
      </c>
      <c r="V1354" t="n">
        <v>5</v>
      </c>
      <c r="W1354" t="n">
        <v>86</v>
      </c>
    </row>
    <row r="1355">
      <c r="A1355" t="inlineStr">
        <is>
          <t>Pepsodent Triple Clean Sikat Gigi Soft Isi 3 Multi Pack</t>
        </is>
      </c>
      <c r="B1355" t="inlineStr">
        <is>
          <t>Pepsodent</t>
        </is>
      </c>
      <c r="C1355" t="inlineStr">
        <is>
          <t>21%</t>
        </is>
      </c>
      <c r="D1355" t="n">
        <v>25500</v>
      </c>
      <c r="E1355" t="n">
        <v>32300</v>
      </c>
      <c r="F1355" t="n">
        <v>25500</v>
      </c>
      <c r="G1355" t="n">
        <v>32300</v>
      </c>
      <c r="H1355" t="n">
        <v>25500</v>
      </c>
      <c r="I1355" t="n">
        <v>32300</v>
      </c>
      <c r="J1355" t="b">
        <v>1</v>
      </c>
      <c r="K1355" t="inlineStr">
        <is>
          <t>Unilever Indonesia Official Shop</t>
        </is>
      </c>
      <c r="L1355" t="inlineStr">
        <is>
          <t>KOTA BEKASI</t>
        </is>
      </c>
      <c r="M1355" t="n">
        <v>3147021353</v>
      </c>
      <c r="N1355" t="n">
        <v>14318452</v>
      </c>
      <c r="O1355">
        <f>HYPERLINK("https://shopee.co.id/api/v4/item/get?itemid=3147021353&amp;shopid=14318452", "Pepsodent Triple Clean Sikat Gigi Soft Isi 3 Multi Pack")</f>
        <v/>
      </c>
      <c r="P1355" t="n">
        <v>11</v>
      </c>
      <c r="Q1355" t="n">
        <v>172</v>
      </c>
      <c r="R1355" t="n">
        <v>4.847826086956522</v>
      </c>
      <c r="S1355" t="n">
        <v>1</v>
      </c>
      <c r="T1355" t="n">
        <v>0</v>
      </c>
      <c r="U1355" t="n">
        <v>1</v>
      </c>
      <c r="V1355" t="n">
        <v>1</v>
      </c>
      <c r="W1355" t="n">
        <v>43</v>
      </c>
    </row>
    <row r="1356">
      <c r="A1356" t="inlineStr">
        <is>
          <t>Pond's Age Miracle Day Cream 50gr FREE Vaseline Firm Glow Serum 180ml</t>
        </is>
      </c>
      <c r="B1356" t="inlineStr">
        <is>
          <t>Pond's</t>
        </is>
      </c>
      <c r="C1356" t="inlineStr">
        <is>
          <t>18%</t>
        </is>
      </c>
      <c r="D1356" t="n">
        <v>139900</v>
      </c>
      <c r="E1356" t="n">
        <v>170000</v>
      </c>
      <c r="F1356" t="n">
        <v>139900</v>
      </c>
      <c r="G1356" t="n">
        <v>170000</v>
      </c>
      <c r="H1356" t="n">
        <v>139900</v>
      </c>
      <c r="I1356" t="n">
        <v>170000</v>
      </c>
      <c r="J1356" t="b">
        <v>1</v>
      </c>
      <c r="K1356" t="inlineStr">
        <is>
          <t>Unilever Indonesia Official Shop</t>
        </is>
      </c>
      <c r="L1356" t="inlineStr">
        <is>
          <t>KOTA BEKASI</t>
        </is>
      </c>
      <c r="M1356" t="n">
        <v>3368119058</v>
      </c>
      <c r="N1356" t="n">
        <v>14318452</v>
      </c>
      <c r="O1356">
        <f>HYPERLINK("https://shopee.co.id/api/v4/item/get?itemid=3368119058&amp;shopid=14318452", "Pond's Age Miracle Day Cream 50gr FREE Vaseline Firm Glow Serum 180ml")</f>
        <v/>
      </c>
      <c r="P1356" t="n">
        <v>37</v>
      </c>
      <c r="Q1356" t="n">
        <v>956</v>
      </c>
      <c r="R1356" t="n">
        <v>5</v>
      </c>
      <c r="S1356" t="n">
        <v>0</v>
      </c>
      <c r="T1356" t="n">
        <v>0</v>
      </c>
      <c r="U1356" t="n">
        <v>0</v>
      </c>
      <c r="V1356" t="n">
        <v>0</v>
      </c>
      <c r="W1356" t="n">
        <v>18</v>
      </c>
    </row>
    <row r="1357">
      <c r="A1357" t="inlineStr">
        <is>
          <t>Vixal Pembersih Kamar Mandi Kuat Harum 470 ml - Bersihkan Kerak Dan Bunuh Kuman</t>
        </is>
      </c>
      <c r="B1357" t="inlineStr"/>
      <c r="C1357" t="inlineStr">
        <is>
          <t>19%</t>
        </is>
      </c>
      <c r="D1357" t="n">
        <v>11300</v>
      </c>
      <c r="E1357" t="n">
        <v>14000</v>
      </c>
      <c r="F1357" t="n">
        <v>11300</v>
      </c>
      <c r="G1357" t="n">
        <v>14000</v>
      </c>
      <c r="H1357" t="n">
        <v>11300</v>
      </c>
      <c r="I1357" t="n">
        <v>14000</v>
      </c>
      <c r="J1357" t="b">
        <v>1</v>
      </c>
      <c r="K1357" t="inlineStr">
        <is>
          <t>Unilever Indonesia Official Shop</t>
        </is>
      </c>
      <c r="L1357" t="inlineStr">
        <is>
          <t>KOTA BALIKPAPAN</t>
        </is>
      </c>
      <c r="M1357" t="n">
        <v>4603966861</v>
      </c>
      <c r="N1357" t="n">
        <v>14318452</v>
      </c>
      <c r="O1357">
        <f>HYPERLINK("https://shopee.co.id/api/v4/item/get?itemid=4603966861&amp;shopid=14318452", "Vixal Pembersih Kamar Mandi Kuat Harum 470 ml - Bersihkan Kerak Dan Bunuh Kuman")</f>
        <v/>
      </c>
      <c r="P1357" t="n">
        <v>218</v>
      </c>
      <c r="Q1357" t="n">
        <v>6</v>
      </c>
      <c r="R1357" t="n">
        <v>4.669724770642202</v>
      </c>
      <c r="S1357" t="n">
        <v>2</v>
      </c>
      <c r="T1357" t="n">
        <v>3</v>
      </c>
      <c r="U1357" t="n">
        <v>5</v>
      </c>
      <c r="V1357" t="n">
        <v>9</v>
      </c>
      <c r="W1357" t="n">
        <v>90</v>
      </c>
    </row>
    <row r="1358">
      <c r="A1358" t="inlineStr">
        <is>
          <t>Dove Hyaluron Serum Conditioner Purify &amp; Hydrating Rambut Kering 450ml</t>
        </is>
      </c>
      <c r="B1358" t="inlineStr"/>
      <c r="C1358" t="inlineStr">
        <is>
          <t>14%</t>
        </is>
      </c>
      <c r="D1358" t="n">
        <v>94800</v>
      </c>
      <c r="E1358" t="n">
        <v>110000</v>
      </c>
      <c r="F1358" t="n">
        <v>94800</v>
      </c>
      <c r="G1358" t="n">
        <v>110000</v>
      </c>
      <c r="H1358" t="n">
        <v>94800</v>
      </c>
      <c r="I1358" t="n">
        <v>110000</v>
      </c>
      <c r="J1358" t="b">
        <v>0</v>
      </c>
      <c r="K1358" t="inlineStr">
        <is>
          <t>Unilever Indonesia Official Shop</t>
        </is>
      </c>
      <c r="L1358" t="inlineStr">
        <is>
          <t>KOTA BEKASI</t>
        </is>
      </c>
      <c r="M1358" t="n">
        <v>14648813436</v>
      </c>
      <c r="N1358" t="n">
        <v>14318452</v>
      </c>
      <c r="O1358">
        <f>HYPERLINK("https://shopee.co.id/api/v4/item/get?itemid=14648813436&amp;shopid=14318452", "Dove Hyaluron Serum Conditioner Purify &amp; Hydrating Rambut Kering 450ml")</f>
        <v/>
      </c>
      <c r="P1358" t="n">
        <v>147</v>
      </c>
      <c r="Q1358" t="n">
        <v>83</v>
      </c>
      <c r="R1358" t="n">
        <v>4.924302788844622</v>
      </c>
      <c r="S1358" t="n">
        <v>1</v>
      </c>
      <c r="T1358" t="n">
        <v>2</v>
      </c>
      <c r="U1358" t="n">
        <v>4</v>
      </c>
      <c r="V1358" t="n">
        <v>20</v>
      </c>
      <c r="W1358" t="n">
        <v>475</v>
      </c>
    </row>
    <row r="1359">
      <c r="A1359" t="inlineStr">
        <is>
          <t>Dove Hyaluron Serum Shampoo Purifying &amp; Hydrating Rambut Kering 450ml</t>
        </is>
      </c>
      <c r="B1359" t="inlineStr"/>
      <c r="C1359" t="inlineStr">
        <is>
          <t>14%</t>
        </is>
      </c>
      <c r="D1359" t="n">
        <v>94800</v>
      </c>
      <c r="E1359" t="n">
        <v>110000</v>
      </c>
      <c r="F1359" t="n">
        <v>94800</v>
      </c>
      <c r="G1359" t="n">
        <v>110000</v>
      </c>
      <c r="H1359" t="n">
        <v>94800</v>
      </c>
      <c r="I1359" t="n">
        <v>110000</v>
      </c>
      <c r="J1359" t="b">
        <v>0</v>
      </c>
      <c r="K1359" t="inlineStr">
        <is>
          <t>Unilever Indonesia Official Shop</t>
        </is>
      </c>
      <c r="L1359" t="inlineStr">
        <is>
          <t>KOTA BEKASI</t>
        </is>
      </c>
      <c r="M1359" t="n">
        <v>12275171221</v>
      </c>
      <c r="N1359" t="n">
        <v>14318452</v>
      </c>
      <c r="O1359">
        <f>HYPERLINK("https://shopee.co.id/api/v4/item/get?itemid=12275171221&amp;shopid=14318452", "Dove Hyaluron Serum Shampoo Purifying &amp; Hydrating Rambut Kering 450ml")</f>
        <v/>
      </c>
      <c r="P1359" t="n">
        <v>113</v>
      </c>
      <c r="Q1359" t="n">
        <v>61</v>
      </c>
      <c r="R1359" t="n">
        <v>4.740229885057471</v>
      </c>
      <c r="S1359" t="n">
        <v>7</v>
      </c>
      <c r="T1359" t="n">
        <v>6</v>
      </c>
      <c r="U1359" t="n">
        <v>14</v>
      </c>
      <c r="V1359" t="n">
        <v>42</v>
      </c>
      <c r="W1359" t="n">
        <v>367</v>
      </c>
    </row>
    <row r="1360">
      <c r="A1360" t="inlineStr">
        <is>
          <t>Vaseline Healthy Bright​ Gluta Hyaluron Niacinamide Serum Lotion Dewy Radiance 200Ml – Twinpack</t>
        </is>
      </c>
      <c r="B1360" t="inlineStr"/>
      <c r="C1360" t="inlineStr">
        <is>
          <t>3%</t>
        </is>
      </c>
      <c r="D1360" t="n">
        <v>105000</v>
      </c>
      <c r="E1360" t="n">
        <v>108000</v>
      </c>
      <c r="F1360" t="n">
        <v>105000</v>
      </c>
      <c r="G1360" t="n">
        <v>108000</v>
      </c>
      <c r="H1360" t="n">
        <v>105000</v>
      </c>
      <c r="I1360" t="n">
        <v>108000</v>
      </c>
      <c r="J1360" t="b">
        <v>0</v>
      </c>
      <c r="K1360" t="inlineStr">
        <is>
          <t>Unilever Indonesia Official Shop</t>
        </is>
      </c>
      <c r="L1360" t="inlineStr">
        <is>
          <t>KOTA BEKASI</t>
        </is>
      </c>
      <c r="M1360" t="n">
        <v>14922398361</v>
      </c>
      <c r="N1360" t="n">
        <v>14318452</v>
      </c>
      <c r="O1360">
        <f>HYPERLINK("https://shopee.co.id/api/v4/item/get?itemid=14922398361&amp;shopid=14318452", "Vaseline Healthy Bright​ Gluta Hyaluron Niacinamide Serum Lotion Dewy Radiance 200Ml – Twinpack")</f>
        <v/>
      </c>
      <c r="P1360" t="n">
        <v>740</v>
      </c>
      <c r="Q1360" t="n">
        <v>11811</v>
      </c>
      <c r="R1360" t="n">
        <v>4.910216718266254</v>
      </c>
      <c r="S1360" t="n">
        <v>3</v>
      </c>
      <c r="T1360" t="n">
        <v>1</v>
      </c>
      <c r="U1360" t="n">
        <v>6</v>
      </c>
      <c r="V1360" t="n">
        <v>31</v>
      </c>
      <c r="W1360" t="n">
        <v>621</v>
      </c>
    </row>
    <row r="1361">
      <c r="A1361" t="inlineStr">
        <is>
          <t>Buavita Mini Juice Apel 125 ml</t>
        </is>
      </c>
      <c r="B1361" t="inlineStr"/>
      <c r="C1361" t="inlineStr">
        <is>
          <t>17%</t>
        </is>
      </c>
      <c r="D1361" t="n">
        <v>3500</v>
      </c>
      <c r="E1361" t="n">
        <v>4200</v>
      </c>
      <c r="F1361" t="n">
        <v>3500</v>
      </c>
      <c r="G1361" t="n">
        <v>4200</v>
      </c>
      <c r="H1361" t="n">
        <v>3500</v>
      </c>
      <c r="I1361" t="n">
        <v>4200</v>
      </c>
      <c r="J1361" t="b">
        <v>1</v>
      </c>
      <c r="K1361" t="inlineStr">
        <is>
          <t>Unilever Indonesia Official Shop</t>
        </is>
      </c>
      <c r="L1361" t="inlineStr">
        <is>
          <t>KAB. DELI SERDANG</t>
        </is>
      </c>
      <c r="M1361" t="n">
        <v>6706355427</v>
      </c>
      <c r="N1361" t="n">
        <v>14318452</v>
      </c>
      <c r="O1361">
        <f>HYPERLINK("https://shopee.co.id/api/v4/item/get?itemid=6706355427&amp;shopid=14318452", "Buavita Mini Juice Apel 125 ml")</f>
        <v/>
      </c>
      <c r="P1361" t="n">
        <v>410</v>
      </c>
      <c r="Q1361" t="n">
        <v>13</v>
      </c>
      <c r="R1361" t="n">
        <v>4.779661016949152</v>
      </c>
      <c r="S1361" t="n">
        <v>1</v>
      </c>
      <c r="T1361" t="n">
        <v>0</v>
      </c>
      <c r="U1361" t="n">
        <v>3</v>
      </c>
      <c r="V1361" t="n">
        <v>3</v>
      </c>
      <c r="W1361" t="n">
        <v>52</v>
      </c>
    </row>
    <row r="1362">
      <c r="A1362" t="inlineStr">
        <is>
          <t>Suave Kids 3 in 1 Shampoo Conditioner Body Wash - Watermelon Wonder 532ml</t>
        </is>
      </c>
      <c r="B1362" t="inlineStr"/>
      <c r="C1362" t="inlineStr">
        <is>
          <t>1%</t>
        </is>
      </c>
      <c r="D1362" t="n">
        <v>96100</v>
      </c>
      <c r="E1362" t="n">
        <v>97000</v>
      </c>
      <c r="F1362" t="n">
        <v>96100</v>
      </c>
      <c r="G1362" t="n">
        <v>97000</v>
      </c>
      <c r="H1362" t="n">
        <v>96100</v>
      </c>
      <c r="I1362" t="n">
        <v>97000</v>
      </c>
      <c r="J1362" t="b">
        <v>0</v>
      </c>
      <c r="K1362" t="inlineStr">
        <is>
          <t>Unilever Indonesia Official Shop</t>
        </is>
      </c>
      <c r="L1362" t="inlineStr">
        <is>
          <t>KOTA BEKASI</t>
        </is>
      </c>
      <c r="M1362" t="n">
        <v>15448792107</v>
      </c>
      <c r="N1362" t="n">
        <v>14318452</v>
      </c>
      <c r="O1362">
        <f>HYPERLINK("https://shopee.co.id/api/v4/item/get?itemid=15448792107&amp;shopid=14318452", "Suave Kids 3 in 1 Shampoo Conditioner Body Wash - Watermelon Wonder 532ml")</f>
        <v/>
      </c>
      <c r="P1362" t="n">
        <v>129</v>
      </c>
      <c r="Q1362" t="n">
        <v>243</v>
      </c>
      <c r="R1362" t="n">
        <v>4.816176470588236</v>
      </c>
      <c r="S1362" t="n">
        <v>5</v>
      </c>
      <c r="T1362" t="n">
        <v>3</v>
      </c>
      <c r="U1362" t="n">
        <v>11</v>
      </c>
      <c r="V1362" t="n">
        <v>28</v>
      </c>
      <c r="W1362" t="n">
        <v>362</v>
      </c>
    </row>
    <row r="1363">
      <c r="A1363" t="inlineStr">
        <is>
          <t>Buy 2x Sunsilk Super Shampoo Hello Lembut 300ml Free Sunsilk Hair Mist 40ml</t>
        </is>
      </c>
      <c r="B1363" t="inlineStr">
        <is>
          <t>None</t>
        </is>
      </c>
      <c r="C1363" t="inlineStr">
        <is>
          <t>15%</t>
        </is>
      </c>
      <c r="D1363" t="n">
        <v>85300</v>
      </c>
      <c r="E1363" t="n">
        <v>99800</v>
      </c>
      <c r="F1363" t="n">
        <v>85300</v>
      </c>
      <c r="G1363" t="n">
        <v>99800</v>
      </c>
      <c r="H1363" t="n">
        <v>85300</v>
      </c>
      <c r="I1363" t="n">
        <v>99800</v>
      </c>
      <c r="J1363" t="b">
        <v>1</v>
      </c>
      <c r="K1363" t="inlineStr">
        <is>
          <t>Unilever Indonesia Official Shop</t>
        </is>
      </c>
      <c r="L1363" t="inlineStr">
        <is>
          <t>KOTA BEKASI</t>
        </is>
      </c>
      <c r="M1363" t="n">
        <v>11714921725</v>
      </c>
      <c r="N1363" t="n">
        <v>14318452</v>
      </c>
      <c r="O1363">
        <f>HYPERLINK("https://shopee.co.id/api/v4/item/get?itemid=11714921725&amp;shopid=14318452", "Buy 2x Sunsilk Super Shampoo Hello Lembut 300ml Free Sunsilk Hair Mist 40ml")</f>
        <v/>
      </c>
      <c r="P1363" t="n">
        <v>21</v>
      </c>
      <c r="Q1363" t="n">
        <v>14</v>
      </c>
      <c r="R1363" t="n">
        <v>4.835443037974684</v>
      </c>
      <c r="S1363" t="n">
        <v>0</v>
      </c>
      <c r="T1363" t="n">
        <v>1</v>
      </c>
      <c r="U1363" t="n">
        <v>3</v>
      </c>
      <c r="V1363" t="n">
        <v>4</v>
      </c>
      <c r="W1363" t="n">
        <v>71</v>
      </c>
    </row>
    <row r="1364">
      <c r="A1364" t="inlineStr">
        <is>
          <t>Paket Isoman - Jus Buavita, Royco Cream Soup, Kecap Bango, Sariwangi Teh Hitam Jahe Kunyit</t>
        </is>
      </c>
      <c r="B1364" t="inlineStr"/>
      <c r="C1364" t="inlineStr">
        <is>
          <t>19%</t>
        </is>
      </c>
      <c r="D1364" t="n">
        <v>35600</v>
      </c>
      <c r="E1364" t="n">
        <v>43800</v>
      </c>
      <c r="F1364" t="n">
        <v>35600</v>
      </c>
      <c r="G1364" t="n">
        <v>43800</v>
      </c>
      <c r="H1364" t="n">
        <v>35600</v>
      </c>
      <c r="I1364" t="n">
        <v>43800</v>
      </c>
      <c r="J1364" t="b">
        <v>1</v>
      </c>
      <c r="K1364" t="inlineStr">
        <is>
          <t>Unilever Indonesia Official Shop</t>
        </is>
      </c>
      <c r="L1364" t="inlineStr">
        <is>
          <t>KAB. BANYUASIN</t>
        </is>
      </c>
      <c r="M1364" t="n">
        <v>12605860644</v>
      </c>
      <c r="N1364" t="n">
        <v>14318452</v>
      </c>
      <c r="O1364">
        <f>HYPERLINK("https://shopee.co.id/api/v4/item/get?itemid=12605860644&amp;shopid=14318452", "Paket Isoman - Jus Buavita, Royco Cream Soup, Kecap Bango, Sariwangi Teh Hitam Jahe Kunyit")</f>
        <v/>
      </c>
      <c r="P1364" t="n">
        <v>3</v>
      </c>
      <c r="Q1364" t="n">
        <v>80</v>
      </c>
      <c r="R1364" t="n">
        <v>5</v>
      </c>
      <c r="S1364" t="n">
        <v>0</v>
      </c>
      <c r="T1364" t="n">
        <v>0</v>
      </c>
      <c r="U1364" t="n">
        <v>0</v>
      </c>
      <c r="V1364" t="n">
        <v>0</v>
      </c>
      <c r="W1364" t="n">
        <v>10</v>
      </c>
    </row>
    <row r="1365">
      <c r="A1365" t="inlineStr">
        <is>
          <t>Cif Multipurpose Disinfectant Spray Ocean Breeze 400ml</t>
        </is>
      </c>
      <c r="B1365" t="inlineStr"/>
      <c r="C1365" t="inlineStr">
        <is>
          <t>17%</t>
        </is>
      </c>
      <c r="D1365" t="n">
        <v>62900</v>
      </c>
      <c r="E1365" t="n">
        <v>75900</v>
      </c>
      <c r="F1365" t="n">
        <v>62900</v>
      </c>
      <c r="G1365" t="n">
        <v>75900</v>
      </c>
      <c r="H1365" t="n">
        <v>62900</v>
      </c>
      <c r="I1365" t="n">
        <v>75900</v>
      </c>
      <c r="J1365" t="b">
        <v>0</v>
      </c>
      <c r="K1365" t="inlineStr">
        <is>
          <t>Unilever Indonesia Official Shop</t>
        </is>
      </c>
      <c r="L1365" t="inlineStr">
        <is>
          <t>KOTA BEKASI</t>
        </is>
      </c>
      <c r="M1365" t="n">
        <v>14041785884</v>
      </c>
      <c r="N1365" t="n">
        <v>14318452</v>
      </c>
      <c r="O1365">
        <f>HYPERLINK("https://shopee.co.id/api/v4/item/get?itemid=14041785884&amp;shopid=14318452", "Cif Multipurpose Disinfectant Spray Ocean Breeze 400ml")</f>
        <v/>
      </c>
      <c r="P1365" t="n">
        <v>0</v>
      </c>
      <c r="Q1365" t="n">
        <v>6</v>
      </c>
      <c r="R1365" t="n">
        <v>4.666666666666667</v>
      </c>
      <c r="S1365" t="n">
        <v>0</v>
      </c>
      <c r="T1365" t="n">
        <v>0</v>
      </c>
      <c r="U1365" t="n">
        <v>0</v>
      </c>
      <c r="V1365" t="n">
        <v>1</v>
      </c>
      <c r="W1365" t="n">
        <v>2</v>
      </c>
    </row>
    <row r="1366">
      <c r="A1366" t="inlineStr">
        <is>
          <t>Cif Multipurpose Disinfectant Spray Wild Flowers 200ml</t>
        </is>
      </c>
      <c r="B1366" t="inlineStr"/>
      <c r="C1366" t="inlineStr">
        <is>
          <t>21%</t>
        </is>
      </c>
      <c r="D1366" t="n">
        <v>41900</v>
      </c>
      <c r="E1366" t="n">
        <v>52900</v>
      </c>
      <c r="F1366" t="n">
        <v>41900</v>
      </c>
      <c r="G1366" t="n">
        <v>52900</v>
      </c>
      <c r="H1366" t="n">
        <v>41900</v>
      </c>
      <c r="I1366" t="n">
        <v>52900</v>
      </c>
      <c r="J1366" t="b">
        <v>0</v>
      </c>
      <c r="K1366" t="inlineStr">
        <is>
          <t>Unilever Indonesia Official Shop</t>
        </is>
      </c>
      <c r="L1366" t="inlineStr">
        <is>
          <t>KOTA BEKASI</t>
        </is>
      </c>
      <c r="M1366" t="n">
        <v>13771754498</v>
      </c>
      <c r="N1366" t="n">
        <v>14318452</v>
      </c>
      <c r="O1366">
        <f>HYPERLINK("https://shopee.co.id/api/v4/item/get?itemid=13771754498&amp;shopid=14318452", "Cif Multipurpose Disinfectant Spray Wild Flowers 200ml")</f>
        <v/>
      </c>
      <c r="P1366" t="n">
        <v>0</v>
      </c>
      <c r="Q1366" t="n">
        <v>23</v>
      </c>
      <c r="R1366" t="n">
        <v>4.333333333333333</v>
      </c>
      <c r="S1366" t="n">
        <v>0</v>
      </c>
      <c r="T1366" t="n">
        <v>0</v>
      </c>
      <c r="U1366" t="n">
        <v>1</v>
      </c>
      <c r="V1366" t="n">
        <v>0</v>
      </c>
      <c r="W1366" t="n">
        <v>2</v>
      </c>
    </row>
    <row r="1367">
      <c r="A1367" t="inlineStr">
        <is>
          <t>SUNLIGHT SABUN CUCI PIRING KOREAN STRAWBERRY 560ML</t>
        </is>
      </c>
      <c r="B1367" t="inlineStr"/>
      <c r="C1367" t="inlineStr">
        <is>
          <t>21%</t>
        </is>
      </c>
      <c r="D1367" t="n">
        <v>10600</v>
      </c>
      <c r="E1367" t="n">
        <v>13500</v>
      </c>
      <c r="F1367" t="n">
        <v>10600</v>
      </c>
      <c r="G1367" t="n">
        <v>13500</v>
      </c>
      <c r="H1367" t="n">
        <v>10600</v>
      </c>
      <c r="I1367" t="n">
        <v>13500</v>
      </c>
      <c r="J1367" t="b">
        <v>0</v>
      </c>
      <c r="K1367" t="inlineStr">
        <is>
          <t>Unilever Indonesia Official Shop</t>
        </is>
      </c>
      <c r="L1367" t="inlineStr">
        <is>
          <t>KOTA BEKASI</t>
        </is>
      </c>
      <c r="M1367" t="n">
        <v>17031007074</v>
      </c>
      <c r="N1367" t="n">
        <v>14318452</v>
      </c>
      <c r="O1367">
        <f>HYPERLINK("https://shopee.co.id/api/v4/item/get?itemid=17031007074&amp;shopid=14318452", "SUNLIGHT SABUN CUCI PIRING KOREAN STRAWBERRY 560ML")</f>
        <v/>
      </c>
      <c r="P1367" t="n">
        <v>13456</v>
      </c>
      <c r="Q1367" t="n">
        <v>6771</v>
      </c>
      <c r="R1367" t="n">
        <v>4.907849829351536</v>
      </c>
      <c r="S1367" t="n">
        <v>36</v>
      </c>
      <c r="T1367" t="n">
        <v>17</v>
      </c>
      <c r="U1367" t="n">
        <v>52</v>
      </c>
      <c r="V1367" t="n">
        <v>457</v>
      </c>
      <c r="W1367" t="n">
        <v>7642</v>
      </c>
    </row>
    <row r="1368">
      <c r="A1368" t="inlineStr">
        <is>
          <t>Sunlight Sabun Cuci Piring Jeruk Nipis Refill 910ML</t>
        </is>
      </c>
      <c r="B1368" t="inlineStr"/>
      <c r="C1368" t="inlineStr">
        <is>
          <t>15%</t>
        </is>
      </c>
      <c r="D1368" t="n">
        <v>17900</v>
      </c>
      <c r="E1368" t="n">
        <v>21000</v>
      </c>
      <c r="F1368" t="n">
        <v>17900</v>
      </c>
      <c r="G1368" t="n">
        <v>21000</v>
      </c>
      <c r="H1368" t="n">
        <v>17900</v>
      </c>
      <c r="I1368" t="n">
        <v>21000</v>
      </c>
      <c r="J1368" t="b">
        <v>0</v>
      </c>
      <c r="K1368" t="inlineStr">
        <is>
          <t>Unilever Indonesia Official Shop</t>
        </is>
      </c>
      <c r="L1368" t="inlineStr">
        <is>
          <t>KOTA BEKASI</t>
        </is>
      </c>
      <c r="M1368" t="n">
        <v>21940923848</v>
      </c>
      <c r="N1368" t="n">
        <v>14318452</v>
      </c>
      <c r="O1368">
        <f>HYPERLINK("https://shopee.co.id/api/v4/item/get?itemid=21940923848&amp;shopid=14318452", "Sunlight Sabun Cuci Piring Jeruk Nipis Refill 910ML")</f>
        <v/>
      </c>
      <c r="P1368" t="n">
        <v>12108</v>
      </c>
      <c r="Q1368" t="n">
        <v>11800</v>
      </c>
      <c r="R1368" t="n">
        <v>4.898052522868102</v>
      </c>
      <c r="S1368" t="n">
        <v>39</v>
      </c>
      <c r="T1368" t="n">
        <v>18</v>
      </c>
      <c r="U1368" t="n">
        <v>50</v>
      </c>
      <c r="V1368" t="n">
        <v>381</v>
      </c>
      <c r="W1368" t="n">
        <v>6290</v>
      </c>
    </row>
    <row r="1369">
      <c r="A1369" t="inlineStr">
        <is>
          <t>Vaseline Healthy Bright​ Gluta Hyaluron Niacinamide Serum UV Lotion Flawless Bright 330Ml</t>
        </is>
      </c>
      <c r="B1369" t="inlineStr"/>
      <c r="C1369" t="inlineStr">
        <is>
          <t>13%</t>
        </is>
      </c>
      <c r="D1369" t="n">
        <v>72000</v>
      </c>
      <c r="E1369" t="n">
        <v>82300</v>
      </c>
      <c r="F1369" t="n">
        <v>72000</v>
      </c>
      <c r="G1369" t="n">
        <v>82300</v>
      </c>
      <c r="H1369" t="n">
        <v>72000</v>
      </c>
      <c r="I1369" t="n">
        <v>82300</v>
      </c>
      <c r="J1369" t="b">
        <v>0</v>
      </c>
      <c r="K1369" t="inlineStr">
        <is>
          <t>Unilever Indonesia Official Shop</t>
        </is>
      </c>
      <c r="L1369" t="inlineStr">
        <is>
          <t>KOTA BEKASI</t>
        </is>
      </c>
      <c r="M1369" t="n">
        <v>15865049027</v>
      </c>
      <c r="N1369" t="n">
        <v>14318452</v>
      </c>
      <c r="O1369">
        <f>HYPERLINK("https://shopee.co.id/api/v4/item/get?itemid=15865049027&amp;shopid=14318452", "Vaseline Healthy Bright​ Gluta Hyaluron Niacinamide Serum UV Lotion Flawless Bright 330Ml")</f>
        <v/>
      </c>
      <c r="P1369" t="n">
        <v>10131</v>
      </c>
      <c r="Q1369" t="n">
        <v>15705</v>
      </c>
      <c r="R1369" t="n">
        <v>4.903185486750947</v>
      </c>
      <c r="S1369" t="n">
        <v>98</v>
      </c>
      <c r="T1369" t="n">
        <v>59</v>
      </c>
      <c r="U1369" t="n">
        <v>222</v>
      </c>
      <c r="V1369" t="n">
        <v>1708</v>
      </c>
      <c r="W1369" t="n">
        <v>25918</v>
      </c>
    </row>
    <row r="1370">
      <c r="A1370" t="inlineStr">
        <is>
          <t>[GIFT] Mawar Jaya Gula Pasir Lokal 1kg</t>
        </is>
      </c>
      <c r="B1370" t="inlineStr"/>
      <c r="C1370" t="inlineStr">
        <is>
          <t>1%</t>
        </is>
      </c>
      <c r="D1370" t="n">
        <v>990000</v>
      </c>
      <c r="E1370" t="n">
        <v>1000000</v>
      </c>
      <c r="F1370" t="n">
        <v>990000</v>
      </c>
      <c r="G1370" t="n">
        <v>1000000</v>
      </c>
      <c r="H1370" t="n">
        <v>990000</v>
      </c>
      <c r="I1370" t="n">
        <v>1000000</v>
      </c>
      <c r="J1370" t="b">
        <v>0</v>
      </c>
      <c r="K1370" t="inlineStr">
        <is>
          <t>Unilever Indonesia Official Shop</t>
        </is>
      </c>
      <c r="L1370" t="inlineStr">
        <is>
          <t>KOTA BEKASI</t>
        </is>
      </c>
      <c r="M1370" t="n">
        <v>18918046450</v>
      </c>
      <c r="N1370" t="n">
        <v>14318452</v>
      </c>
      <c r="O1370">
        <f>HYPERLINK("https://shopee.co.id/api/v4/item/get?itemid=18918046450&amp;shopid=14318452", "[GIFT] Mawar Jaya Gula Pasir Lokal 1kg")</f>
        <v/>
      </c>
      <c r="P1370" t="n">
        <v>9350</v>
      </c>
      <c r="Q1370" t="n">
        <v>385</v>
      </c>
      <c r="R1370" t="n">
        <v>4.883134130146082</v>
      </c>
      <c r="S1370" t="n">
        <v>46</v>
      </c>
      <c r="T1370" t="n">
        <v>19</v>
      </c>
      <c r="U1370" t="n">
        <v>55</v>
      </c>
      <c r="V1370" t="n">
        <v>265</v>
      </c>
      <c r="W1370" t="n">
        <v>4886</v>
      </c>
    </row>
    <row r="1371">
      <c r="A1371" t="inlineStr">
        <is>
          <t>Vaseline Healthy Bright​ Gluta Hyaluron &amp; Peptide Serum Lotion Overnight 200ml</t>
        </is>
      </c>
      <c r="B1371" t="inlineStr"/>
      <c r="C1371" t="inlineStr">
        <is>
          <t>19%</t>
        </is>
      </c>
      <c r="D1371" t="n">
        <v>52200</v>
      </c>
      <c r="E1371" t="n">
        <v>64500</v>
      </c>
      <c r="F1371" t="n">
        <v>52200</v>
      </c>
      <c r="G1371" t="n">
        <v>64500</v>
      </c>
      <c r="H1371" t="n">
        <v>52200</v>
      </c>
      <c r="I1371" t="n">
        <v>64500</v>
      </c>
      <c r="J1371" t="b">
        <v>0</v>
      </c>
      <c r="K1371" t="inlineStr">
        <is>
          <t>Unilever Indonesia Official Shop</t>
        </is>
      </c>
      <c r="L1371" t="inlineStr">
        <is>
          <t>KOTA BEKASI</t>
        </is>
      </c>
      <c r="M1371" t="n">
        <v>18248392255</v>
      </c>
      <c r="N1371" t="n">
        <v>14318452</v>
      </c>
      <c r="O1371">
        <f>HYPERLINK("https://shopee.co.id/api/v4/item/get?itemid=18248392255&amp;shopid=14318452", "Vaseline Healthy Bright​ Gluta Hyaluron &amp; Peptide Serum Lotion Overnight 200ml")</f>
        <v/>
      </c>
      <c r="P1371" t="n">
        <v>7409</v>
      </c>
      <c r="Q1371" t="n">
        <v>10819</v>
      </c>
      <c r="R1371" t="n">
        <v>4.888433575677462</v>
      </c>
      <c r="S1371" t="n">
        <v>32</v>
      </c>
      <c r="T1371" t="n">
        <v>25</v>
      </c>
      <c r="U1371" t="n">
        <v>70</v>
      </c>
      <c r="V1371" t="n">
        <v>501</v>
      </c>
      <c r="W1371" t="n">
        <v>6938</v>
      </c>
    </row>
    <row r="1372">
      <c r="A1372" t="inlineStr">
        <is>
          <t>Vaseline Healthy Bright​ Gluta Hyaluron &amp; Peptide Serum Lotion Overnight 330ml</t>
        </is>
      </c>
      <c r="B1372" t="inlineStr"/>
      <c r="C1372" t="inlineStr">
        <is>
          <t>23%</t>
        </is>
      </c>
      <c r="D1372" t="n">
        <v>64400</v>
      </c>
      <c r="E1372" t="n">
        <v>83900</v>
      </c>
      <c r="F1372" t="n">
        <v>64400</v>
      </c>
      <c r="G1372" t="n">
        <v>83900</v>
      </c>
      <c r="H1372" t="n">
        <v>64400</v>
      </c>
      <c r="I1372" t="n">
        <v>83900</v>
      </c>
      <c r="J1372" t="b">
        <v>0</v>
      </c>
      <c r="K1372" t="inlineStr">
        <is>
          <t>Unilever Indonesia Official Shop</t>
        </is>
      </c>
      <c r="L1372" t="inlineStr">
        <is>
          <t>KOTA BEKASI</t>
        </is>
      </c>
      <c r="M1372" t="n">
        <v>18948390956</v>
      </c>
      <c r="N1372" t="n">
        <v>14318452</v>
      </c>
      <c r="O1372">
        <f>HYPERLINK("https://shopee.co.id/api/v4/item/get?itemid=18948390956&amp;shopid=14318452", "Vaseline Healthy Bright​ Gluta Hyaluron &amp; Peptide Serum Lotion Overnight 330ml")</f>
        <v/>
      </c>
      <c r="P1372" t="n">
        <v>7053</v>
      </c>
      <c r="Q1372" t="n">
        <v>6763</v>
      </c>
      <c r="R1372" t="n">
        <v>4.860328806290207</v>
      </c>
      <c r="S1372" t="n">
        <v>64</v>
      </c>
      <c r="T1372" t="n">
        <v>34</v>
      </c>
      <c r="U1372" t="n">
        <v>91</v>
      </c>
      <c r="V1372" t="n">
        <v>437</v>
      </c>
      <c r="W1372" t="n">
        <v>6369</v>
      </c>
    </row>
    <row r="1373">
      <c r="A1373" t="inlineStr">
        <is>
          <t>Vaseline Healthy Bright​ Gluta Hyaluron Niacinamide Serum Lotion Dewy Radiance 330Ml</t>
        </is>
      </c>
      <c r="B1373" t="inlineStr"/>
      <c r="C1373" t="inlineStr">
        <is>
          <t>13%</t>
        </is>
      </c>
      <c r="D1373" t="n">
        <v>72000</v>
      </c>
      <c r="E1373" t="n">
        <v>82300</v>
      </c>
      <c r="F1373" t="n">
        <v>72000</v>
      </c>
      <c r="G1373" t="n">
        <v>82300</v>
      </c>
      <c r="H1373" t="n">
        <v>72000</v>
      </c>
      <c r="I1373" t="n">
        <v>82300</v>
      </c>
      <c r="J1373" t="b">
        <v>0</v>
      </c>
      <c r="K1373" t="inlineStr">
        <is>
          <t>Unilever Indonesia Official Shop</t>
        </is>
      </c>
      <c r="L1373" t="inlineStr">
        <is>
          <t>KOTA BEKASI</t>
        </is>
      </c>
      <c r="M1373" t="n">
        <v>17128407390</v>
      </c>
      <c r="N1373" t="n">
        <v>14318452</v>
      </c>
      <c r="O1373">
        <f>HYPERLINK("https://shopee.co.id/api/v4/item/get?itemid=17128407390&amp;shopid=14318452", "Vaseline Healthy Bright​ Gluta Hyaluron Niacinamide Serum Lotion Dewy Radiance 330Ml")</f>
        <v/>
      </c>
      <c r="P1373" t="n">
        <v>5097</v>
      </c>
      <c r="Q1373" t="n">
        <v>8357</v>
      </c>
      <c r="R1373" t="n">
        <v>4.905171575775251</v>
      </c>
      <c r="S1373" t="n">
        <v>78</v>
      </c>
      <c r="T1373" t="n">
        <v>42</v>
      </c>
      <c r="U1373" t="n">
        <v>181</v>
      </c>
      <c r="V1373" t="n">
        <v>1186</v>
      </c>
      <c r="W1373" t="n">
        <v>19102</v>
      </c>
    </row>
    <row r="1374">
      <c r="A1374" t="inlineStr">
        <is>
          <t xml:space="preserve">Twin Pack Rinso Cair Korean Strawberry 565ml </t>
        </is>
      </c>
      <c r="B1374" t="inlineStr"/>
      <c r="C1374" t="inlineStr">
        <is>
          <t>22%</t>
        </is>
      </c>
      <c r="D1374" t="n">
        <v>23200</v>
      </c>
      <c r="E1374" t="n">
        <v>29800</v>
      </c>
      <c r="F1374" t="n">
        <v>23200</v>
      </c>
      <c r="G1374" t="n">
        <v>29800</v>
      </c>
      <c r="H1374" t="n">
        <v>23200</v>
      </c>
      <c r="I1374" t="n">
        <v>29800</v>
      </c>
      <c r="J1374" t="b">
        <v>0</v>
      </c>
      <c r="K1374" t="inlineStr">
        <is>
          <t>Unilever Indonesia Official Shop</t>
        </is>
      </c>
      <c r="L1374" t="inlineStr">
        <is>
          <t>KOTA BEKASI</t>
        </is>
      </c>
      <c r="M1374" t="n">
        <v>17047208316</v>
      </c>
      <c r="N1374" t="n">
        <v>14318452</v>
      </c>
      <c r="O1374">
        <f>HYPERLINK("https://shopee.co.id/api/v4/item/get?itemid=17047208316&amp;shopid=14318452", "Twin Pack Rinso Cair Korean Strawberry 565ml ")</f>
        <v/>
      </c>
      <c r="P1374" t="n">
        <v>4897</v>
      </c>
      <c r="Q1374" t="n">
        <v>6642</v>
      </c>
      <c r="R1374" t="n">
        <v>4.922392026578073</v>
      </c>
      <c r="S1374" t="n">
        <v>32</v>
      </c>
      <c r="T1374" t="n">
        <v>11</v>
      </c>
      <c r="U1374" t="n">
        <v>48</v>
      </c>
      <c r="V1374" t="n">
        <v>335</v>
      </c>
      <c r="W1374" t="n">
        <v>7107</v>
      </c>
    </row>
    <row r="1375">
      <c r="A1375" t="inlineStr">
        <is>
          <t>Pepsodent Tooth Brush Gentle Care Soft</t>
        </is>
      </c>
      <c r="B1375" t="inlineStr"/>
      <c r="C1375" t="inlineStr">
        <is>
          <t>23%</t>
        </is>
      </c>
      <c r="D1375" t="n">
        <v>7800</v>
      </c>
      <c r="E1375" t="n">
        <v>10100</v>
      </c>
      <c r="F1375" t="n">
        <v>7800</v>
      </c>
      <c r="G1375" t="n">
        <v>10100</v>
      </c>
      <c r="H1375" t="n">
        <v>7800</v>
      </c>
      <c r="I1375" t="n">
        <v>10100</v>
      </c>
      <c r="J1375" t="b">
        <v>0</v>
      </c>
      <c r="K1375" t="inlineStr">
        <is>
          <t>Unilever Indonesia Official Shop</t>
        </is>
      </c>
      <c r="L1375" t="inlineStr">
        <is>
          <t>KOTA BEKASI</t>
        </is>
      </c>
      <c r="M1375" t="n">
        <v>16137341095</v>
      </c>
      <c r="N1375" t="n">
        <v>14318452</v>
      </c>
      <c r="O1375">
        <f>HYPERLINK("https://shopee.co.id/api/v4/item/get?itemid=16137341095&amp;shopid=14318452", "Pepsodent Tooth Brush Gentle Care Soft")</f>
        <v/>
      </c>
      <c r="P1375" t="n">
        <v>4219</v>
      </c>
      <c r="Q1375" t="n">
        <v>2146</v>
      </c>
      <c r="R1375" t="n">
        <v>4.896617190196755</v>
      </c>
      <c r="S1375" t="n">
        <v>28</v>
      </c>
      <c r="T1375" t="n">
        <v>10</v>
      </c>
      <c r="U1375" t="n">
        <v>43</v>
      </c>
      <c r="V1375" t="n">
        <v>375</v>
      </c>
      <c r="W1375" t="n">
        <v>5339</v>
      </c>
    </row>
    <row r="1376">
      <c r="A1376" t="inlineStr">
        <is>
          <t>RINSO MOLTO KOREAN STRAWBERRY LIQUID 565ML</t>
        </is>
      </c>
      <c r="B1376" t="inlineStr"/>
      <c r="C1376" t="inlineStr">
        <is>
          <t>17%</t>
        </is>
      </c>
      <c r="D1376" t="n">
        <v>12400</v>
      </c>
      <c r="E1376" t="n">
        <v>14900</v>
      </c>
      <c r="F1376" t="n">
        <v>12400</v>
      </c>
      <c r="G1376" t="n">
        <v>14900</v>
      </c>
      <c r="H1376" t="n">
        <v>12400</v>
      </c>
      <c r="I1376" t="n">
        <v>14900</v>
      </c>
      <c r="J1376" t="b">
        <v>0</v>
      </c>
      <c r="K1376" t="inlineStr">
        <is>
          <t>Unilever Indonesia Official Shop</t>
        </is>
      </c>
      <c r="L1376" t="inlineStr">
        <is>
          <t>KOTA BEKASI</t>
        </is>
      </c>
      <c r="M1376" t="n">
        <v>14366313617</v>
      </c>
      <c r="N1376" t="n">
        <v>14318452</v>
      </c>
      <c r="O1376">
        <f>HYPERLINK("https://shopee.co.id/api/v4/item/get?itemid=14366313617&amp;shopid=14318452", "RINSO MOLTO KOREAN STRAWBERRY LIQUID 565ML")</f>
        <v/>
      </c>
      <c r="P1376" t="n">
        <v>3762</v>
      </c>
      <c r="Q1376" t="n">
        <v>13289</v>
      </c>
      <c r="R1376" t="n">
        <v>4.91717890650275</v>
      </c>
      <c r="S1376" t="n">
        <v>22</v>
      </c>
      <c r="T1376" t="n">
        <v>6</v>
      </c>
      <c r="U1376" t="n">
        <v>39</v>
      </c>
      <c r="V1376" t="n">
        <v>328</v>
      </c>
      <c r="W1376" t="n">
        <v>5789</v>
      </c>
    </row>
    <row r="1377">
      <c r="A1377" t="inlineStr">
        <is>
          <t>Buy Vaseline Gluta Hya 330ml Multi Pack</t>
        </is>
      </c>
      <c r="B1377" t="inlineStr"/>
      <c r="C1377" t="inlineStr">
        <is>
          <t>34%</t>
        </is>
      </c>
      <c r="D1377" t="n">
        <v>166600</v>
      </c>
      <c r="E1377" t="n">
        <v>253350</v>
      </c>
      <c r="F1377" t="n">
        <v>166600</v>
      </c>
      <c r="G1377" t="n">
        <v>253350</v>
      </c>
      <c r="H1377" t="n">
        <v>166600</v>
      </c>
      <c r="I1377" t="n">
        <v>253350</v>
      </c>
      <c r="J1377" t="b">
        <v>0</v>
      </c>
      <c r="K1377" t="inlineStr">
        <is>
          <t>Unilever Indonesia Official Shop</t>
        </is>
      </c>
      <c r="L1377" t="inlineStr">
        <is>
          <t>KOTA BEKASI</t>
        </is>
      </c>
      <c r="M1377" t="n">
        <v>20657717247</v>
      </c>
      <c r="N1377" t="n">
        <v>14318452</v>
      </c>
      <c r="O1377">
        <f>HYPERLINK("https://shopee.co.id/api/v4/item/get?itemid=20657717247&amp;shopid=14318452", "Buy Vaseline Gluta Hya 330ml Multi Pack")</f>
        <v/>
      </c>
      <c r="P1377" t="n">
        <v>3694</v>
      </c>
      <c r="Q1377" t="n">
        <v>5912</v>
      </c>
      <c r="R1377" t="n">
        <v>4.877215737137917</v>
      </c>
      <c r="S1377" t="n">
        <v>28</v>
      </c>
      <c r="T1377" t="n">
        <v>5</v>
      </c>
      <c r="U1377" t="n">
        <v>16</v>
      </c>
      <c r="V1377" t="n">
        <v>125</v>
      </c>
      <c r="W1377" t="n">
        <v>2139</v>
      </c>
    </row>
    <row r="1378">
      <c r="A1378" t="inlineStr">
        <is>
          <t>Sunlight Sabun Cuci Piring Jeruk Nipis Refill 650ML</t>
        </is>
      </c>
      <c r="B1378" t="inlineStr"/>
      <c r="C1378" t="inlineStr">
        <is>
          <t>14%</t>
        </is>
      </c>
      <c r="D1378" t="n">
        <v>12900</v>
      </c>
      <c r="E1378" t="n">
        <v>15000</v>
      </c>
      <c r="F1378" t="n">
        <v>12900</v>
      </c>
      <c r="G1378" t="n">
        <v>15000</v>
      </c>
      <c r="H1378" t="n">
        <v>12900</v>
      </c>
      <c r="I1378" t="n">
        <v>15000</v>
      </c>
      <c r="J1378" t="b">
        <v>0</v>
      </c>
      <c r="K1378" t="inlineStr">
        <is>
          <t>Unilever Indonesia Official Shop</t>
        </is>
      </c>
      <c r="L1378" t="inlineStr">
        <is>
          <t>KOTA BEKASI</t>
        </is>
      </c>
      <c r="M1378" t="n">
        <v>18140924709</v>
      </c>
      <c r="N1378" t="n">
        <v>14318452</v>
      </c>
      <c r="O1378">
        <f>HYPERLINK("https://shopee.co.id/api/v4/item/get?itemid=18140924709&amp;shopid=14318452", "Sunlight Sabun Cuci Piring Jeruk Nipis Refill 650ML")</f>
        <v/>
      </c>
      <c r="P1378" t="n">
        <v>3499</v>
      </c>
      <c r="Q1378" t="n">
        <v>4558</v>
      </c>
      <c r="R1378" t="n">
        <v>4.898576512455516</v>
      </c>
      <c r="S1378" t="n">
        <v>15</v>
      </c>
      <c r="T1378" t="n">
        <v>2</v>
      </c>
      <c r="U1378" t="n">
        <v>19</v>
      </c>
      <c r="V1378" t="n">
        <v>124</v>
      </c>
      <c r="W1378" t="n">
        <v>2088</v>
      </c>
    </row>
    <row r="1379">
      <c r="A1379" t="inlineStr">
        <is>
          <t>Rinso Matic Professional Deterjen Laundry Kiloan Cair 4.5 L Jerigen</t>
        </is>
      </c>
      <c r="B1379" t="inlineStr"/>
      <c r="C1379" t="inlineStr">
        <is>
          <t>9%</t>
        </is>
      </c>
      <c r="D1379" t="n">
        <v>66100</v>
      </c>
      <c r="E1379" t="n">
        <v>72500</v>
      </c>
      <c r="F1379" t="n">
        <v>66100</v>
      </c>
      <c r="G1379" t="n">
        <v>72500</v>
      </c>
      <c r="H1379" t="n">
        <v>66100</v>
      </c>
      <c r="I1379" t="n">
        <v>72500</v>
      </c>
      <c r="J1379" t="b">
        <v>0</v>
      </c>
      <c r="K1379" t="inlineStr">
        <is>
          <t>Unilever Indonesia Official Shop</t>
        </is>
      </c>
      <c r="L1379" t="inlineStr">
        <is>
          <t>KOTA BEKASI</t>
        </is>
      </c>
      <c r="M1379" t="n">
        <v>12591678774</v>
      </c>
      <c r="N1379" t="n">
        <v>14318452</v>
      </c>
      <c r="O1379">
        <f>HYPERLINK("https://shopee.co.id/api/v4/item/get?itemid=12591678774&amp;shopid=14318452", "Rinso Matic Professional Deterjen Laundry Kiloan Cair 4.5 L Jerigen")</f>
        <v/>
      </c>
      <c r="P1379" t="n">
        <v>3415</v>
      </c>
      <c r="Q1379" t="n">
        <v>2264</v>
      </c>
      <c r="R1379" t="n">
        <v>4.893984108967083</v>
      </c>
      <c r="S1379" t="n">
        <v>24</v>
      </c>
      <c r="T1379" t="n">
        <v>14</v>
      </c>
      <c r="U1379" t="n">
        <v>44</v>
      </c>
      <c r="V1379" t="n">
        <v>245</v>
      </c>
      <c r="W1379" t="n">
        <v>4079</v>
      </c>
    </row>
    <row r="1380">
      <c r="A1380" t="inlineStr">
        <is>
          <t>Lifebuoy Sabun Mandi Antiseptik Total 10 Dengan Activ Silver+ Formula 825ml x 2</t>
        </is>
      </c>
      <c r="B1380" t="inlineStr"/>
      <c r="C1380" t="inlineStr">
        <is>
          <t>1%</t>
        </is>
      </c>
      <c r="D1380" t="n">
        <v>81500</v>
      </c>
      <c r="E1380" t="n">
        <v>82300</v>
      </c>
      <c r="F1380" t="n">
        <v>81500</v>
      </c>
      <c r="G1380" t="n">
        <v>82300</v>
      </c>
      <c r="H1380" t="n">
        <v>81500</v>
      </c>
      <c r="I1380" t="n">
        <v>82300</v>
      </c>
      <c r="J1380" t="b">
        <v>0</v>
      </c>
      <c r="K1380" t="inlineStr">
        <is>
          <t>Unilever Indonesia Official Shop</t>
        </is>
      </c>
      <c r="L1380" t="inlineStr">
        <is>
          <t>KOTA BEKASI</t>
        </is>
      </c>
      <c r="M1380" t="n">
        <v>20343267284</v>
      </c>
      <c r="N1380" t="n">
        <v>14318452</v>
      </c>
      <c r="O1380">
        <f>HYPERLINK("https://shopee.co.id/api/v4/item/get?itemid=20343267284&amp;shopid=14318452", "Lifebuoy Sabun Mandi Antiseptik Total 10 Dengan Activ Silver+ Formula 825ml x 2")</f>
        <v/>
      </c>
      <c r="P1380" t="n">
        <v>3158</v>
      </c>
      <c r="Q1380" t="n">
        <v>1232</v>
      </c>
      <c r="R1380" t="n">
        <v>4.932773109243698</v>
      </c>
      <c r="S1380" t="n">
        <v>4</v>
      </c>
      <c r="T1380" t="n">
        <v>1</v>
      </c>
      <c r="U1380" t="n">
        <v>11</v>
      </c>
      <c r="V1380" t="n">
        <v>55</v>
      </c>
      <c r="W1380" t="n">
        <v>1357</v>
      </c>
    </row>
    <row r="1381">
      <c r="A1381" t="inlineStr">
        <is>
          <t>[GIFT] TWINPACK SAHAJA SABUN CUCI PIRING JERUK NIPIS POUCH 125ML</t>
        </is>
      </c>
      <c r="B1381" t="inlineStr"/>
      <c r="C1381" t="inlineStr"/>
      <c r="D1381" t="n">
        <v>1000000</v>
      </c>
      <c r="E1381" t="n">
        <v>0</v>
      </c>
      <c r="F1381" t="n">
        <v>1000000</v>
      </c>
      <c r="G1381" t="n">
        <v>-1e-05</v>
      </c>
      <c r="H1381" t="n">
        <v>1000000</v>
      </c>
      <c r="I1381" t="n">
        <v>-1e-05</v>
      </c>
      <c r="J1381" t="b">
        <v>0</v>
      </c>
      <c r="K1381" t="inlineStr">
        <is>
          <t>Unilever Indonesia Official Shop</t>
        </is>
      </c>
      <c r="L1381" t="inlineStr">
        <is>
          <t>KOTA BEKASI</t>
        </is>
      </c>
      <c r="M1381" t="n">
        <v>12294498310</v>
      </c>
      <c r="N1381" t="n">
        <v>14318452</v>
      </c>
      <c r="O1381">
        <f>HYPERLINK("https://shopee.co.id/api/v4/item/get?itemid=12294498310&amp;shopid=14318452", "[GIFT] TWINPACK SAHAJA SABUN CUCI PIRING JERUK NIPIS POUCH 125ML")</f>
        <v/>
      </c>
      <c r="P1381" t="n">
        <v>3143</v>
      </c>
      <c r="Q1381" t="n">
        <v>32</v>
      </c>
      <c r="R1381" t="n">
        <v>4.899315738025416</v>
      </c>
      <c r="S1381" t="n">
        <v>23</v>
      </c>
      <c r="T1381" t="n">
        <v>13</v>
      </c>
      <c r="U1381" t="n">
        <v>49</v>
      </c>
      <c r="V1381" t="n">
        <v>286</v>
      </c>
      <c r="W1381" t="n">
        <v>4745</v>
      </c>
    </row>
    <row r="1382">
      <c r="A1382" t="inlineStr">
        <is>
          <t>Lux Bright Bluebell Niacinamide Body Wash 900ml</t>
        </is>
      </c>
      <c r="B1382" t="inlineStr"/>
      <c r="C1382" t="inlineStr">
        <is>
          <t>18%</t>
        </is>
      </c>
      <c r="D1382" t="n">
        <v>40600</v>
      </c>
      <c r="E1382" t="n">
        <v>49500</v>
      </c>
      <c r="F1382" t="n">
        <v>40600</v>
      </c>
      <c r="G1382" t="n">
        <v>49500</v>
      </c>
      <c r="H1382" t="n">
        <v>40600</v>
      </c>
      <c r="I1382" t="n">
        <v>49500</v>
      </c>
      <c r="J1382" t="b">
        <v>0</v>
      </c>
      <c r="K1382" t="inlineStr">
        <is>
          <t>Unilever Indonesia Official Shop</t>
        </is>
      </c>
      <c r="L1382" t="inlineStr">
        <is>
          <t>KOTA BEKASI</t>
        </is>
      </c>
      <c r="M1382" t="n">
        <v>20132970281</v>
      </c>
      <c r="N1382" t="n">
        <v>14318452</v>
      </c>
      <c r="O1382">
        <f>HYPERLINK("https://shopee.co.id/api/v4/item/get?itemid=20132970281&amp;shopid=14318452", "Lux Bright Bluebell Niacinamide Body Wash 900ml")</f>
        <v/>
      </c>
      <c r="P1382" t="n">
        <v>2915</v>
      </c>
      <c r="Q1382" t="n">
        <v>7614</v>
      </c>
      <c r="R1382" t="n">
        <v>4.900346620450606</v>
      </c>
      <c r="S1382" t="n">
        <v>19</v>
      </c>
      <c r="T1382" t="n">
        <v>8</v>
      </c>
      <c r="U1382" t="n">
        <v>25</v>
      </c>
      <c r="V1382" t="n">
        <v>195</v>
      </c>
      <c r="W1382" t="n">
        <v>3215</v>
      </c>
    </row>
    <row r="1383">
      <c r="A1383" t="inlineStr">
        <is>
          <t>MOLTO PELEMBUT &amp; PEWANGI PAKAIAN KOREAN STRAWBERRY 680ML</t>
        </is>
      </c>
      <c r="B1383" t="inlineStr"/>
      <c r="C1383" t="inlineStr">
        <is>
          <t>19%</t>
        </is>
      </c>
      <c r="D1383" t="n">
        <v>20200</v>
      </c>
      <c r="E1383" t="n">
        <v>24900</v>
      </c>
      <c r="F1383" t="n">
        <v>20200</v>
      </c>
      <c r="G1383" t="n">
        <v>24900</v>
      </c>
      <c r="H1383" t="n">
        <v>20200</v>
      </c>
      <c r="I1383" t="n">
        <v>24900</v>
      </c>
      <c r="J1383" t="b">
        <v>0</v>
      </c>
      <c r="K1383" t="inlineStr">
        <is>
          <t>Unilever Indonesia Official Shop</t>
        </is>
      </c>
      <c r="L1383" t="inlineStr">
        <is>
          <t>KOTA BEKASI</t>
        </is>
      </c>
      <c r="M1383" t="n">
        <v>14966313262</v>
      </c>
      <c r="N1383" t="n">
        <v>14318452</v>
      </c>
      <c r="O1383">
        <f>HYPERLINK("https://shopee.co.id/api/v4/item/get?itemid=14966313262&amp;shopid=14318452", "MOLTO PELEMBUT &amp; PEWANGI PAKAIAN KOREAN STRAWBERRY 680ML")</f>
        <v/>
      </c>
      <c r="P1383" t="n">
        <v>2690</v>
      </c>
      <c r="Q1383" t="n">
        <v>6409</v>
      </c>
      <c r="R1383" t="n">
        <v>4.924210181699133</v>
      </c>
      <c r="S1383" t="n">
        <v>18</v>
      </c>
      <c r="T1383" t="n">
        <v>7</v>
      </c>
      <c r="U1383" t="n">
        <v>36</v>
      </c>
      <c r="V1383" t="n">
        <v>302</v>
      </c>
      <c r="W1383" t="n">
        <v>5747</v>
      </c>
    </row>
    <row r="1384">
      <c r="A1384" t="inlineStr">
        <is>
          <t>RINSO MOLTO KOREAN STRAWBERRY POWDER 700G</t>
        </is>
      </c>
      <c r="B1384" t="inlineStr"/>
      <c r="C1384" t="inlineStr">
        <is>
          <t>26%</t>
        </is>
      </c>
      <c r="D1384" t="n">
        <v>22500</v>
      </c>
      <c r="E1384" t="n">
        <v>30600</v>
      </c>
      <c r="F1384" t="n">
        <v>22500</v>
      </c>
      <c r="G1384" t="n">
        <v>30600</v>
      </c>
      <c r="H1384" t="n">
        <v>22500</v>
      </c>
      <c r="I1384" t="n">
        <v>30600</v>
      </c>
      <c r="J1384" t="b">
        <v>0</v>
      </c>
      <c r="K1384" t="inlineStr">
        <is>
          <t>Unilever Indonesia Official Shop</t>
        </is>
      </c>
      <c r="L1384" t="inlineStr">
        <is>
          <t>KOTA BEKASI</t>
        </is>
      </c>
      <c r="M1384" t="n">
        <v>13483629466</v>
      </c>
      <c r="N1384" t="n">
        <v>14318452</v>
      </c>
      <c r="O1384">
        <f>HYPERLINK("https://shopee.co.id/api/v4/item/get?itemid=13483629466&amp;shopid=14318452", "RINSO MOLTO KOREAN STRAWBERRY POWDER 700G")</f>
        <v/>
      </c>
      <c r="P1384" t="n">
        <v>2661</v>
      </c>
      <c r="Q1384" t="n">
        <v>2865</v>
      </c>
      <c r="R1384" t="n">
        <v>4.919651199003425</v>
      </c>
      <c r="S1384" t="n">
        <v>20</v>
      </c>
      <c r="T1384" t="n">
        <v>15</v>
      </c>
      <c r="U1384" t="n">
        <v>53</v>
      </c>
      <c r="V1384" t="n">
        <v>285</v>
      </c>
      <c r="W1384" t="n">
        <v>6050</v>
      </c>
    </row>
    <row r="1385">
      <c r="A1385" t="inlineStr">
        <is>
          <t>WIPOL KARBOL PEMBERSIH LANTAI PROBIOTIC CITRUS FRESH 450ML</t>
        </is>
      </c>
      <c r="B1385" t="inlineStr"/>
      <c r="C1385" t="inlineStr">
        <is>
          <t>13%</t>
        </is>
      </c>
      <c r="D1385" t="n">
        <v>8600</v>
      </c>
      <c r="E1385" t="n">
        <v>9900</v>
      </c>
      <c r="F1385" t="n">
        <v>8600</v>
      </c>
      <c r="G1385" t="n">
        <v>9900</v>
      </c>
      <c r="H1385" t="n">
        <v>8600</v>
      </c>
      <c r="I1385" t="n">
        <v>9900</v>
      </c>
      <c r="J1385" t="b">
        <v>0</v>
      </c>
      <c r="K1385" t="inlineStr">
        <is>
          <t>Unilever Indonesia Official Shop</t>
        </is>
      </c>
      <c r="L1385" t="inlineStr">
        <is>
          <t>KOTA BEKASI</t>
        </is>
      </c>
      <c r="M1385" t="n">
        <v>17728455218</v>
      </c>
      <c r="N1385" t="n">
        <v>14318452</v>
      </c>
      <c r="O1385">
        <f>HYPERLINK("https://shopee.co.id/api/v4/item/get?itemid=17728455218&amp;shopid=14318452", "WIPOL KARBOL PEMBERSIH LANTAI PROBIOTIC CITRUS FRESH 450ML")</f>
        <v/>
      </c>
      <c r="P1385" t="n">
        <v>2576</v>
      </c>
      <c r="Q1385" t="n">
        <v>3682</v>
      </c>
      <c r="R1385" t="n">
        <v>4.908773812718004</v>
      </c>
      <c r="S1385" t="n">
        <v>15</v>
      </c>
      <c r="T1385" t="n">
        <v>4</v>
      </c>
      <c r="U1385" t="n">
        <v>34</v>
      </c>
      <c r="V1385" t="n">
        <v>200</v>
      </c>
      <c r="W1385" t="n">
        <v>3474</v>
      </c>
    </row>
    <row r="1386">
      <c r="A1386" t="inlineStr">
        <is>
          <t>Bango Kecap Manis Hitam Gurih 40ML</t>
        </is>
      </c>
      <c r="B1386" t="inlineStr"/>
      <c r="C1386" t="inlineStr">
        <is>
          <t>5%</t>
        </is>
      </c>
      <c r="D1386" t="n">
        <v>1900</v>
      </c>
      <c r="E1386" t="n">
        <v>2000</v>
      </c>
      <c r="F1386" t="n">
        <v>1900</v>
      </c>
      <c r="G1386" t="n">
        <v>2000</v>
      </c>
      <c r="H1386" t="n">
        <v>1900</v>
      </c>
      <c r="I1386" t="n">
        <v>2000</v>
      </c>
      <c r="J1386" t="b">
        <v>0</v>
      </c>
      <c r="K1386" t="inlineStr">
        <is>
          <t>Unilever Indonesia Official Shop</t>
        </is>
      </c>
      <c r="L1386" t="inlineStr">
        <is>
          <t>KOTA BEKASI</t>
        </is>
      </c>
      <c r="M1386" t="n">
        <v>15428111088</v>
      </c>
      <c r="N1386" t="n">
        <v>14318452</v>
      </c>
      <c r="O1386">
        <f>HYPERLINK("https://shopee.co.id/api/v4/item/get?itemid=15428111088&amp;shopid=14318452", "Bango Kecap Manis Hitam Gurih 40ML")</f>
        <v/>
      </c>
      <c r="P1386" t="n">
        <v>2432</v>
      </c>
      <c r="Q1386" t="n">
        <v>2615</v>
      </c>
      <c r="R1386" t="n">
        <v>4.912558474271321</v>
      </c>
      <c r="S1386" t="n">
        <v>13</v>
      </c>
      <c r="T1386" t="n">
        <v>3</v>
      </c>
      <c r="U1386" t="n">
        <v>23</v>
      </c>
      <c r="V1386" t="n">
        <v>136</v>
      </c>
      <c r="W1386" t="n">
        <v>2626</v>
      </c>
    </row>
    <row r="1387">
      <c r="A1387" t="inlineStr">
        <is>
          <t>SUPERPELL PEMBERSIH LANTAI KOREAN STRAWBERRY 100ML</t>
        </is>
      </c>
      <c r="B1387" t="inlineStr"/>
      <c r="C1387" t="inlineStr">
        <is>
          <t>5%</t>
        </is>
      </c>
      <c r="D1387" t="n">
        <v>1900</v>
      </c>
      <c r="E1387" t="n">
        <v>2000</v>
      </c>
      <c r="F1387" t="n">
        <v>1900</v>
      </c>
      <c r="G1387" t="n">
        <v>2000</v>
      </c>
      <c r="H1387" t="n">
        <v>1900</v>
      </c>
      <c r="I1387" t="n">
        <v>2000</v>
      </c>
      <c r="J1387" t="b">
        <v>0</v>
      </c>
      <c r="K1387" t="inlineStr">
        <is>
          <t>Unilever Indonesia Official Shop</t>
        </is>
      </c>
      <c r="L1387" t="inlineStr">
        <is>
          <t>KOTA BEKASI</t>
        </is>
      </c>
      <c r="M1387" t="n">
        <v>14571061523</v>
      </c>
      <c r="N1387" t="n">
        <v>14318452</v>
      </c>
      <c r="O1387">
        <f>HYPERLINK("https://shopee.co.id/api/v4/item/get?itemid=14571061523&amp;shopid=14318452", "SUPERPELL PEMBERSIH LANTAI KOREAN STRAWBERRY 100ML")</f>
        <v/>
      </c>
      <c r="P1387" t="n">
        <v>2318</v>
      </c>
      <c r="Q1387" t="n">
        <v>3206</v>
      </c>
      <c r="R1387" t="n">
        <v>4.904388330473155</v>
      </c>
      <c r="S1387" t="n">
        <v>22</v>
      </c>
      <c r="T1387" t="n">
        <v>5</v>
      </c>
      <c r="U1387" t="n">
        <v>30</v>
      </c>
      <c r="V1387" t="n">
        <v>227</v>
      </c>
      <c r="W1387" t="n">
        <v>3796</v>
      </c>
    </row>
    <row r="1388">
      <c r="A1388" t="inlineStr">
        <is>
          <t>Tresemme Keratin Deep Smoothening Hair Mask Perawatan Rambut Rusak &amp; Anti Kusut 180ML</t>
        </is>
      </c>
      <c r="B1388" t="inlineStr"/>
      <c r="C1388" t="inlineStr">
        <is>
          <t>26%</t>
        </is>
      </c>
      <c r="D1388" t="n">
        <v>64100</v>
      </c>
      <c r="E1388" t="n">
        <v>87000</v>
      </c>
      <c r="F1388" t="n">
        <v>64100</v>
      </c>
      <c r="G1388" t="n">
        <v>87000</v>
      </c>
      <c r="H1388" t="n">
        <v>64100</v>
      </c>
      <c r="I1388" t="n">
        <v>87000</v>
      </c>
      <c r="J1388" t="b">
        <v>0</v>
      </c>
      <c r="K1388" t="inlineStr">
        <is>
          <t>Unilever Indonesia Official Shop</t>
        </is>
      </c>
      <c r="L1388" t="inlineStr">
        <is>
          <t>KOTA BEKASI</t>
        </is>
      </c>
      <c r="M1388" t="n">
        <v>12892341842</v>
      </c>
      <c r="N1388" t="n">
        <v>14318452</v>
      </c>
      <c r="O1388">
        <f>HYPERLINK("https://shopee.co.id/api/v4/item/get?itemid=12892341842&amp;shopid=14318452", "Tresemme Keratin Deep Smoothening Hair Mask Perawatan Rambut Rusak &amp; Anti Kusut 180ML")</f>
        <v/>
      </c>
      <c r="P1388" t="n">
        <v>1991</v>
      </c>
      <c r="Q1388" t="n">
        <v>226</v>
      </c>
      <c r="R1388" t="n">
        <v>4.885894736842105</v>
      </c>
      <c r="S1388" t="n">
        <v>9</v>
      </c>
      <c r="T1388" t="n">
        <v>9</v>
      </c>
      <c r="U1388" t="n">
        <v>25</v>
      </c>
      <c r="V1388" t="n">
        <v>158</v>
      </c>
      <c r="W1388" t="n">
        <v>2174</v>
      </c>
    </row>
    <row r="1389">
      <c r="A1389" t="inlineStr">
        <is>
          <t>Sunlight Sabun Cuci Piring Anti Bau 650ml</t>
        </is>
      </c>
      <c r="B1389" t="inlineStr"/>
      <c r="C1389" t="inlineStr">
        <is>
          <t>14%</t>
        </is>
      </c>
      <c r="D1389" t="n">
        <v>12900</v>
      </c>
      <c r="E1389" t="n">
        <v>15000</v>
      </c>
      <c r="F1389" t="n">
        <v>12900</v>
      </c>
      <c r="G1389" t="n">
        <v>15000</v>
      </c>
      <c r="H1389" t="n">
        <v>12900</v>
      </c>
      <c r="I1389" t="n">
        <v>15000</v>
      </c>
      <c r="J1389" t="b">
        <v>0</v>
      </c>
      <c r="K1389" t="inlineStr">
        <is>
          <t>Unilever Indonesia Official Shop</t>
        </is>
      </c>
      <c r="L1389" t="inlineStr">
        <is>
          <t>KOTA BEKASI</t>
        </is>
      </c>
      <c r="M1389" t="n">
        <v>16885049936</v>
      </c>
      <c r="N1389" t="n">
        <v>14318452</v>
      </c>
      <c r="O1389">
        <f>HYPERLINK("https://shopee.co.id/api/v4/item/get?itemid=16885049936&amp;shopid=14318452", "Sunlight Sabun Cuci Piring Anti Bau 650ml")</f>
        <v/>
      </c>
      <c r="P1389" t="n">
        <v>1915</v>
      </c>
      <c r="Q1389" t="n">
        <v>1414</v>
      </c>
      <c r="R1389" t="n">
        <v>4.913854351687389</v>
      </c>
      <c r="S1389" t="n">
        <v>4</v>
      </c>
      <c r="T1389" t="n">
        <v>1</v>
      </c>
      <c r="U1389" t="n">
        <v>9</v>
      </c>
      <c r="V1389" t="n">
        <v>60</v>
      </c>
      <c r="W1389" t="n">
        <v>1053</v>
      </c>
    </row>
    <row r="1390">
      <c r="A1390" t="inlineStr">
        <is>
          <t>[Buy 1 Get 5] Buy 1 Sunlight Lime 1.5L Get 5 Sunlight Korean Strawberry 80ml</t>
        </is>
      </c>
      <c r="B1390" t="inlineStr"/>
      <c r="C1390" t="inlineStr">
        <is>
          <t>37%</t>
        </is>
      </c>
      <c r="D1390" t="n">
        <v>32000</v>
      </c>
      <c r="E1390" t="n">
        <v>50700</v>
      </c>
      <c r="F1390" t="n">
        <v>32000</v>
      </c>
      <c r="G1390" t="n">
        <v>50700</v>
      </c>
      <c r="H1390" t="n">
        <v>32000</v>
      </c>
      <c r="I1390" t="n">
        <v>50700</v>
      </c>
      <c r="J1390" t="b">
        <v>0</v>
      </c>
      <c r="K1390" t="inlineStr">
        <is>
          <t>Unilever Indonesia Official Shop</t>
        </is>
      </c>
      <c r="L1390" t="inlineStr">
        <is>
          <t>KOTA BEKASI</t>
        </is>
      </c>
      <c r="M1390" t="n">
        <v>22201911850</v>
      </c>
      <c r="N1390" t="n">
        <v>14318452</v>
      </c>
      <c r="O1390">
        <f>HYPERLINK("https://shopee.co.id/api/v4/item/get?itemid=22201911850&amp;shopid=14318452", "[Buy 1 Get 5] Buy 1 Sunlight Lime 1.5L Get 5 Sunlight Korean Strawberry 80ml")</f>
        <v/>
      </c>
      <c r="P1390" t="n">
        <v>1764</v>
      </c>
      <c r="Q1390" t="n">
        <v>3613</v>
      </c>
      <c r="R1390" t="n">
        <v>4.901435406698565</v>
      </c>
      <c r="S1390" t="n">
        <v>9</v>
      </c>
      <c r="T1390" t="n">
        <v>1</v>
      </c>
      <c r="U1390" t="n">
        <v>8</v>
      </c>
      <c r="V1390" t="n">
        <v>48</v>
      </c>
      <c r="W1390" t="n">
        <v>979</v>
      </c>
    </row>
    <row r="1391">
      <c r="A1391" t="inlineStr">
        <is>
          <t>Closeup Pasta Gigi Fresh Multivitamin Complete Fresh Protection 160g Multi Benefit</t>
        </is>
      </c>
      <c r="B1391" t="inlineStr"/>
      <c r="C1391" t="inlineStr">
        <is>
          <t>19%</t>
        </is>
      </c>
      <c r="D1391" t="n">
        <v>15900</v>
      </c>
      <c r="E1391" t="n">
        <v>19700</v>
      </c>
      <c r="F1391" t="n">
        <v>15900</v>
      </c>
      <c r="G1391" t="n">
        <v>19700</v>
      </c>
      <c r="H1391" t="n">
        <v>15900</v>
      </c>
      <c r="I1391" t="n">
        <v>19700</v>
      </c>
      <c r="J1391" t="b">
        <v>0</v>
      </c>
      <c r="K1391" t="inlineStr">
        <is>
          <t>Unilever Indonesia Official Shop</t>
        </is>
      </c>
      <c r="L1391" t="inlineStr">
        <is>
          <t>KOTA BEKASI</t>
        </is>
      </c>
      <c r="M1391" t="n">
        <v>21343091139</v>
      </c>
      <c r="N1391" t="n">
        <v>14318452</v>
      </c>
      <c r="O1391">
        <f>HYPERLINK("https://shopee.co.id/api/v4/item/get?itemid=21343091139&amp;shopid=14318452", "Closeup Pasta Gigi Fresh Multivitamin Complete Fresh Protection 160g Multi Benefit")</f>
        <v/>
      </c>
      <c r="P1391" t="n">
        <v>1628</v>
      </c>
      <c r="Q1391" t="n">
        <v>603</v>
      </c>
      <c r="R1391" t="n">
        <v>4.91970802919708</v>
      </c>
      <c r="S1391" t="n">
        <v>0</v>
      </c>
      <c r="T1391" t="n">
        <v>4</v>
      </c>
      <c r="U1391" t="n">
        <v>5</v>
      </c>
      <c r="V1391" t="n">
        <v>44</v>
      </c>
      <c r="W1391" t="n">
        <v>769</v>
      </c>
    </row>
    <row r="1392">
      <c r="A1392" t="inlineStr">
        <is>
          <t>Wipol Pembersih Lantai Karbol Eucalyptus Refill 450ML</t>
        </is>
      </c>
      <c r="B1392" t="inlineStr"/>
      <c r="C1392" t="inlineStr">
        <is>
          <t>13%</t>
        </is>
      </c>
      <c r="D1392" t="n">
        <v>8600</v>
      </c>
      <c r="E1392" t="n">
        <v>9900</v>
      </c>
      <c r="F1392" t="n">
        <v>8600</v>
      </c>
      <c r="G1392" t="n">
        <v>9900</v>
      </c>
      <c r="H1392" t="n">
        <v>8600</v>
      </c>
      <c r="I1392" t="n">
        <v>9900</v>
      </c>
      <c r="J1392" t="b">
        <v>0</v>
      </c>
      <c r="K1392" t="inlineStr">
        <is>
          <t>Unilever Indonesia Official Shop</t>
        </is>
      </c>
      <c r="L1392" t="inlineStr">
        <is>
          <t>KOTA BEKASI</t>
        </is>
      </c>
      <c r="M1392" t="n">
        <v>19126507224</v>
      </c>
      <c r="N1392" t="n">
        <v>14318452</v>
      </c>
      <c r="O1392">
        <f>HYPERLINK("https://shopee.co.id/api/v4/item/get?itemid=19126507224&amp;shopid=14318452", "Wipol Pembersih Lantai Karbol Eucalyptus Refill 450ML")</f>
        <v/>
      </c>
      <c r="P1392" t="n">
        <v>1608</v>
      </c>
      <c r="Q1392" t="n">
        <v>2755</v>
      </c>
      <c r="R1392" t="n">
        <v>4.928030303030303</v>
      </c>
      <c r="S1392" t="n">
        <v>5</v>
      </c>
      <c r="T1392" t="n">
        <v>5</v>
      </c>
      <c r="U1392" t="n">
        <v>9</v>
      </c>
      <c r="V1392" t="n">
        <v>61</v>
      </c>
      <c r="W1392" t="n">
        <v>1505</v>
      </c>
    </row>
    <row r="1393">
      <c r="A1393" t="inlineStr">
        <is>
          <t>Pepsodent Nanosoft Himalayan Salt Gum Care Isi 1</t>
        </is>
      </c>
      <c r="B1393" t="inlineStr"/>
      <c r="C1393" t="inlineStr">
        <is>
          <t>17%</t>
        </is>
      </c>
      <c r="D1393" t="n">
        <v>14400</v>
      </c>
      <c r="E1393" t="n">
        <v>17400</v>
      </c>
      <c r="F1393" t="n">
        <v>14400</v>
      </c>
      <c r="G1393" t="n">
        <v>17400</v>
      </c>
      <c r="H1393" t="n">
        <v>14400</v>
      </c>
      <c r="I1393" t="n">
        <v>17400</v>
      </c>
      <c r="J1393" t="b">
        <v>0</v>
      </c>
      <c r="K1393" t="inlineStr">
        <is>
          <t>Unilever Indonesia Official Shop</t>
        </is>
      </c>
      <c r="L1393" t="inlineStr">
        <is>
          <t>KOTA BEKASI</t>
        </is>
      </c>
      <c r="M1393" t="n">
        <v>14486724789</v>
      </c>
      <c r="N1393" t="n">
        <v>14318452</v>
      </c>
      <c r="O1393">
        <f>HYPERLINK("https://shopee.co.id/api/v4/item/get?itemid=14486724789&amp;shopid=14318452", "Pepsodent Nanosoft Himalayan Salt Gum Care Isi 1")</f>
        <v/>
      </c>
      <c r="P1393" t="n">
        <v>1604</v>
      </c>
      <c r="Q1393" t="n">
        <v>625</v>
      </c>
      <c r="R1393" t="n">
        <v>4.91635687732342</v>
      </c>
      <c r="S1393" t="n">
        <v>2</v>
      </c>
      <c r="T1393" t="n">
        <v>3</v>
      </c>
      <c r="U1393" t="n">
        <v>11</v>
      </c>
      <c r="V1393" t="n">
        <v>51</v>
      </c>
      <c r="W1393" t="n">
        <v>1009</v>
      </c>
    </row>
    <row r="1394">
      <c r="A1394" t="inlineStr">
        <is>
          <t>Rexona Women Deodorant Anti-Perspirant Roll On Advanced Brightening 45 ml</t>
        </is>
      </c>
      <c r="B1394" t="inlineStr"/>
      <c r="C1394" t="inlineStr">
        <is>
          <t>1%</t>
        </is>
      </c>
      <c r="D1394" t="n">
        <v>22800</v>
      </c>
      <c r="E1394" t="n">
        <v>23000</v>
      </c>
      <c r="F1394" t="n">
        <v>22800</v>
      </c>
      <c r="G1394" t="n">
        <v>23000</v>
      </c>
      <c r="H1394" t="n">
        <v>22800</v>
      </c>
      <c r="I1394" t="n">
        <v>23000</v>
      </c>
      <c r="J1394" t="b">
        <v>0</v>
      </c>
      <c r="K1394" t="inlineStr">
        <is>
          <t>Unilever Indonesia Official Shop</t>
        </is>
      </c>
      <c r="L1394" t="inlineStr">
        <is>
          <t>KOTA BEKASI</t>
        </is>
      </c>
      <c r="M1394" t="n">
        <v>14174883812</v>
      </c>
      <c r="N1394" t="n">
        <v>14318452</v>
      </c>
      <c r="O1394">
        <f>HYPERLINK("https://shopee.co.id/api/v4/item/get?itemid=14174883812&amp;shopid=14318452", "Rexona Women Deodorant Anti-Perspirant Roll On Advanced Brightening 45 ml")</f>
        <v/>
      </c>
      <c r="P1394" t="n">
        <v>1506</v>
      </c>
      <c r="Q1394" t="n">
        <v>2352</v>
      </c>
      <c r="R1394" t="n">
        <v>4.920745920745921</v>
      </c>
      <c r="S1394" t="n">
        <v>9</v>
      </c>
      <c r="T1394" t="n">
        <v>2</v>
      </c>
      <c r="U1394" t="n">
        <v>13</v>
      </c>
      <c r="V1394" t="n">
        <v>102</v>
      </c>
      <c r="W1394" t="n">
        <v>2019</v>
      </c>
    </row>
    <row r="1395">
      <c r="A1395" t="inlineStr">
        <is>
          <t>Pepsodent Pasta Gigi Compelete 8 Siwak Habbatussauda Whitening and Antibacteria Halal Natural 190G</t>
        </is>
      </c>
      <c r="B1395" t="inlineStr"/>
      <c r="C1395" t="inlineStr">
        <is>
          <t>20%</t>
        </is>
      </c>
      <c r="D1395" t="n">
        <v>14000</v>
      </c>
      <c r="E1395" t="n">
        <v>17600</v>
      </c>
      <c r="F1395" t="n">
        <v>14000</v>
      </c>
      <c r="G1395" t="n">
        <v>17600</v>
      </c>
      <c r="H1395" t="n">
        <v>14000</v>
      </c>
      <c r="I1395" t="n">
        <v>17600</v>
      </c>
      <c r="J1395" t="b">
        <v>0</v>
      </c>
      <c r="K1395" t="inlineStr">
        <is>
          <t>Unilever Indonesia Official Shop</t>
        </is>
      </c>
      <c r="L1395" t="inlineStr">
        <is>
          <t>KOTA SURABAYA</t>
        </is>
      </c>
      <c r="M1395" t="n">
        <v>17431252742</v>
      </c>
      <c r="N1395" t="n">
        <v>14318452</v>
      </c>
      <c r="O1395">
        <f>HYPERLINK("https://shopee.co.id/api/v4/item/get?itemid=17431252742&amp;shopid=14318452", "Pepsodent Pasta Gigi Compelete 8 Siwak Habbatussauda Whitening and Antibacteria Halal Natural 190G")</f>
        <v/>
      </c>
      <c r="P1395" t="n">
        <v>1469</v>
      </c>
      <c r="Q1395" t="n">
        <v>344</v>
      </c>
      <c r="R1395" t="n">
        <v>4.895281456953643</v>
      </c>
      <c r="S1395" t="n">
        <v>5</v>
      </c>
      <c r="T1395" t="n">
        <v>4</v>
      </c>
      <c r="U1395" t="n">
        <v>26</v>
      </c>
      <c r="V1395" t="n">
        <v>169</v>
      </c>
      <c r="W1395" t="n">
        <v>2212</v>
      </c>
    </row>
    <row r="1396">
      <c r="A1396" t="inlineStr">
        <is>
          <t>Closeup White Attraction Acai Berry 2.5x Whitening Power Pasta Gigi 100g Twinpack</t>
        </is>
      </c>
      <c r="B1396" t="inlineStr"/>
      <c r="C1396" t="inlineStr">
        <is>
          <t>20%</t>
        </is>
      </c>
      <c r="D1396" t="n">
        <v>29600</v>
      </c>
      <c r="E1396" t="n">
        <v>36900</v>
      </c>
      <c r="F1396" t="n">
        <v>29600</v>
      </c>
      <c r="G1396" t="n">
        <v>36900</v>
      </c>
      <c r="H1396" t="n">
        <v>29600</v>
      </c>
      <c r="I1396" t="n">
        <v>36900</v>
      </c>
      <c r="J1396" t="b">
        <v>0</v>
      </c>
      <c r="K1396" t="inlineStr">
        <is>
          <t>Unilever Indonesia Official Shop</t>
        </is>
      </c>
      <c r="L1396" t="inlineStr">
        <is>
          <t>KOTA BEKASI</t>
        </is>
      </c>
      <c r="M1396" t="n">
        <v>15659095093</v>
      </c>
      <c r="N1396" t="n">
        <v>14318452</v>
      </c>
      <c r="O1396">
        <f>HYPERLINK("https://shopee.co.id/api/v4/item/get?itemid=15659095093&amp;shopid=14318452", "Closeup White Attraction Acai Berry 2.5x Whitening Power Pasta Gigi 100g Twinpack")</f>
        <v/>
      </c>
      <c r="P1396" t="n">
        <v>1408</v>
      </c>
      <c r="Q1396" t="n">
        <v>3403</v>
      </c>
      <c r="R1396" t="n">
        <v>4.925725338491296</v>
      </c>
      <c r="S1396" t="n">
        <v>6</v>
      </c>
      <c r="T1396" t="n">
        <v>2</v>
      </c>
      <c r="U1396" t="n">
        <v>17</v>
      </c>
      <c r="V1396" t="n">
        <v>128</v>
      </c>
      <c r="W1396" t="n">
        <v>2432</v>
      </c>
    </row>
    <row r="1397">
      <c r="A1397" t="inlineStr">
        <is>
          <t>Axe Pocket Fragrance Dark Temptation Parfum Saku 17ML</t>
        </is>
      </c>
      <c r="B1397" t="inlineStr"/>
      <c r="C1397" t="inlineStr">
        <is>
          <t>1%</t>
        </is>
      </c>
      <c r="D1397" t="n">
        <v>14900</v>
      </c>
      <c r="E1397" t="n">
        <v>15000</v>
      </c>
      <c r="F1397" t="n">
        <v>14900</v>
      </c>
      <c r="G1397" t="n">
        <v>15000</v>
      </c>
      <c r="H1397" t="n">
        <v>14900</v>
      </c>
      <c r="I1397" t="n">
        <v>15000</v>
      </c>
      <c r="J1397" t="b">
        <v>0</v>
      </c>
      <c r="K1397" t="inlineStr">
        <is>
          <t>Unilever Indonesia Official Shop</t>
        </is>
      </c>
      <c r="L1397" t="inlineStr">
        <is>
          <t>KAB. BANYUASIN</t>
        </is>
      </c>
      <c r="M1397" t="n">
        <v>20643093898</v>
      </c>
      <c r="N1397" t="n">
        <v>14318452</v>
      </c>
      <c r="O1397">
        <f>HYPERLINK("https://shopee.co.id/api/v4/item/get?itemid=20643093898&amp;shopid=14318452", "Axe Pocket Fragrance Dark Temptation Parfum Saku 17ML")</f>
        <v/>
      </c>
      <c r="P1397" t="n">
        <v>1390</v>
      </c>
      <c r="Q1397" t="n">
        <v>76</v>
      </c>
      <c r="R1397" t="n">
        <v>4.879377431906615</v>
      </c>
      <c r="S1397" t="n">
        <v>4</v>
      </c>
      <c r="T1397" t="n">
        <v>1</v>
      </c>
      <c r="U1397" t="n">
        <v>4</v>
      </c>
      <c r="V1397" t="n">
        <v>35</v>
      </c>
      <c r="W1397" t="n">
        <v>470</v>
      </c>
    </row>
    <row r="1398">
      <c r="A1398" t="inlineStr">
        <is>
          <t>Dove Body Wash Refill Deeply Nourishing Kulit Lembut 825ml Twin Pack</t>
        </is>
      </c>
      <c r="B1398" t="inlineStr"/>
      <c r="C1398" t="inlineStr">
        <is>
          <t>14%</t>
        </is>
      </c>
      <c r="D1398" t="n">
        <v>106200</v>
      </c>
      <c r="E1398" t="n">
        <v>123300</v>
      </c>
      <c r="F1398" t="n">
        <v>106200</v>
      </c>
      <c r="G1398" t="n">
        <v>123300</v>
      </c>
      <c r="H1398" t="n">
        <v>106200</v>
      </c>
      <c r="I1398" t="n">
        <v>123300</v>
      </c>
      <c r="J1398" t="b">
        <v>0</v>
      </c>
      <c r="K1398" t="inlineStr">
        <is>
          <t>Unilever Indonesia Official Shop</t>
        </is>
      </c>
      <c r="L1398" t="inlineStr">
        <is>
          <t>KOTA BEKASI</t>
        </is>
      </c>
      <c r="M1398" t="n">
        <v>16237250270</v>
      </c>
      <c r="N1398" t="n">
        <v>14318452</v>
      </c>
      <c r="O1398">
        <f>HYPERLINK("https://shopee.co.id/api/v4/item/get?itemid=16237250270&amp;shopid=14318452", "Dove Body Wash Refill Deeply Nourishing Kulit Lembut 825ml Twin Pack")</f>
        <v/>
      </c>
      <c r="P1398" t="n">
        <v>1341</v>
      </c>
      <c r="Q1398" t="n">
        <v>5051</v>
      </c>
      <c r="R1398" t="n">
        <v>4.864074074074074</v>
      </c>
      <c r="S1398" t="n">
        <v>32</v>
      </c>
      <c r="T1398" t="n">
        <v>16</v>
      </c>
      <c r="U1398" t="n">
        <v>39</v>
      </c>
      <c r="V1398" t="n">
        <v>119</v>
      </c>
      <c r="W1398" t="n">
        <v>2496</v>
      </c>
    </row>
    <row r="1399">
      <c r="A1399" t="inlineStr">
        <is>
          <t>Rexona Men Deodorant Anti-Perspirant Ultra Recharge Roll On 45Ml</t>
        </is>
      </c>
      <c r="B1399" t="inlineStr"/>
      <c r="C1399" t="inlineStr">
        <is>
          <t>1%</t>
        </is>
      </c>
      <c r="D1399" t="n">
        <v>20000</v>
      </c>
      <c r="E1399" t="n">
        <v>20176</v>
      </c>
      <c r="F1399" t="n">
        <v>20000</v>
      </c>
      <c r="G1399" t="n">
        <v>20176</v>
      </c>
      <c r="H1399" t="n">
        <v>20000</v>
      </c>
      <c r="I1399" t="n">
        <v>20176</v>
      </c>
      <c r="J1399" t="b">
        <v>0</v>
      </c>
      <c r="K1399" t="inlineStr">
        <is>
          <t>Unilever Indonesia Official Shop</t>
        </is>
      </c>
      <c r="L1399" t="inlineStr">
        <is>
          <t>KOTA BEKASI</t>
        </is>
      </c>
      <c r="M1399" t="n">
        <v>15366432420</v>
      </c>
      <c r="N1399" t="n">
        <v>14318452</v>
      </c>
      <c r="O1399">
        <f>HYPERLINK("https://shopee.co.id/api/v4/item/get?itemid=15366432420&amp;shopid=14318452", "Rexona Men Deodorant Anti-Perspirant Ultra Recharge Roll On 45Ml")</f>
        <v/>
      </c>
      <c r="P1399" t="n">
        <v>1241</v>
      </c>
      <c r="Q1399" t="n">
        <v>1074</v>
      </c>
      <c r="R1399" t="n">
        <v>4.928202721726889</v>
      </c>
      <c r="S1399" t="n">
        <v>9</v>
      </c>
      <c r="T1399" t="n">
        <v>1</v>
      </c>
      <c r="U1399" t="n">
        <v>15</v>
      </c>
      <c r="V1399" t="n">
        <v>84</v>
      </c>
      <c r="W1399" t="n">
        <v>2022</v>
      </c>
    </row>
    <row r="1400">
      <c r="A1400" t="inlineStr">
        <is>
          <t>[BUY 2 GET 1] Buy 2 Lifebuoy Total 10 850ml FREE Rinso Perfume Essence 700ml</t>
        </is>
      </c>
      <c r="B1400" t="inlineStr"/>
      <c r="C1400" t="inlineStr">
        <is>
          <t>24%</t>
        </is>
      </c>
      <c r="D1400" t="n">
        <v>87200</v>
      </c>
      <c r="E1400" t="n">
        <v>115100</v>
      </c>
      <c r="F1400" t="n">
        <v>87200</v>
      </c>
      <c r="G1400" t="n">
        <v>115100</v>
      </c>
      <c r="H1400" t="n">
        <v>87200</v>
      </c>
      <c r="I1400" t="n">
        <v>115100</v>
      </c>
      <c r="J1400" t="b">
        <v>0</v>
      </c>
      <c r="K1400" t="inlineStr">
        <is>
          <t>Unilever Indonesia Official Shop</t>
        </is>
      </c>
      <c r="L1400" t="inlineStr">
        <is>
          <t>KOTA BEKASI</t>
        </is>
      </c>
      <c r="M1400" t="n">
        <v>13784821597</v>
      </c>
      <c r="N1400" t="n">
        <v>14318452</v>
      </c>
      <c r="O1400">
        <f>HYPERLINK("https://shopee.co.id/api/v4/item/get?itemid=13784821597&amp;shopid=14318452", "[BUY 2 GET 1] Buy 2 Lifebuoy Total 10 850ml FREE Rinso Perfume Essence 700ml")</f>
        <v/>
      </c>
      <c r="P1400" t="n">
        <v>1224</v>
      </c>
      <c r="Q1400" t="n">
        <v>2434</v>
      </c>
      <c r="R1400" t="n">
        <v>4.883116883116883</v>
      </c>
      <c r="S1400" t="n">
        <v>6</v>
      </c>
      <c r="T1400" t="n">
        <v>1</v>
      </c>
      <c r="U1400" t="n">
        <v>5</v>
      </c>
      <c r="V1400" t="n">
        <v>26</v>
      </c>
      <c r="W1400" t="n">
        <v>503</v>
      </c>
    </row>
    <row r="1401">
      <c r="A1401" t="inlineStr">
        <is>
          <t>SUPERPELL PEMBERSIH LANTAI KOREAN STRAWBERRY 770ML</t>
        </is>
      </c>
      <c r="B1401" t="inlineStr"/>
      <c r="C1401" t="inlineStr">
        <is>
          <t>19%</t>
        </is>
      </c>
      <c r="D1401" t="n">
        <v>12200</v>
      </c>
      <c r="E1401" t="n">
        <v>15100</v>
      </c>
      <c r="F1401" t="n">
        <v>12200</v>
      </c>
      <c r="G1401" t="n">
        <v>15100</v>
      </c>
      <c r="H1401" t="n">
        <v>12200</v>
      </c>
      <c r="I1401" t="n">
        <v>15100</v>
      </c>
      <c r="J1401" t="b">
        <v>0</v>
      </c>
      <c r="K1401" t="inlineStr">
        <is>
          <t>Unilever Indonesia Official Shop</t>
        </is>
      </c>
      <c r="L1401" t="inlineStr">
        <is>
          <t>KOTA BEKASI</t>
        </is>
      </c>
      <c r="M1401" t="n">
        <v>15266320074</v>
      </c>
      <c r="N1401" t="n">
        <v>14318452</v>
      </c>
      <c r="O1401">
        <f>HYPERLINK("https://shopee.co.id/api/v4/item/get?itemid=15266320074&amp;shopid=14318452", "SUPERPELL PEMBERSIH LANTAI KOREAN STRAWBERRY 770ML")</f>
        <v/>
      </c>
      <c r="P1401" t="n">
        <v>1179</v>
      </c>
      <c r="Q1401" t="n">
        <v>435</v>
      </c>
      <c r="R1401" t="n">
        <v>4.900604432505037</v>
      </c>
      <c r="S1401" t="n">
        <v>7</v>
      </c>
      <c r="T1401" t="n">
        <v>4</v>
      </c>
      <c r="U1401" t="n">
        <v>8</v>
      </c>
      <c r="V1401" t="n">
        <v>92</v>
      </c>
      <c r="W1401" t="n">
        <v>1378</v>
      </c>
    </row>
    <row r="1402">
      <c r="A1402" t="inlineStr">
        <is>
          <t>Lux Bright Bluebell Niacinamide Body Wash 450ml</t>
        </is>
      </c>
      <c r="B1402" t="inlineStr"/>
      <c r="C1402" t="inlineStr">
        <is>
          <t>24%</t>
        </is>
      </c>
      <c r="D1402" t="n">
        <v>22500</v>
      </c>
      <c r="E1402" t="n">
        <v>29500</v>
      </c>
      <c r="F1402" t="n">
        <v>22500</v>
      </c>
      <c r="G1402" t="n">
        <v>29500</v>
      </c>
      <c r="H1402" t="n">
        <v>22500</v>
      </c>
      <c r="I1402" t="n">
        <v>29500</v>
      </c>
      <c r="J1402" t="b">
        <v>0</v>
      </c>
      <c r="K1402" t="inlineStr">
        <is>
          <t>Unilever Indonesia Official Shop</t>
        </is>
      </c>
      <c r="L1402" t="inlineStr">
        <is>
          <t>KOTA BEKASI</t>
        </is>
      </c>
      <c r="M1402" t="n">
        <v>19632969877</v>
      </c>
      <c r="N1402" t="n">
        <v>14318452</v>
      </c>
      <c r="O1402">
        <f>HYPERLINK("https://shopee.co.id/api/v4/item/get?itemid=19632969877&amp;shopid=14318452", "Lux Bright Bluebell Niacinamide Body Wash 450ml")</f>
        <v/>
      </c>
      <c r="P1402" t="n">
        <v>1096</v>
      </c>
      <c r="Q1402" t="n">
        <v>18</v>
      </c>
      <c r="R1402" t="n">
        <v>4.904972375690607</v>
      </c>
      <c r="S1402" t="n">
        <v>12</v>
      </c>
      <c r="T1402" t="n">
        <v>4</v>
      </c>
      <c r="U1402" t="n">
        <v>16</v>
      </c>
      <c r="V1402" t="n">
        <v>80</v>
      </c>
      <c r="W1402" t="n">
        <v>1698</v>
      </c>
    </row>
    <row r="1403">
      <c r="A1403" t="inlineStr">
        <is>
          <t>MOLTO PERFUME BEADS FRESH BLOSSOM - PERFUME BOOSTER 200 G</t>
        </is>
      </c>
      <c r="B1403" t="inlineStr"/>
      <c r="C1403" t="inlineStr">
        <is>
          <t>23%</t>
        </is>
      </c>
      <c r="D1403" t="n">
        <v>38000</v>
      </c>
      <c r="E1403" t="n">
        <v>49500</v>
      </c>
      <c r="F1403" t="n">
        <v>38000</v>
      </c>
      <c r="G1403" t="n">
        <v>49500</v>
      </c>
      <c r="H1403" t="n">
        <v>38000</v>
      </c>
      <c r="I1403" t="n">
        <v>49500</v>
      </c>
      <c r="J1403" t="b">
        <v>0</v>
      </c>
      <c r="K1403" t="inlineStr">
        <is>
          <t>Unilever Indonesia Official Shop</t>
        </is>
      </c>
      <c r="L1403" t="inlineStr">
        <is>
          <t>KOTA BEKASI</t>
        </is>
      </c>
      <c r="M1403" t="n">
        <v>17716242992</v>
      </c>
      <c r="N1403" t="n">
        <v>14318452</v>
      </c>
      <c r="O1403">
        <f>HYPERLINK("https://shopee.co.id/api/v4/item/get?itemid=17716242992&amp;shopid=14318452", "MOLTO PERFUME BEADS FRESH BLOSSOM - PERFUME BOOSTER 200 G")</f>
        <v/>
      </c>
      <c r="P1403" t="n">
        <v>1090</v>
      </c>
      <c r="Q1403" t="n">
        <v>2348</v>
      </c>
      <c r="R1403" t="n">
        <v>4.937631184407796</v>
      </c>
      <c r="S1403" t="n">
        <v>11</v>
      </c>
      <c r="T1403" t="n">
        <v>5</v>
      </c>
      <c r="U1403" t="n">
        <v>11</v>
      </c>
      <c r="V1403" t="n">
        <v>130</v>
      </c>
      <c r="W1403" t="n">
        <v>3179</v>
      </c>
    </row>
    <row r="1404">
      <c r="A1404" t="inlineStr">
        <is>
          <t>SUNLIGHT SABUN CUCI PIRING JERUK NIPIS REFILL 370ML</t>
        </is>
      </c>
      <c r="B1404" t="inlineStr"/>
      <c r="C1404" t="inlineStr">
        <is>
          <t>9%</t>
        </is>
      </c>
      <c r="D1404" t="n">
        <v>7800</v>
      </c>
      <c r="E1404" t="n">
        <v>8600</v>
      </c>
      <c r="F1404" t="n">
        <v>7800</v>
      </c>
      <c r="G1404" t="n">
        <v>8600</v>
      </c>
      <c r="H1404" t="n">
        <v>7800</v>
      </c>
      <c r="I1404" t="n">
        <v>8600</v>
      </c>
      <c r="J1404" t="b">
        <v>0</v>
      </c>
      <c r="K1404" t="inlineStr">
        <is>
          <t>Unilever Indonesia Official Shop</t>
        </is>
      </c>
      <c r="L1404" t="inlineStr">
        <is>
          <t>KOTA BEKASI</t>
        </is>
      </c>
      <c r="M1404" t="n">
        <v>17840769441</v>
      </c>
      <c r="N1404" t="n">
        <v>14318452</v>
      </c>
      <c r="O1404">
        <f>HYPERLINK("https://shopee.co.id/api/v4/item/get?itemid=17840769441&amp;shopid=14318452", "SUNLIGHT SABUN CUCI PIRING JERUK NIPIS REFILL 370ML")</f>
        <v/>
      </c>
      <c r="P1404" t="n">
        <v>1084</v>
      </c>
      <c r="Q1404" t="n">
        <v>675</v>
      </c>
      <c r="R1404" t="n">
        <v>4.932778489116517</v>
      </c>
      <c r="S1404" t="n">
        <v>2</v>
      </c>
      <c r="T1404" t="n">
        <v>1</v>
      </c>
      <c r="U1404" t="n">
        <v>11</v>
      </c>
      <c r="V1404" t="n">
        <v>72</v>
      </c>
      <c r="W1404" t="n">
        <v>1476</v>
      </c>
    </row>
    <row r="1405">
      <c r="A1405" t="inlineStr">
        <is>
          <t>Ponds Age Miracle Hya-Retinol Ultimate Glow Essence with Vit. C &amp; Niacinamide 50Ml</t>
        </is>
      </c>
      <c r="B1405" t="inlineStr"/>
      <c r="C1405" t="inlineStr">
        <is>
          <t>29%</t>
        </is>
      </c>
      <c r="D1405" t="n">
        <v>69900</v>
      </c>
      <c r="E1405" t="n">
        <v>99000</v>
      </c>
      <c r="F1405" t="n">
        <v>69900</v>
      </c>
      <c r="G1405" t="n">
        <v>99000</v>
      </c>
      <c r="H1405" t="n">
        <v>69900</v>
      </c>
      <c r="I1405" t="n">
        <v>99000</v>
      </c>
      <c r="J1405" t="b">
        <v>0</v>
      </c>
      <c r="K1405" t="inlineStr">
        <is>
          <t>Unilever Indonesia Official Shop</t>
        </is>
      </c>
      <c r="L1405" t="inlineStr">
        <is>
          <t>KOTA BEKASI</t>
        </is>
      </c>
      <c r="M1405" t="n">
        <v>18245074123</v>
      </c>
      <c r="N1405" t="n">
        <v>14318452</v>
      </c>
      <c r="O1405">
        <f>HYPERLINK("https://shopee.co.id/api/v4/item/get?itemid=18245074123&amp;shopid=14318452", "Ponds Age Miracle Hya-Retinol Ultimate Glow Essence with Vit. C &amp; Niacinamide 50Ml")</f>
        <v/>
      </c>
      <c r="P1405" t="n">
        <v>1065</v>
      </c>
      <c r="Q1405" t="n">
        <v>2409</v>
      </c>
      <c r="R1405" t="n">
        <v>4.852660300136425</v>
      </c>
      <c r="S1405" t="n">
        <v>5</v>
      </c>
      <c r="T1405" t="n">
        <v>7</v>
      </c>
      <c r="U1405" t="n">
        <v>16</v>
      </c>
      <c r="V1405" t="n">
        <v>143</v>
      </c>
      <c r="W1405" t="n">
        <v>1295</v>
      </c>
    </row>
    <row r="1406">
      <c r="A1406" t="inlineStr">
        <is>
          <t>Lifebuoy Body Wash Shampoo Handwash 3-in-1 450ml</t>
        </is>
      </c>
      <c r="B1406" t="inlineStr"/>
      <c r="C1406" t="inlineStr">
        <is>
          <t>24%</t>
        </is>
      </c>
      <c r="D1406" t="n">
        <v>23600</v>
      </c>
      <c r="E1406" t="n">
        <v>31000</v>
      </c>
      <c r="F1406" t="n">
        <v>23600</v>
      </c>
      <c r="G1406" t="n">
        <v>31000</v>
      </c>
      <c r="H1406" t="n">
        <v>23600</v>
      </c>
      <c r="I1406" t="n">
        <v>31000</v>
      </c>
      <c r="J1406" t="b">
        <v>0</v>
      </c>
      <c r="K1406" t="inlineStr">
        <is>
          <t>Unilever Indonesia Official Shop</t>
        </is>
      </c>
      <c r="L1406" t="inlineStr">
        <is>
          <t>KOTA BEKASI</t>
        </is>
      </c>
      <c r="M1406" t="n">
        <v>17328454020</v>
      </c>
      <c r="N1406" t="n">
        <v>14318452</v>
      </c>
      <c r="O1406">
        <f>HYPERLINK("https://shopee.co.id/api/v4/item/get?itemid=17328454020&amp;shopid=14318452", "Lifebuoy Body Wash Shampoo Handwash 3-in-1 450ml")</f>
        <v/>
      </c>
      <c r="P1406" t="n">
        <v>1055</v>
      </c>
      <c r="Q1406" t="n">
        <v>38</v>
      </c>
      <c r="R1406" t="n">
        <v>4.887640449438202</v>
      </c>
      <c r="S1406" t="n">
        <v>6</v>
      </c>
      <c r="T1406" t="n">
        <v>3</v>
      </c>
      <c r="U1406" t="n">
        <v>9</v>
      </c>
      <c r="V1406" t="n">
        <v>59</v>
      </c>
      <c r="W1406" t="n">
        <v>902</v>
      </c>
    </row>
    <row r="1407">
      <c r="A1407" t="inlineStr">
        <is>
          <t>Zwitsal Hair Lotion Sweet Almond Oil &amp; Vit E 100ml</t>
        </is>
      </c>
      <c r="B1407" t="inlineStr"/>
      <c r="C1407" t="inlineStr">
        <is>
          <t>31%</t>
        </is>
      </c>
      <c r="D1407" t="n">
        <v>20900</v>
      </c>
      <c r="E1407" t="n">
        <v>30200</v>
      </c>
      <c r="F1407" t="n">
        <v>20900</v>
      </c>
      <c r="G1407" t="n">
        <v>30200</v>
      </c>
      <c r="H1407" t="n">
        <v>20900</v>
      </c>
      <c r="I1407" t="n">
        <v>30200</v>
      </c>
      <c r="J1407" t="b">
        <v>0</v>
      </c>
      <c r="K1407" t="inlineStr">
        <is>
          <t>Unilever Indonesia Official Shop</t>
        </is>
      </c>
      <c r="L1407" t="inlineStr">
        <is>
          <t>KOTA BEKASI</t>
        </is>
      </c>
      <c r="M1407" t="n">
        <v>18401731851</v>
      </c>
      <c r="N1407" t="n">
        <v>14318452</v>
      </c>
      <c r="O1407">
        <f>HYPERLINK("https://shopee.co.id/api/v4/item/get?itemid=18401731851&amp;shopid=14318452", "Zwitsal Hair Lotion Sweet Almond Oil &amp; Vit E 100ml")</f>
        <v/>
      </c>
      <c r="P1407" t="n">
        <v>998</v>
      </c>
      <c r="Q1407" t="n">
        <v>617</v>
      </c>
      <c r="R1407" t="n">
        <v>4.867047891350965</v>
      </c>
      <c r="S1407" t="n">
        <v>7</v>
      </c>
      <c r="T1407" t="n">
        <v>5</v>
      </c>
      <c r="U1407" t="n">
        <v>25</v>
      </c>
      <c r="V1407" t="n">
        <v>93</v>
      </c>
      <c r="W1407" t="n">
        <v>1269</v>
      </c>
    </row>
    <row r="1408">
      <c r="A1408" t="inlineStr">
        <is>
          <t>Closeup Pasta Gigi Fresh Multivitamin Complete Fresh Protection 100g Multi Benefit</t>
        </is>
      </c>
      <c r="B1408" t="inlineStr"/>
      <c r="C1408" t="inlineStr">
        <is>
          <t>14%</t>
        </is>
      </c>
      <c r="D1408" t="n">
        <v>11400</v>
      </c>
      <c r="E1408" t="n">
        <v>13300</v>
      </c>
      <c r="F1408" t="n">
        <v>11400</v>
      </c>
      <c r="G1408" t="n">
        <v>13300</v>
      </c>
      <c r="H1408" t="n">
        <v>11400</v>
      </c>
      <c r="I1408" t="n">
        <v>13300</v>
      </c>
      <c r="J1408" t="b">
        <v>0</v>
      </c>
      <c r="K1408" t="inlineStr">
        <is>
          <t>Unilever Indonesia Official Shop</t>
        </is>
      </c>
      <c r="L1408" t="inlineStr">
        <is>
          <t>KOTA BEKASI</t>
        </is>
      </c>
      <c r="M1408" t="n">
        <v>18643093165</v>
      </c>
      <c r="N1408" t="n">
        <v>14318452</v>
      </c>
      <c r="O1408">
        <f>HYPERLINK("https://shopee.co.id/api/v4/item/get?itemid=18643093165&amp;shopid=14318452", "Closeup Pasta Gigi Fresh Multivitamin Complete Fresh Protection 100g Multi Benefit")</f>
        <v/>
      </c>
      <c r="P1408" t="n">
        <v>964</v>
      </c>
      <c r="Q1408" t="n">
        <v>678</v>
      </c>
      <c r="R1408" t="n">
        <v>4.936454849498328</v>
      </c>
      <c r="S1408" t="n">
        <v>0</v>
      </c>
      <c r="T1408" t="n">
        <v>0</v>
      </c>
      <c r="U1408" t="n">
        <v>1</v>
      </c>
      <c r="V1408" t="n">
        <v>36</v>
      </c>
      <c r="W1408" t="n">
        <v>561</v>
      </c>
    </row>
    <row r="1409">
      <c r="A1409" t="inlineStr">
        <is>
          <t>Buy Ponds Age Miracle Ultimate Youth Serum 30G Get Youthful Glow Day Cream Moisturizer 10G</t>
        </is>
      </c>
      <c r="B1409" t="inlineStr"/>
      <c r="C1409" t="inlineStr">
        <is>
          <t>32%</t>
        </is>
      </c>
      <c r="D1409" t="n">
        <v>183100</v>
      </c>
      <c r="E1409" t="n">
        <v>269400</v>
      </c>
      <c r="F1409" t="n">
        <v>183100</v>
      </c>
      <c r="G1409" t="n">
        <v>269400</v>
      </c>
      <c r="H1409" t="n">
        <v>183100</v>
      </c>
      <c r="I1409" t="n">
        <v>269400</v>
      </c>
      <c r="J1409" t="b">
        <v>0</v>
      </c>
      <c r="K1409" t="inlineStr">
        <is>
          <t>Unilever Indonesia Official Shop</t>
        </is>
      </c>
      <c r="L1409" t="inlineStr">
        <is>
          <t>KOTA SEMARANG</t>
        </is>
      </c>
      <c r="M1409" t="n">
        <v>19937452341</v>
      </c>
      <c r="N1409" t="n">
        <v>14318452</v>
      </c>
      <c r="O1409">
        <f>HYPERLINK("https://shopee.co.id/api/v4/item/get?itemid=19937452341&amp;shopid=14318452", "Buy Ponds Age Miracle Ultimate Youth Serum 30G Get Youthful Glow Day Cream Moisturizer 10G")</f>
        <v/>
      </c>
      <c r="P1409" t="n">
        <v>954</v>
      </c>
      <c r="Q1409" t="n">
        <v>16</v>
      </c>
      <c r="R1409" t="n">
        <v>4.879959308240081</v>
      </c>
      <c r="S1409" t="n">
        <v>4</v>
      </c>
      <c r="T1409" t="n">
        <v>6</v>
      </c>
      <c r="U1409" t="n">
        <v>14</v>
      </c>
      <c r="V1409" t="n">
        <v>56</v>
      </c>
      <c r="W1409" t="n">
        <v>903</v>
      </c>
    </row>
    <row r="1410">
      <c r="A1410" t="inlineStr">
        <is>
          <t>[GIFT] PEPSODENT MOUTHWASH ACTIVE DEFENSE 300ML</t>
        </is>
      </c>
      <c r="B1410" t="inlineStr"/>
      <c r="C1410" t="inlineStr">
        <is>
          <t>1%</t>
        </is>
      </c>
      <c r="D1410" t="n">
        <v>990000</v>
      </c>
      <c r="E1410" t="n">
        <v>1000000</v>
      </c>
      <c r="F1410" t="n">
        <v>990000</v>
      </c>
      <c r="G1410" t="n">
        <v>1000000</v>
      </c>
      <c r="H1410" t="n">
        <v>990000</v>
      </c>
      <c r="I1410" t="n">
        <v>1000000</v>
      </c>
      <c r="J1410" t="b">
        <v>0</v>
      </c>
      <c r="K1410" t="inlineStr">
        <is>
          <t>Unilever Indonesia Official Shop</t>
        </is>
      </c>
      <c r="L1410" t="inlineStr">
        <is>
          <t>KOTA BEKASI</t>
        </is>
      </c>
      <c r="M1410" t="n">
        <v>15482608850</v>
      </c>
      <c r="N1410" t="n">
        <v>14318452</v>
      </c>
      <c r="O1410">
        <f>HYPERLINK("https://shopee.co.id/api/v4/item/get?itemid=15482608850&amp;shopid=14318452", "[GIFT] PEPSODENT MOUTHWASH ACTIVE DEFENSE 300ML")</f>
        <v/>
      </c>
      <c r="P1410" t="n">
        <v>941</v>
      </c>
      <c r="Q1410" t="n">
        <v>2791</v>
      </c>
      <c r="R1410" t="n">
        <v>4.908296943231441</v>
      </c>
      <c r="S1410" t="n">
        <v>2</v>
      </c>
      <c r="T1410" t="n">
        <v>2</v>
      </c>
      <c r="U1410" t="n">
        <v>5</v>
      </c>
      <c r="V1410" t="n">
        <v>18</v>
      </c>
      <c r="W1410" t="n">
        <v>431</v>
      </c>
    </row>
    <row r="1411">
      <c r="A1411" t="inlineStr">
        <is>
          <t>[GIFT] Tawon Minyak Goreng 2 L</t>
        </is>
      </c>
      <c r="B1411" t="inlineStr"/>
      <c r="C1411" t="inlineStr">
        <is>
          <t>1%</t>
        </is>
      </c>
      <c r="D1411" t="n">
        <v>990000</v>
      </c>
      <c r="E1411" t="n">
        <v>1000000</v>
      </c>
      <c r="F1411" t="n">
        <v>990000</v>
      </c>
      <c r="G1411" t="n">
        <v>1000000</v>
      </c>
      <c r="H1411" t="n">
        <v>990000</v>
      </c>
      <c r="I1411" t="n">
        <v>1000000</v>
      </c>
      <c r="J1411" t="b">
        <v>0</v>
      </c>
      <c r="K1411" t="inlineStr">
        <is>
          <t>Unilever Indonesia Official Shop</t>
        </is>
      </c>
      <c r="L1411" t="inlineStr">
        <is>
          <t>KOTA BEKASI</t>
        </is>
      </c>
      <c r="M1411" t="n">
        <v>21757147232</v>
      </c>
      <c r="N1411" t="n">
        <v>14318452</v>
      </c>
      <c r="O1411">
        <f>HYPERLINK("https://shopee.co.id/api/v4/item/get?itemid=21757147232&amp;shopid=14318452", "[GIFT] Tawon Minyak Goreng 2 L")</f>
        <v/>
      </c>
      <c r="P1411" t="n">
        <v>921</v>
      </c>
      <c r="Q1411" t="n">
        <v>1385</v>
      </c>
      <c r="R1411" t="n">
        <v>4.875113947128533</v>
      </c>
      <c r="S1411" t="n">
        <v>12</v>
      </c>
      <c r="T1411" t="n">
        <v>4</v>
      </c>
      <c r="U1411" t="n">
        <v>11</v>
      </c>
      <c r="V1411" t="n">
        <v>55</v>
      </c>
      <c r="W1411" t="n">
        <v>1019</v>
      </c>
    </row>
    <row r="1412">
      <c r="A1412" t="inlineStr">
        <is>
          <t>Buy 2 Pepsodent Toothpaste Kids 50G FREE Buku Gambar</t>
        </is>
      </c>
      <c r="B1412" t="inlineStr"/>
      <c r="C1412" t="inlineStr">
        <is>
          <t>23%</t>
        </is>
      </c>
      <c r="D1412" t="n">
        <v>10700</v>
      </c>
      <c r="E1412" t="n">
        <v>13900</v>
      </c>
      <c r="F1412" t="n">
        <v>10700</v>
      </c>
      <c r="G1412" t="n">
        <v>13900</v>
      </c>
      <c r="H1412" t="n">
        <v>10700</v>
      </c>
      <c r="I1412" t="n">
        <v>13900</v>
      </c>
      <c r="J1412" t="b">
        <v>0</v>
      </c>
      <c r="K1412" t="inlineStr">
        <is>
          <t>Unilever Indonesia Official Shop</t>
        </is>
      </c>
      <c r="L1412" t="inlineStr">
        <is>
          <t>KOTA BEKASI</t>
        </is>
      </c>
      <c r="M1412" t="n">
        <v>19945435815</v>
      </c>
      <c r="N1412" t="n">
        <v>14318452</v>
      </c>
      <c r="O1412">
        <f>HYPERLINK("https://shopee.co.id/api/v4/item/get?itemid=19945435815&amp;shopid=14318452", "Buy 2 Pepsodent Toothpaste Kids 50G FREE Buku Gambar")</f>
        <v/>
      </c>
      <c r="P1412" t="n">
        <v>890</v>
      </c>
      <c r="Q1412" t="n">
        <v>303</v>
      </c>
      <c r="R1412" t="n">
        <v>4.915159944367177</v>
      </c>
      <c r="S1412" t="n">
        <v>3</v>
      </c>
      <c r="T1412" t="n">
        <v>2</v>
      </c>
      <c r="U1412" t="n">
        <v>2</v>
      </c>
      <c r="V1412" t="n">
        <v>39</v>
      </c>
      <c r="W1412" t="n">
        <v>673</v>
      </c>
    </row>
    <row r="1413">
      <c r="A1413" t="inlineStr">
        <is>
          <t>Ponds Age Miracle Day &amp; Night Cream Pelembab Anti-Aging Retinol &amp; Niacinamide Free Face Wash</t>
        </is>
      </c>
      <c r="B1413" t="inlineStr"/>
      <c r="C1413" t="inlineStr">
        <is>
          <t>17%</t>
        </is>
      </c>
      <c r="D1413" t="n">
        <v>306300</v>
      </c>
      <c r="E1413" t="n">
        <v>367800</v>
      </c>
      <c r="F1413" t="n">
        <v>306300</v>
      </c>
      <c r="G1413" t="n">
        <v>367800</v>
      </c>
      <c r="H1413" t="n">
        <v>306300</v>
      </c>
      <c r="I1413" t="n">
        <v>367800</v>
      </c>
      <c r="J1413" t="b">
        <v>0</v>
      </c>
      <c r="K1413" t="inlineStr">
        <is>
          <t>Unilever Indonesia Official Shop</t>
        </is>
      </c>
      <c r="L1413" t="inlineStr">
        <is>
          <t>KOTA BEKASI</t>
        </is>
      </c>
      <c r="M1413" t="n">
        <v>21343267566</v>
      </c>
      <c r="N1413" t="n">
        <v>14318452</v>
      </c>
      <c r="O1413">
        <f>HYPERLINK("https://shopee.co.id/api/v4/item/get?itemid=21343267566&amp;shopid=14318452", "Ponds Age Miracle Day &amp; Night Cream Pelembab Anti-Aging Retinol &amp; Niacinamide Free Face Wash")</f>
        <v/>
      </c>
      <c r="P1413" t="n">
        <v>879</v>
      </c>
      <c r="Q1413" t="n">
        <v>326</v>
      </c>
      <c r="R1413" t="n">
        <v>4.939189189189189</v>
      </c>
      <c r="S1413" t="n">
        <v>3</v>
      </c>
      <c r="T1413" t="n">
        <v>1</v>
      </c>
      <c r="U1413" t="n">
        <v>0</v>
      </c>
      <c r="V1413" t="n">
        <v>30</v>
      </c>
      <c r="W1413" t="n">
        <v>709</v>
      </c>
    </row>
    <row r="1414">
      <c r="A1414" t="inlineStr">
        <is>
          <t>St Ives Face Scrub Blackhead Clearing Green Tea - 90 gr Exfoliating Scrub</t>
        </is>
      </c>
      <c r="B1414" t="inlineStr"/>
      <c r="C1414" t="inlineStr">
        <is>
          <t>5%</t>
        </is>
      </c>
      <c r="D1414" t="n">
        <v>38400</v>
      </c>
      <c r="E1414" t="n">
        <v>40300</v>
      </c>
      <c r="F1414" t="n">
        <v>38400</v>
      </c>
      <c r="G1414" t="n">
        <v>40300</v>
      </c>
      <c r="H1414" t="n">
        <v>38400</v>
      </c>
      <c r="I1414" t="n">
        <v>40300</v>
      </c>
      <c r="J1414" t="b">
        <v>0</v>
      </c>
      <c r="K1414" t="inlineStr">
        <is>
          <t>Unilever Indonesia Official Shop</t>
        </is>
      </c>
      <c r="L1414" t="inlineStr">
        <is>
          <t>KOTA BEKASI</t>
        </is>
      </c>
      <c r="M1414" t="n">
        <v>16289095346</v>
      </c>
      <c r="N1414" t="n">
        <v>14318452</v>
      </c>
      <c r="O1414">
        <f>HYPERLINK("https://shopee.co.id/api/v4/item/get?itemid=16289095346&amp;shopid=14318452", "St Ives Face Scrub Blackhead Clearing Green Tea - 90 gr Exfoliating Scrub")</f>
        <v/>
      </c>
      <c r="P1414" t="n">
        <v>822</v>
      </c>
      <c r="Q1414" t="n">
        <v>79</v>
      </c>
      <c r="R1414" t="n">
        <v>4.913525498891352</v>
      </c>
      <c r="S1414" t="n">
        <v>1</v>
      </c>
      <c r="T1414" t="n">
        <v>0</v>
      </c>
      <c r="U1414" t="n">
        <v>2</v>
      </c>
      <c r="V1414" t="n">
        <v>31</v>
      </c>
      <c r="W1414" t="n">
        <v>417</v>
      </c>
    </row>
    <row r="1415">
      <c r="A1415" t="inlineStr">
        <is>
          <t>Pepsodent Kids Pasta Gigi Strawberry</t>
        </is>
      </c>
      <c r="B1415" t="inlineStr"/>
      <c r="C1415" t="inlineStr">
        <is>
          <t>23%</t>
        </is>
      </c>
      <c r="D1415" t="n">
        <v>10700</v>
      </c>
      <c r="E1415" t="n">
        <v>13900</v>
      </c>
      <c r="F1415" t="n">
        <v>10700</v>
      </c>
      <c r="G1415" t="n">
        <v>13900</v>
      </c>
      <c r="H1415" t="n">
        <v>10700</v>
      </c>
      <c r="I1415" t="n">
        <v>13900</v>
      </c>
      <c r="J1415" t="b">
        <v>0</v>
      </c>
      <c r="K1415" t="inlineStr">
        <is>
          <t>Unilever Indonesia Official Shop</t>
        </is>
      </c>
      <c r="L1415" t="inlineStr">
        <is>
          <t>KOTA BEKASI</t>
        </is>
      </c>
      <c r="M1415" t="n">
        <v>14963450967</v>
      </c>
      <c r="N1415" t="n">
        <v>14318452</v>
      </c>
      <c r="O1415">
        <f>HYPERLINK("https://shopee.co.id/api/v4/item/get?itemid=14963450967&amp;shopid=14318452", "Pepsodent Kids Pasta Gigi Strawberry")</f>
        <v/>
      </c>
      <c r="P1415" t="n">
        <v>821</v>
      </c>
      <c r="Q1415" t="n">
        <v>10398</v>
      </c>
      <c r="R1415" t="n">
        <v>4.910684474123539</v>
      </c>
      <c r="S1415" t="n">
        <v>4</v>
      </c>
      <c r="T1415" t="n">
        <v>4</v>
      </c>
      <c r="U1415" t="n">
        <v>8</v>
      </c>
      <c r="V1415" t="n">
        <v>63</v>
      </c>
      <c r="W1415" t="n">
        <v>1119</v>
      </c>
    </row>
    <row r="1416">
      <c r="A1416" t="inlineStr">
        <is>
          <t>LUX SABUN CAIR SAKURA BLOOM REFILL 825ML Twinpack</t>
        </is>
      </c>
      <c r="B1416" t="inlineStr"/>
      <c r="C1416" t="inlineStr">
        <is>
          <t>35%</t>
        </is>
      </c>
      <c r="D1416" t="n">
        <v>75200</v>
      </c>
      <c r="E1416" t="n">
        <v>115100</v>
      </c>
      <c r="F1416" t="n">
        <v>75200</v>
      </c>
      <c r="G1416" t="n">
        <v>115100</v>
      </c>
      <c r="H1416" t="n">
        <v>75200</v>
      </c>
      <c r="I1416" t="n">
        <v>115100</v>
      </c>
      <c r="J1416" t="b">
        <v>0</v>
      </c>
      <c r="K1416" t="inlineStr">
        <is>
          <t>Unilever Indonesia Official Shop</t>
        </is>
      </c>
      <c r="L1416" t="inlineStr">
        <is>
          <t>KOTA BEKASI</t>
        </is>
      </c>
      <c r="M1416" t="n">
        <v>17425114260</v>
      </c>
      <c r="N1416" t="n">
        <v>14318452</v>
      </c>
      <c r="O1416">
        <f>HYPERLINK("https://shopee.co.id/api/v4/item/get?itemid=17425114260&amp;shopid=14318452", "LUX SABUN CAIR SAKURA BLOOM REFILL 825ML Twinpack")</f>
        <v/>
      </c>
      <c r="P1416" t="n">
        <v>816</v>
      </c>
      <c r="Q1416" t="n">
        <v>1866</v>
      </c>
      <c r="R1416" t="n">
        <v>4.895486935866983</v>
      </c>
      <c r="S1416" t="n">
        <v>4</v>
      </c>
      <c r="T1416" t="n">
        <v>6</v>
      </c>
      <c r="U1416" t="n">
        <v>6</v>
      </c>
      <c r="V1416" t="n">
        <v>42</v>
      </c>
      <c r="W1416" t="n">
        <v>784</v>
      </c>
    </row>
    <row r="1417">
      <c r="A1417" t="inlineStr">
        <is>
          <t>Dove Micellar Shampoo Hair Boost Nourishment Perawatan Rambut Rontok 430Ml</t>
        </is>
      </c>
      <c r="B1417" t="inlineStr"/>
      <c r="C1417" t="inlineStr">
        <is>
          <t>2%</t>
        </is>
      </c>
      <c r="D1417" t="n">
        <v>70700</v>
      </c>
      <c r="E1417" t="n">
        <v>72500</v>
      </c>
      <c r="F1417" t="n">
        <v>70700</v>
      </c>
      <c r="G1417" t="n">
        <v>72500</v>
      </c>
      <c r="H1417" t="n">
        <v>70700</v>
      </c>
      <c r="I1417" t="n">
        <v>72500</v>
      </c>
      <c r="J1417" t="b">
        <v>0</v>
      </c>
      <c r="K1417" t="inlineStr">
        <is>
          <t>Unilever Indonesia Official Shop</t>
        </is>
      </c>
      <c r="L1417" t="inlineStr">
        <is>
          <t>KOTA BEKASI</t>
        </is>
      </c>
      <c r="M1417" t="n">
        <v>16276653994</v>
      </c>
      <c r="N1417" t="n">
        <v>14318452</v>
      </c>
      <c r="O1417">
        <f>HYPERLINK("https://shopee.co.id/api/v4/item/get?itemid=16276653994&amp;shopid=14318452", "Dove Micellar Shampoo Hair Boost Nourishment Perawatan Rambut Rontok 430Ml")</f>
        <v/>
      </c>
      <c r="P1417" t="n">
        <v>796</v>
      </c>
      <c r="Q1417" t="n">
        <v>1375</v>
      </c>
      <c r="R1417" t="n">
        <v>4.721871049304678</v>
      </c>
      <c r="S1417" t="n">
        <v>37</v>
      </c>
      <c r="T1417" t="n">
        <v>26</v>
      </c>
      <c r="U1417" t="n">
        <v>49</v>
      </c>
      <c r="V1417" t="n">
        <v>120</v>
      </c>
      <c r="W1417" t="n">
        <v>1351</v>
      </c>
    </row>
    <row r="1418">
      <c r="A1418" t="inlineStr">
        <is>
          <t>Axe Pocket Fragrance Black Parfum Saku 17ml</t>
        </is>
      </c>
      <c r="B1418" t="inlineStr"/>
      <c r="C1418" t="inlineStr">
        <is>
          <t>1%</t>
        </is>
      </c>
      <c r="D1418" t="n">
        <v>14900</v>
      </c>
      <c r="E1418" t="n">
        <v>15000</v>
      </c>
      <c r="F1418" t="n">
        <v>14900</v>
      </c>
      <c r="G1418" t="n">
        <v>15000</v>
      </c>
      <c r="H1418" t="n">
        <v>14900</v>
      </c>
      <c r="I1418" t="n">
        <v>15000</v>
      </c>
      <c r="J1418" t="b">
        <v>0</v>
      </c>
      <c r="K1418" t="inlineStr">
        <is>
          <t>Unilever Indonesia Official Shop</t>
        </is>
      </c>
      <c r="L1418" t="inlineStr">
        <is>
          <t>KOTA BEKASI</t>
        </is>
      </c>
      <c r="M1418" t="n">
        <v>17684514636</v>
      </c>
      <c r="N1418" t="n">
        <v>14318452</v>
      </c>
      <c r="O1418">
        <f>HYPERLINK("https://shopee.co.id/api/v4/item/get?itemid=17684514636&amp;shopid=14318452", "Axe Pocket Fragrance Black Parfum Saku 17ml")</f>
        <v/>
      </c>
      <c r="P1418" t="n">
        <v>746</v>
      </c>
      <c r="Q1418" t="n">
        <v>394</v>
      </c>
      <c r="R1418" t="n">
        <v>4.849293563579278</v>
      </c>
      <c r="S1418" t="n">
        <v>2</v>
      </c>
      <c r="T1418" t="n">
        <v>1</v>
      </c>
      <c r="U1418" t="n">
        <v>17</v>
      </c>
      <c r="V1418" t="n">
        <v>51</v>
      </c>
      <c r="W1418" t="n">
        <v>566</v>
      </c>
    </row>
    <row r="1419">
      <c r="A1419" t="inlineStr">
        <is>
          <t>Pepsodent Double Care Clean Multipack Isi 3</t>
        </is>
      </c>
      <c r="B1419" t="inlineStr"/>
      <c r="C1419" t="inlineStr">
        <is>
          <t>22%</t>
        </is>
      </c>
      <c r="D1419" t="n">
        <v>22600</v>
      </c>
      <c r="E1419" t="n">
        <v>28800</v>
      </c>
      <c r="F1419" t="n">
        <v>22600</v>
      </c>
      <c r="G1419" t="n">
        <v>28800</v>
      </c>
      <c r="H1419" t="n">
        <v>22600</v>
      </c>
      <c r="I1419" t="n">
        <v>28800</v>
      </c>
      <c r="J1419" t="b">
        <v>0</v>
      </c>
      <c r="K1419" t="inlineStr">
        <is>
          <t>Unilever Indonesia Official Shop</t>
        </is>
      </c>
      <c r="L1419" t="inlineStr">
        <is>
          <t>KOTA BEKASI</t>
        </is>
      </c>
      <c r="M1419" t="n">
        <v>21208814341</v>
      </c>
      <c r="N1419" t="n">
        <v>14318452</v>
      </c>
      <c r="O1419">
        <f>HYPERLINK("https://shopee.co.id/api/v4/item/get?itemid=21208814341&amp;shopid=14318452", "Pepsodent Double Care Clean Multipack Isi 3")</f>
        <v/>
      </c>
      <c r="P1419" t="n">
        <v>738</v>
      </c>
      <c r="Q1419" t="n">
        <v>643</v>
      </c>
      <c r="R1419" t="n">
        <v>4.73816155988858</v>
      </c>
      <c r="S1419" t="n">
        <v>17</v>
      </c>
      <c r="T1419" t="n">
        <v>7</v>
      </c>
      <c r="U1419" t="n">
        <v>25</v>
      </c>
      <c r="V1419" t="n">
        <v>49</v>
      </c>
      <c r="W1419" t="n">
        <v>620</v>
      </c>
    </row>
    <row r="1420">
      <c r="A1420" t="inlineStr">
        <is>
          <t>St. Ives Fresh Skin Apricot Face Scrub - 90 gr Wajah Glowing Alami</t>
        </is>
      </c>
      <c r="B1420" t="inlineStr"/>
      <c r="C1420" t="inlineStr">
        <is>
          <t>5%</t>
        </is>
      </c>
      <c r="D1420" t="n">
        <v>38100</v>
      </c>
      <c r="E1420" t="n">
        <v>40300</v>
      </c>
      <c r="F1420" t="n">
        <v>38100</v>
      </c>
      <c r="G1420" t="n">
        <v>40300</v>
      </c>
      <c r="H1420" t="n">
        <v>38100</v>
      </c>
      <c r="I1420" t="n">
        <v>40300</v>
      </c>
      <c r="J1420" t="b">
        <v>0</v>
      </c>
      <c r="K1420" t="inlineStr">
        <is>
          <t>Unilever Indonesia Official Shop</t>
        </is>
      </c>
      <c r="L1420" t="inlineStr">
        <is>
          <t>KOTA BEKASI</t>
        </is>
      </c>
      <c r="M1420" t="n">
        <v>20660032339</v>
      </c>
      <c r="N1420" t="n">
        <v>14318452</v>
      </c>
      <c r="O1420">
        <f>HYPERLINK("https://shopee.co.id/api/v4/item/get?itemid=20660032339&amp;shopid=14318452", "St. Ives Fresh Skin Apricot Face Scrub - 90 gr Wajah Glowing Alami")</f>
        <v/>
      </c>
      <c r="P1420" t="n">
        <v>716</v>
      </c>
      <c r="Q1420" t="n">
        <v>158</v>
      </c>
      <c r="R1420" t="n">
        <v>4.932975871313673</v>
      </c>
      <c r="S1420" t="n">
        <v>0</v>
      </c>
      <c r="T1420" t="n">
        <v>1</v>
      </c>
      <c r="U1420" t="n">
        <v>3</v>
      </c>
      <c r="V1420" t="n">
        <v>16</v>
      </c>
      <c r="W1420" t="n">
        <v>353</v>
      </c>
    </row>
    <row r="1421">
      <c r="A1421" t="inlineStr">
        <is>
          <t>Vaseline Hijab Bright Nourishing Body Serum Omega Night Renew Relaxing Perfume Hyaluron Collagen</t>
        </is>
      </c>
      <c r="B1421" t="inlineStr"/>
      <c r="C1421" t="inlineStr">
        <is>
          <t>15%</t>
        </is>
      </c>
      <c r="D1421" t="n">
        <v>30900</v>
      </c>
      <c r="E1421" t="n">
        <v>36500</v>
      </c>
      <c r="F1421" t="n">
        <v>30900</v>
      </c>
      <c r="G1421" t="n">
        <v>36500</v>
      </c>
      <c r="H1421" t="n">
        <v>30900</v>
      </c>
      <c r="I1421" t="n">
        <v>36500</v>
      </c>
      <c r="J1421" t="b">
        <v>0</v>
      </c>
      <c r="K1421" t="inlineStr">
        <is>
          <t>Unilever Indonesia Official Shop</t>
        </is>
      </c>
      <c r="L1421" t="inlineStr">
        <is>
          <t>KOTA BEKASI</t>
        </is>
      </c>
      <c r="M1421" t="n">
        <v>13882589772</v>
      </c>
      <c r="N1421" t="n">
        <v>14318452</v>
      </c>
      <c r="O1421">
        <f>HYPERLINK("https://shopee.co.id/api/v4/item/get?itemid=13882589772&amp;shopid=14318452", "Vaseline Hijab Bright Nourishing Body Serum Omega Night Renew Relaxing Perfume Hyaluron Collagen")</f>
        <v/>
      </c>
      <c r="P1421" t="n">
        <v>692</v>
      </c>
      <c r="Q1421" t="n">
        <v>2094</v>
      </c>
      <c r="R1421" t="n">
        <v>4.916243654822335</v>
      </c>
      <c r="S1421" t="n">
        <v>7</v>
      </c>
      <c r="T1421" t="n">
        <v>3</v>
      </c>
      <c r="U1421" t="n">
        <v>21</v>
      </c>
      <c r="V1421" t="n">
        <v>159</v>
      </c>
      <c r="W1421" t="n">
        <v>2570</v>
      </c>
    </row>
    <row r="1422">
      <c r="A1422" t="inlineStr">
        <is>
          <t>Buavita Mini Juice Jambu 125 ml</t>
        </is>
      </c>
      <c r="B1422" t="inlineStr"/>
      <c r="C1422" t="inlineStr">
        <is>
          <t>17%</t>
        </is>
      </c>
      <c r="D1422" t="n">
        <v>3500</v>
      </c>
      <c r="E1422" t="n">
        <v>4200</v>
      </c>
      <c r="F1422" t="n">
        <v>3500</v>
      </c>
      <c r="G1422" t="n">
        <v>4200</v>
      </c>
      <c r="H1422" t="n">
        <v>3500</v>
      </c>
      <c r="I1422" t="n">
        <v>4200</v>
      </c>
      <c r="J1422" t="b">
        <v>1</v>
      </c>
      <c r="K1422" t="inlineStr">
        <is>
          <t>Unilever Indonesia Official Shop</t>
        </is>
      </c>
      <c r="L1422" t="inlineStr">
        <is>
          <t>KOTA BEKASI</t>
        </is>
      </c>
      <c r="M1422" t="n">
        <v>3406451761</v>
      </c>
      <c r="N1422" t="n">
        <v>14318452</v>
      </c>
      <c r="O1422">
        <f>HYPERLINK("https://shopee.co.id/api/v4/item/get?itemid=3406451761&amp;shopid=14318452", "Buavita Mini Juice Jambu 125 ml")</f>
        <v/>
      </c>
      <c r="P1422" t="n">
        <v>678</v>
      </c>
      <c r="Q1422" t="n">
        <v>262</v>
      </c>
      <c r="R1422" t="n">
        <v>4.893129770992366</v>
      </c>
      <c r="S1422" t="n">
        <v>0</v>
      </c>
      <c r="T1422" t="n">
        <v>2</v>
      </c>
      <c r="U1422" t="n">
        <v>2</v>
      </c>
      <c r="V1422" t="n">
        <v>4</v>
      </c>
      <c r="W1422" t="n">
        <v>123</v>
      </c>
    </row>
    <row r="1423">
      <c r="A1423" t="inlineStr">
        <is>
          <t>LUX SABUN CAIR SAKURA BLOOM REFILL 825ML Twinpack</t>
        </is>
      </c>
      <c r="B1423" t="inlineStr"/>
      <c r="C1423" t="inlineStr">
        <is>
          <t>35%</t>
        </is>
      </c>
      <c r="D1423" t="n">
        <v>75200</v>
      </c>
      <c r="E1423" t="n">
        <v>115100</v>
      </c>
      <c r="F1423" t="n">
        <v>75200</v>
      </c>
      <c r="G1423" t="n">
        <v>115100</v>
      </c>
      <c r="H1423" t="n">
        <v>75200</v>
      </c>
      <c r="I1423" t="n">
        <v>115100</v>
      </c>
      <c r="J1423" t="b">
        <v>0</v>
      </c>
      <c r="K1423" t="inlineStr">
        <is>
          <t>Unilever Indonesia Official Shop</t>
        </is>
      </c>
      <c r="L1423" t="inlineStr">
        <is>
          <t>KOTA BEKASI</t>
        </is>
      </c>
      <c r="M1423" t="n">
        <v>16925118616</v>
      </c>
      <c r="N1423" t="n">
        <v>14318452</v>
      </c>
      <c r="O1423">
        <f>HYPERLINK("https://shopee.co.id/api/v4/item/get?itemid=16925118616&amp;shopid=14318452", "LUX SABUN CAIR SAKURA BLOOM REFILL 825ML Twinpack")</f>
        <v/>
      </c>
      <c r="P1423" t="n">
        <v>675</v>
      </c>
      <c r="Q1423" t="n">
        <v>1866</v>
      </c>
      <c r="R1423" t="n">
        <v>4.912101910828025</v>
      </c>
      <c r="S1423" t="n">
        <v>7</v>
      </c>
      <c r="T1423" t="n">
        <v>2</v>
      </c>
      <c r="U1423" t="n">
        <v>4</v>
      </c>
      <c r="V1423" t="n">
        <v>27</v>
      </c>
      <c r="W1423" t="n">
        <v>745</v>
      </c>
    </row>
    <row r="1424">
      <c r="A1424" t="inlineStr">
        <is>
          <t>[Buy 2 Get 1 Free] Buy 2 Vaseline UV Extra Brightening 400ml Get Soft Glow 100ml</t>
        </is>
      </c>
      <c r="B1424" t="inlineStr"/>
      <c r="C1424" t="inlineStr">
        <is>
          <t>14%</t>
        </is>
      </c>
      <c r="D1424" t="n">
        <v>121400</v>
      </c>
      <c r="E1424" t="n">
        <v>141800</v>
      </c>
      <c r="F1424" t="n">
        <v>121400</v>
      </c>
      <c r="G1424" t="n">
        <v>141800</v>
      </c>
      <c r="H1424" t="n">
        <v>121400</v>
      </c>
      <c r="I1424" t="n">
        <v>141800</v>
      </c>
      <c r="J1424" t="b">
        <v>0</v>
      </c>
      <c r="K1424" t="inlineStr">
        <is>
          <t>Unilever Indonesia Official Shop</t>
        </is>
      </c>
      <c r="L1424" t="inlineStr">
        <is>
          <t>KOTA BEKASI</t>
        </is>
      </c>
      <c r="M1424" t="n">
        <v>19659338478</v>
      </c>
      <c r="N1424" t="n">
        <v>14318452</v>
      </c>
      <c r="O1424">
        <f>HYPERLINK("https://shopee.co.id/api/v4/item/get?itemid=19659338478&amp;shopid=14318452", "[Buy 2 Get 1 Free] Buy 2 Vaseline UV Extra Brightening 400ml Get Soft Glow 100ml")</f>
        <v/>
      </c>
      <c r="P1424" t="n">
        <v>668</v>
      </c>
      <c r="Q1424" t="n">
        <v>1349</v>
      </c>
      <c r="R1424" t="n">
        <v>4.844331641285956</v>
      </c>
      <c r="S1424" t="n">
        <v>5</v>
      </c>
      <c r="T1424" t="n">
        <v>3</v>
      </c>
      <c r="U1424" t="n">
        <v>10</v>
      </c>
      <c r="V1424" t="n">
        <v>43</v>
      </c>
      <c r="W1424" t="n">
        <v>530</v>
      </c>
    </row>
    <row r="1425">
      <c r="A1425" t="inlineStr">
        <is>
          <t>AXE DEODORANT BODYSPRAY DARK TEMPTATION 135ML Twinpack</t>
        </is>
      </c>
      <c r="B1425" t="inlineStr"/>
      <c r="C1425" t="inlineStr">
        <is>
          <t>25%</t>
        </is>
      </c>
      <c r="D1425" t="n">
        <v>55500</v>
      </c>
      <c r="E1425" t="n">
        <v>74490</v>
      </c>
      <c r="F1425" t="n">
        <v>55500</v>
      </c>
      <c r="G1425" t="n">
        <v>74490</v>
      </c>
      <c r="H1425" t="n">
        <v>55500</v>
      </c>
      <c r="I1425" t="n">
        <v>74490</v>
      </c>
      <c r="J1425" t="b">
        <v>0</v>
      </c>
      <c r="K1425" t="inlineStr">
        <is>
          <t>Unilever Indonesia Official Shop</t>
        </is>
      </c>
      <c r="L1425" t="inlineStr">
        <is>
          <t>KOTA BEKASI</t>
        </is>
      </c>
      <c r="M1425" t="n">
        <v>10886851087</v>
      </c>
      <c r="N1425" t="n">
        <v>14318452</v>
      </c>
      <c r="O1425">
        <f>HYPERLINK("https://shopee.co.id/api/v4/item/get?itemid=10886851087&amp;shopid=14318452", "AXE DEODORANT BODYSPRAY DARK TEMPTATION 135ML Twinpack")</f>
        <v/>
      </c>
      <c r="P1425" t="n">
        <v>658</v>
      </c>
      <c r="Q1425" t="n">
        <v>1102</v>
      </c>
      <c r="R1425" t="n">
        <v>4.928390367553866</v>
      </c>
      <c r="S1425" t="n">
        <v>3</v>
      </c>
      <c r="T1425" t="n">
        <v>1</v>
      </c>
      <c r="U1425" t="n">
        <v>8</v>
      </c>
      <c r="V1425" t="n">
        <v>82</v>
      </c>
      <c r="W1425" t="n">
        <v>1484</v>
      </c>
    </row>
    <row r="1426">
      <c r="A1426" t="inlineStr">
        <is>
          <t>Zwitsal Baby Face &amp; Body Care Cream 50Gr - Krim Bayi - Twinpack</t>
        </is>
      </c>
      <c r="B1426" t="inlineStr"/>
      <c r="C1426" t="inlineStr">
        <is>
          <t>20%</t>
        </is>
      </c>
      <c r="D1426" t="n">
        <v>30000</v>
      </c>
      <c r="E1426" t="n">
        <v>37300</v>
      </c>
      <c r="F1426" t="n">
        <v>30000</v>
      </c>
      <c r="G1426" t="n">
        <v>37300</v>
      </c>
      <c r="H1426" t="n">
        <v>30000</v>
      </c>
      <c r="I1426" t="n">
        <v>37300</v>
      </c>
      <c r="J1426" t="b">
        <v>0</v>
      </c>
      <c r="K1426" t="inlineStr">
        <is>
          <t>Unilever Indonesia Official Shop</t>
        </is>
      </c>
      <c r="L1426" t="inlineStr">
        <is>
          <t>KOTA BEKASI</t>
        </is>
      </c>
      <c r="M1426" t="n">
        <v>17074857719</v>
      </c>
      <c r="N1426" t="n">
        <v>14318452</v>
      </c>
      <c r="O1426">
        <f>HYPERLINK("https://shopee.co.id/api/v4/item/get?itemid=17074857719&amp;shopid=14318452", "Zwitsal Baby Face &amp; Body Care Cream 50Gr - Krim Bayi - Twinpack")</f>
        <v/>
      </c>
      <c r="P1426" t="n">
        <v>633</v>
      </c>
      <c r="Q1426" t="n">
        <v>1403</v>
      </c>
      <c r="R1426" t="n">
        <v>4.912758996728463</v>
      </c>
      <c r="S1426" t="n">
        <v>3</v>
      </c>
      <c r="T1426" t="n">
        <v>2</v>
      </c>
      <c r="U1426" t="n">
        <v>2</v>
      </c>
      <c r="V1426" t="n">
        <v>58</v>
      </c>
      <c r="W1426" t="n">
        <v>852</v>
      </c>
    </row>
    <row r="1427">
      <c r="A1427" t="inlineStr">
        <is>
          <t>Rexona Women Antiperspirant Deodorant Hijab Peach &amp; Mint Cool Roll On 45ml​</t>
        </is>
      </c>
      <c r="B1427" t="inlineStr"/>
      <c r="C1427" t="inlineStr">
        <is>
          <t>1%</t>
        </is>
      </c>
      <c r="D1427" t="n">
        <v>23500</v>
      </c>
      <c r="E1427" t="n">
        <v>23700</v>
      </c>
      <c r="F1427" t="n">
        <v>23500</v>
      </c>
      <c r="G1427" t="n">
        <v>23700</v>
      </c>
      <c r="H1427" t="n">
        <v>23500</v>
      </c>
      <c r="I1427" t="n">
        <v>23700</v>
      </c>
      <c r="J1427" t="b">
        <v>0</v>
      </c>
      <c r="K1427" t="inlineStr">
        <is>
          <t>Unilever Indonesia Official Shop</t>
        </is>
      </c>
      <c r="L1427" t="inlineStr">
        <is>
          <t>KOTA BALIKPAPAN</t>
        </is>
      </c>
      <c r="M1427" t="n">
        <v>20843094106</v>
      </c>
      <c r="N1427" t="n">
        <v>14318452</v>
      </c>
      <c r="O1427">
        <f>HYPERLINK("https://shopee.co.id/api/v4/item/get?itemid=20843094106&amp;shopid=14318452", "Rexona Women Antiperspirant Deodorant Hijab Peach &amp; Mint Cool Roll On 45ml​")</f>
        <v/>
      </c>
      <c r="P1427" t="n">
        <v>623</v>
      </c>
      <c r="Q1427" t="n">
        <v>56</v>
      </c>
      <c r="R1427" t="n">
        <v>4.891176470588236</v>
      </c>
      <c r="S1427" t="n">
        <v>2</v>
      </c>
      <c r="T1427" t="n">
        <v>1</v>
      </c>
      <c r="U1427" t="n">
        <v>1</v>
      </c>
      <c r="V1427" t="n">
        <v>24</v>
      </c>
      <c r="W1427" t="n">
        <v>312</v>
      </c>
    </row>
    <row r="1428">
      <c r="A1428" t="inlineStr">
        <is>
          <t>Lux Body Wash Hijab Series Olive Honey 825ml</t>
        </is>
      </c>
      <c r="B1428" t="inlineStr"/>
      <c r="C1428" t="inlineStr">
        <is>
          <t>21%</t>
        </is>
      </c>
      <c r="D1428" t="n">
        <v>41300</v>
      </c>
      <c r="E1428" t="n">
        <v>52000</v>
      </c>
      <c r="F1428" t="n">
        <v>41300</v>
      </c>
      <c r="G1428" t="n">
        <v>52000</v>
      </c>
      <c r="H1428" t="n">
        <v>41300</v>
      </c>
      <c r="I1428" t="n">
        <v>52000</v>
      </c>
      <c r="J1428" t="b">
        <v>0</v>
      </c>
      <c r="K1428" t="inlineStr">
        <is>
          <t>Unilever Indonesia Official Shop</t>
        </is>
      </c>
      <c r="L1428" t="inlineStr">
        <is>
          <t>KOTA BEKASI</t>
        </is>
      </c>
      <c r="M1428" t="n">
        <v>14065070798</v>
      </c>
      <c r="N1428" t="n">
        <v>14318452</v>
      </c>
      <c r="O1428">
        <f>HYPERLINK("https://shopee.co.id/api/v4/item/get?itemid=14065070798&amp;shopid=14318452", "Lux Body Wash Hijab Series Olive Honey 825ml")</f>
        <v/>
      </c>
      <c r="P1428" t="n">
        <v>573</v>
      </c>
      <c r="Q1428" t="n">
        <v>1060</v>
      </c>
      <c r="R1428" t="n">
        <v>4.919715447154472</v>
      </c>
      <c r="S1428" t="n">
        <v>4</v>
      </c>
      <c r="T1428" t="n">
        <v>0</v>
      </c>
      <c r="U1428" t="n">
        <v>7</v>
      </c>
      <c r="V1428" t="n">
        <v>49</v>
      </c>
      <c r="W1428" t="n">
        <v>924</v>
      </c>
    </row>
    <row r="1429">
      <c r="A1429" t="inlineStr">
        <is>
          <t>Dove Micellar Shampoo Hair Boost Nourishment Perawatan Rambut Rontok 190Ml</t>
        </is>
      </c>
      <c r="B1429" t="inlineStr"/>
      <c r="C1429" t="inlineStr">
        <is>
          <t>2%</t>
        </is>
      </c>
      <c r="D1429" t="n">
        <v>40000</v>
      </c>
      <c r="E1429" t="n">
        <v>41000</v>
      </c>
      <c r="F1429" t="n">
        <v>40000</v>
      </c>
      <c r="G1429" t="n">
        <v>41000</v>
      </c>
      <c r="H1429" t="n">
        <v>40000</v>
      </c>
      <c r="I1429" t="n">
        <v>41000</v>
      </c>
      <c r="J1429" t="b">
        <v>0</v>
      </c>
      <c r="K1429" t="inlineStr">
        <is>
          <t>Unilever Indonesia Official Shop</t>
        </is>
      </c>
      <c r="L1429" t="inlineStr">
        <is>
          <t>KOTA BEKASI</t>
        </is>
      </c>
      <c r="M1429" t="n">
        <v>20614215996</v>
      </c>
      <c r="N1429" t="n">
        <v>14318452</v>
      </c>
      <c r="O1429">
        <f>HYPERLINK("https://shopee.co.id/api/v4/item/get?itemid=20614215996&amp;shopid=14318452", "Dove Micellar Shampoo Hair Boost Nourishment Perawatan Rambut Rontok 190Ml")</f>
        <v/>
      </c>
      <c r="P1429" t="n">
        <v>571</v>
      </c>
      <c r="Q1429" t="n">
        <v>769</v>
      </c>
      <c r="R1429" t="n">
        <v>4.902570233114166</v>
      </c>
      <c r="S1429" t="n">
        <v>4</v>
      </c>
      <c r="T1429" t="n">
        <v>1</v>
      </c>
      <c r="U1429" t="n">
        <v>21</v>
      </c>
      <c r="V1429" t="n">
        <v>102</v>
      </c>
      <c r="W1429" t="n">
        <v>1545</v>
      </c>
    </row>
    <row r="1430">
      <c r="A1430" t="inlineStr">
        <is>
          <t>2x Ponds Micellar Water Brightening Rose 100ml Get Reusable Cotton Pad</t>
        </is>
      </c>
      <c r="B1430" t="inlineStr"/>
      <c r="C1430" t="inlineStr">
        <is>
          <t>17%</t>
        </is>
      </c>
      <c r="D1430" t="n">
        <v>47100</v>
      </c>
      <c r="E1430" t="n">
        <v>57000</v>
      </c>
      <c r="F1430" t="n">
        <v>47100</v>
      </c>
      <c r="G1430" t="n">
        <v>57000</v>
      </c>
      <c r="H1430" t="n">
        <v>47100</v>
      </c>
      <c r="I1430" t="n">
        <v>57000</v>
      </c>
      <c r="J1430" t="b">
        <v>0</v>
      </c>
      <c r="K1430" t="inlineStr">
        <is>
          <t>Unilever Indonesia Official Shop</t>
        </is>
      </c>
      <c r="L1430" t="inlineStr">
        <is>
          <t>KOTA BEKASI</t>
        </is>
      </c>
      <c r="M1430" t="n">
        <v>17346349199</v>
      </c>
      <c r="N1430" t="n">
        <v>14318452</v>
      </c>
      <c r="O1430">
        <f>HYPERLINK("https://shopee.co.id/api/v4/item/get?itemid=17346349199&amp;shopid=14318452", "2x Ponds Micellar Water Brightening Rose 100ml Get Reusable Cotton Pad")</f>
        <v/>
      </c>
      <c r="P1430" t="n">
        <v>569</v>
      </c>
      <c r="Q1430" t="n">
        <v>58</v>
      </c>
      <c r="R1430" t="n">
        <v>4.658823529411765</v>
      </c>
      <c r="S1430" t="n">
        <v>17</v>
      </c>
      <c r="T1430" t="n">
        <v>16</v>
      </c>
      <c r="U1430" t="n">
        <v>29</v>
      </c>
      <c r="V1430" t="n">
        <v>61</v>
      </c>
      <c r="W1430" t="n">
        <v>558</v>
      </c>
    </row>
    <row r="1431">
      <c r="A1431" t="inlineStr">
        <is>
          <t>Sunsilk Conditioner Smoothies Rambut Lembut Soft &amp; Smooth Activ-Infusion 160 ml</t>
        </is>
      </c>
      <c r="B1431" t="inlineStr"/>
      <c r="C1431" t="inlineStr">
        <is>
          <t>16%</t>
        </is>
      </c>
      <c r="D1431" t="n">
        <v>27300</v>
      </c>
      <c r="E1431" t="n">
        <v>32500</v>
      </c>
      <c r="F1431" t="n">
        <v>27300</v>
      </c>
      <c r="G1431" t="n">
        <v>32500</v>
      </c>
      <c r="H1431" t="n">
        <v>27300</v>
      </c>
      <c r="I1431" t="n">
        <v>32500</v>
      </c>
      <c r="J1431" t="b">
        <v>0</v>
      </c>
      <c r="K1431" t="inlineStr">
        <is>
          <t>Unilever Indonesia Official Shop</t>
        </is>
      </c>
      <c r="L1431" t="inlineStr">
        <is>
          <t>KAB. BANYUASIN</t>
        </is>
      </c>
      <c r="M1431" t="n">
        <v>20757372858</v>
      </c>
      <c r="N1431" t="n">
        <v>14318452</v>
      </c>
      <c r="O1431">
        <f>HYPERLINK("https://shopee.co.id/api/v4/item/get?itemid=20757372858&amp;shopid=14318452", "Sunsilk Conditioner Smoothies Rambut Lembut Soft &amp; Smooth Activ-Infusion 160 ml")</f>
        <v/>
      </c>
      <c r="P1431" t="n">
        <v>568</v>
      </c>
      <c r="Q1431" t="n">
        <v>6</v>
      </c>
      <c r="R1431" t="n">
        <v>4.931147540983607</v>
      </c>
      <c r="S1431" t="n">
        <v>0</v>
      </c>
      <c r="T1431" t="n">
        <v>1</v>
      </c>
      <c r="U1431" t="n">
        <v>4</v>
      </c>
      <c r="V1431" t="n">
        <v>10</v>
      </c>
      <c r="W1431" t="n">
        <v>290</v>
      </c>
    </row>
    <row r="1432">
      <c r="A1432" t="inlineStr">
        <is>
          <t>Buy Sunlight Jeruk Nipis 910ml Get 3 Sunlight Korean Strawberry 80ml</t>
        </is>
      </c>
      <c r="B1432" t="inlineStr"/>
      <c r="C1432" t="inlineStr">
        <is>
          <t>28%</t>
        </is>
      </c>
      <c r="D1432" t="n">
        <v>21500</v>
      </c>
      <c r="E1432" t="n">
        <v>30000</v>
      </c>
      <c r="F1432" t="n">
        <v>21500</v>
      </c>
      <c r="G1432" t="n">
        <v>30000</v>
      </c>
      <c r="H1432" t="n">
        <v>21500</v>
      </c>
      <c r="I1432" t="n">
        <v>30000</v>
      </c>
      <c r="J1432" t="b">
        <v>0</v>
      </c>
      <c r="K1432" t="inlineStr">
        <is>
          <t>Unilever Indonesia Official Shop</t>
        </is>
      </c>
      <c r="L1432" t="inlineStr">
        <is>
          <t>KOTA BEKASI</t>
        </is>
      </c>
      <c r="M1432" t="n">
        <v>14995241403</v>
      </c>
      <c r="N1432" t="n">
        <v>14318452</v>
      </c>
      <c r="O1432">
        <f>HYPERLINK("https://shopee.co.id/api/v4/item/get?itemid=14995241403&amp;shopid=14318452", "Buy Sunlight Jeruk Nipis 910ml Get 3 Sunlight Korean Strawberry 80ml")</f>
        <v/>
      </c>
      <c r="P1432" t="n">
        <v>545</v>
      </c>
      <c r="Q1432" t="n">
        <v>8152</v>
      </c>
      <c r="R1432" t="n">
        <v>4.889400921658986</v>
      </c>
      <c r="S1432" t="n">
        <v>2</v>
      </c>
      <c r="T1432" t="n">
        <v>1</v>
      </c>
      <c r="U1432" t="n">
        <v>1</v>
      </c>
      <c r="V1432" t="n">
        <v>11</v>
      </c>
      <c r="W1432" t="n">
        <v>202</v>
      </c>
    </row>
    <row r="1433">
      <c r="A1433" t="inlineStr">
        <is>
          <t>Ponds Age Miracle Ultimate Youth Retinol &amp; Niacinamide Anti Aging Serum 30G</t>
        </is>
      </c>
      <c r="B1433" t="inlineStr"/>
      <c r="C1433" t="inlineStr">
        <is>
          <t>31%</t>
        </is>
      </c>
      <c r="D1433" t="n">
        <v>158000</v>
      </c>
      <c r="E1433" t="n">
        <v>230000</v>
      </c>
      <c r="F1433" t="n">
        <v>158000</v>
      </c>
      <c r="G1433" t="n">
        <v>230000</v>
      </c>
      <c r="H1433" t="n">
        <v>158000</v>
      </c>
      <c r="I1433" t="n">
        <v>230000</v>
      </c>
      <c r="J1433" t="b">
        <v>0</v>
      </c>
      <c r="K1433" t="inlineStr">
        <is>
          <t>Unilever Indonesia Official Shop</t>
        </is>
      </c>
      <c r="L1433" t="inlineStr">
        <is>
          <t>KOTA SEMARANG</t>
        </is>
      </c>
      <c r="M1433" t="n">
        <v>14487193902</v>
      </c>
      <c r="N1433" t="n">
        <v>14318452</v>
      </c>
      <c r="O1433">
        <f>HYPERLINK("https://shopee.co.id/api/v4/item/get?itemid=14487193902&amp;shopid=14318452", "Ponds Age Miracle Ultimate Youth Retinol &amp; Niacinamide Anti Aging Serum 30G")</f>
        <v/>
      </c>
      <c r="P1433" t="n">
        <v>541</v>
      </c>
      <c r="Q1433" t="n">
        <v>75</v>
      </c>
      <c r="R1433" t="n">
        <v>4.896604938271605</v>
      </c>
      <c r="S1433" t="n">
        <v>11</v>
      </c>
      <c r="T1433" t="n">
        <v>8</v>
      </c>
      <c r="U1433" t="n">
        <v>21</v>
      </c>
      <c r="V1433" t="n">
        <v>162</v>
      </c>
      <c r="W1433" t="n">
        <v>2391</v>
      </c>
    </row>
    <row r="1434">
      <c r="A1434" t="inlineStr">
        <is>
          <t>Buy 1 Vaseline Serum SPF30 180ml Get 1 Vaseline Lip Care Rosy Tinted</t>
        </is>
      </c>
      <c r="B1434" t="inlineStr"/>
      <c r="C1434" t="inlineStr">
        <is>
          <t>5%</t>
        </is>
      </c>
      <c r="D1434" t="n">
        <v>50100</v>
      </c>
      <c r="E1434" t="n">
        <v>52600</v>
      </c>
      <c r="F1434" t="n">
        <v>50100</v>
      </c>
      <c r="G1434" t="n">
        <v>52600</v>
      </c>
      <c r="H1434" t="n">
        <v>50100</v>
      </c>
      <c r="I1434" t="n">
        <v>52600</v>
      </c>
      <c r="J1434" t="b">
        <v>0</v>
      </c>
      <c r="K1434" t="inlineStr">
        <is>
          <t>Unilever Indonesia Official Shop</t>
        </is>
      </c>
      <c r="L1434" t="inlineStr">
        <is>
          <t>KOTA BEKASI</t>
        </is>
      </c>
      <c r="M1434" t="n">
        <v>17785073619</v>
      </c>
      <c r="N1434" t="n">
        <v>14318452</v>
      </c>
      <c r="O1434">
        <f>HYPERLINK("https://shopee.co.id/api/v4/item/get?itemid=17785073619&amp;shopid=14318452", "Buy 1 Vaseline Serum SPF30 180ml Get 1 Vaseline Lip Care Rosy Tinted")</f>
        <v/>
      </c>
      <c r="P1434" t="n">
        <v>529</v>
      </c>
      <c r="Q1434" t="n">
        <v>189</v>
      </c>
      <c r="R1434" t="n">
        <v>4.906557377049181</v>
      </c>
      <c r="S1434" t="n">
        <v>2</v>
      </c>
      <c r="T1434" t="n">
        <v>2</v>
      </c>
      <c r="U1434" t="n">
        <v>5</v>
      </c>
      <c r="V1434" t="n">
        <v>33</v>
      </c>
      <c r="W1434" t="n">
        <v>568</v>
      </c>
    </row>
    <row r="1435">
      <c r="A1435" t="inlineStr">
        <is>
          <t>Rinso Matic Professional Deterjen Laundry Kiloan Cair 4.5 L Jerigen (x2)</t>
        </is>
      </c>
      <c r="B1435" t="inlineStr"/>
      <c r="C1435" t="inlineStr">
        <is>
          <t>11%</t>
        </is>
      </c>
      <c r="D1435" t="n">
        <v>129200</v>
      </c>
      <c r="E1435" t="n">
        <v>145000</v>
      </c>
      <c r="F1435" t="n">
        <v>129200</v>
      </c>
      <c r="G1435" t="n">
        <v>145000</v>
      </c>
      <c r="H1435" t="n">
        <v>129200</v>
      </c>
      <c r="I1435" t="n">
        <v>145000</v>
      </c>
      <c r="J1435" t="b">
        <v>0</v>
      </c>
      <c r="K1435" t="inlineStr">
        <is>
          <t>Unilever Indonesia Official Shop</t>
        </is>
      </c>
      <c r="L1435" t="inlineStr">
        <is>
          <t>KOTA BEKASI</t>
        </is>
      </c>
      <c r="M1435" t="n">
        <v>19506583130</v>
      </c>
      <c r="N1435" t="n">
        <v>14318452</v>
      </c>
      <c r="O1435">
        <f>HYPERLINK("https://shopee.co.id/api/v4/item/get?itemid=19506583130&amp;shopid=14318452", "Rinso Matic Professional Deterjen Laundry Kiloan Cair 4.5 L Jerigen (x2)")</f>
        <v/>
      </c>
      <c r="P1435" t="n">
        <v>524</v>
      </c>
      <c r="Q1435" t="n">
        <v>1131</v>
      </c>
      <c r="R1435" t="n">
        <v>4.920231213872833</v>
      </c>
      <c r="S1435" t="n">
        <v>3</v>
      </c>
      <c r="T1435" t="n">
        <v>0</v>
      </c>
      <c r="U1435" t="n">
        <v>7</v>
      </c>
      <c r="V1435" t="n">
        <v>43</v>
      </c>
      <c r="W1435" t="n">
        <v>812</v>
      </c>
    </row>
    <row r="1436">
      <c r="A1436" t="inlineStr">
        <is>
          <t>Vaseline Hijab Bright Refreshing Body Serum SPF 20 PA++ Even Tone Energizing Perfume Hyaluron</t>
        </is>
      </c>
      <c r="B1436" t="inlineStr"/>
      <c r="C1436" t="inlineStr">
        <is>
          <t>15%</t>
        </is>
      </c>
      <c r="D1436" t="n">
        <v>30900</v>
      </c>
      <c r="E1436" t="n">
        <v>36500</v>
      </c>
      <c r="F1436" t="n">
        <v>30900</v>
      </c>
      <c r="G1436" t="n">
        <v>36500</v>
      </c>
      <c r="H1436" t="n">
        <v>30900</v>
      </c>
      <c r="I1436" t="n">
        <v>36500</v>
      </c>
      <c r="J1436" t="b">
        <v>0</v>
      </c>
      <c r="K1436" t="inlineStr">
        <is>
          <t>Unilever Indonesia Official Shop</t>
        </is>
      </c>
      <c r="L1436" t="inlineStr">
        <is>
          <t>KOTA SEMARANG</t>
        </is>
      </c>
      <c r="M1436" t="n">
        <v>17926625473</v>
      </c>
      <c r="N1436" t="n">
        <v>14318452</v>
      </c>
      <c r="O1436">
        <f>HYPERLINK("https://shopee.co.id/api/v4/item/get?itemid=17926625473&amp;shopid=14318452", "Vaseline Hijab Bright Refreshing Body Serum SPF 20 PA++ Even Tone Energizing Perfume Hyaluron")</f>
        <v/>
      </c>
      <c r="P1436" t="n">
        <v>514</v>
      </c>
      <c r="Q1436" t="n">
        <v>426</v>
      </c>
      <c r="R1436" t="n">
        <v>4.903826787512588</v>
      </c>
      <c r="S1436" t="n">
        <v>5</v>
      </c>
      <c r="T1436" t="n">
        <v>4</v>
      </c>
      <c r="U1436" t="n">
        <v>20</v>
      </c>
      <c r="V1436" t="n">
        <v>119</v>
      </c>
      <c r="W1436" t="n">
        <v>1838</v>
      </c>
    </row>
    <row r="1437">
      <c r="A1437" t="inlineStr">
        <is>
          <t>Multi Pack Rinso Cair 565ml + Molto Korean Strawberry 680ml</t>
        </is>
      </c>
      <c r="B1437" t="inlineStr"/>
      <c r="C1437" t="inlineStr">
        <is>
          <t>20%</t>
        </is>
      </c>
      <c r="D1437" t="n">
        <v>25700</v>
      </c>
      <c r="E1437" t="n">
        <v>32000</v>
      </c>
      <c r="F1437" t="n">
        <v>25700</v>
      </c>
      <c r="G1437" t="n">
        <v>32000</v>
      </c>
      <c r="H1437" t="n">
        <v>25700</v>
      </c>
      <c r="I1437" t="n">
        <v>32000</v>
      </c>
      <c r="J1437" t="b">
        <v>0</v>
      </c>
      <c r="K1437" t="inlineStr">
        <is>
          <t>Unilever Indonesia Official Shop</t>
        </is>
      </c>
      <c r="L1437" t="inlineStr">
        <is>
          <t>KOTA BEKASI</t>
        </is>
      </c>
      <c r="M1437" t="n">
        <v>15374191299</v>
      </c>
      <c r="N1437" t="n">
        <v>14318452</v>
      </c>
      <c r="O1437">
        <f>HYPERLINK("https://shopee.co.id/api/v4/item/get?itemid=15374191299&amp;shopid=14318452", "Multi Pack Rinso Cair 565ml + Molto Korean Strawberry 680ml")</f>
        <v/>
      </c>
      <c r="P1437" t="n">
        <v>491</v>
      </c>
      <c r="Q1437" t="n">
        <v>5696</v>
      </c>
      <c r="R1437" t="n">
        <v>4.915102040816326</v>
      </c>
      <c r="S1437" t="n">
        <v>4</v>
      </c>
      <c r="T1437" t="n">
        <v>1</v>
      </c>
      <c r="U1437" t="n">
        <v>8</v>
      </c>
      <c r="V1437" t="n">
        <v>69</v>
      </c>
      <c r="W1437" t="n">
        <v>1148</v>
      </c>
    </row>
    <row r="1438">
      <c r="A1438" t="inlineStr">
        <is>
          <t>Lifebuoy Shampoo Kuat &amp; Berkilau 900ML</t>
        </is>
      </c>
      <c r="B1438" t="inlineStr"/>
      <c r="C1438" t="inlineStr">
        <is>
          <t>1%</t>
        </is>
      </c>
      <c r="D1438" t="n">
        <v>68700</v>
      </c>
      <c r="E1438" t="n">
        <v>69300</v>
      </c>
      <c r="F1438" t="n">
        <v>68700</v>
      </c>
      <c r="G1438" t="n">
        <v>69300</v>
      </c>
      <c r="H1438" t="n">
        <v>68700</v>
      </c>
      <c r="I1438" t="n">
        <v>69300</v>
      </c>
      <c r="J1438" t="b">
        <v>0</v>
      </c>
      <c r="K1438" t="inlineStr">
        <is>
          <t>Unilever Indonesia Official Shop</t>
        </is>
      </c>
      <c r="L1438" t="inlineStr">
        <is>
          <t>KOTA SURABAYA</t>
        </is>
      </c>
      <c r="M1438" t="n">
        <v>22301268982</v>
      </c>
      <c r="N1438" t="n">
        <v>14318452</v>
      </c>
      <c r="O1438">
        <f>HYPERLINK("https://shopee.co.id/api/v4/item/get?itemid=22301268982&amp;shopid=14318452", "Lifebuoy Shampoo Kuat &amp; Berkilau 900ML")</f>
        <v/>
      </c>
      <c r="P1438" t="n">
        <v>461</v>
      </c>
      <c r="Q1438" t="n">
        <v>11</v>
      </c>
      <c r="R1438" t="n">
        <v>4.968503937007874</v>
      </c>
      <c r="S1438" t="n">
        <v>0</v>
      </c>
      <c r="T1438" t="n">
        <v>0</v>
      </c>
      <c r="U1438" t="n">
        <v>0</v>
      </c>
      <c r="V1438" t="n">
        <v>4</v>
      </c>
      <c r="W1438" t="n">
        <v>123</v>
      </c>
    </row>
    <row r="1439">
      <c r="A1439" t="inlineStr">
        <is>
          <t>Buy Pepsodent Nanosoft Clean 3pcs + Nanosoft Clean 1pc FREE Lunchbox</t>
        </is>
      </c>
      <c r="B1439" t="inlineStr"/>
      <c r="C1439" t="inlineStr">
        <is>
          <t>22%</t>
        </is>
      </c>
      <c r="D1439" t="n">
        <v>42500</v>
      </c>
      <c r="E1439" t="n">
        <v>54250</v>
      </c>
      <c r="F1439" t="n">
        <v>42500</v>
      </c>
      <c r="G1439" t="n">
        <v>54250</v>
      </c>
      <c r="H1439" t="n">
        <v>42500</v>
      </c>
      <c r="I1439" t="n">
        <v>54250</v>
      </c>
      <c r="J1439" t="b">
        <v>0</v>
      </c>
      <c r="K1439" t="inlineStr">
        <is>
          <t>Unilever Indonesia Official Shop</t>
        </is>
      </c>
      <c r="L1439" t="inlineStr">
        <is>
          <t>KOTA BEKASI</t>
        </is>
      </c>
      <c r="M1439" t="n">
        <v>19157168861</v>
      </c>
      <c r="N1439" t="n">
        <v>14318452</v>
      </c>
      <c r="O1439">
        <f>HYPERLINK("https://shopee.co.id/api/v4/item/get?itemid=19157168861&amp;shopid=14318452", "Buy Pepsodent Nanosoft Clean 3pcs + Nanosoft Clean 1pc FREE Lunchbox")</f>
        <v/>
      </c>
      <c r="P1439" t="n">
        <v>445</v>
      </c>
      <c r="Q1439" t="n">
        <v>326</v>
      </c>
      <c r="R1439" t="n">
        <v>4.857142857142857</v>
      </c>
      <c r="S1439" t="n">
        <v>2</v>
      </c>
      <c r="T1439" t="n">
        <v>0</v>
      </c>
      <c r="U1439" t="n">
        <v>0</v>
      </c>
      <c r="V1439" t="n">
        <v>16</v>
      </c>
      <c r="W1439" t="n">
        <v>150</v>
      </c>
    </row>
    <row r="1440">
      <c r="A1440" t="inlineStr">
        <is>
          <t>[Ponds Glow Up Stage Bundle] Ponds Age Miracle Complete Set Anti-Aging Retinol &amp; Niacinamide Free Eye Cream</t>
        </is>
      </c>
      <c r="B1440" t="inlineStr"/>
      <c r="C1440" t="inlineStr">
        <is>
          <t>17%</t>
        </is>
      </c>
      <c r="D1440" t="n">
        <v>571100</v>
      </c>
      <c r="E1440" t="n">
        <v>685800</v>
      </c>
      <c r="F1440" t="n">
        <v>571100</v>
      </c>
      <c r="G1440" t="n">
        <v>685800</v>
      </c>
      <c r="H1440" t="n">
        <v>571100</v>
      </c>
      <c r="I1440" t="n">
        <v>685800</v>
      </c>
      <c r="J1440" t="b">
        <v>0</v>
      </c>
      <c r="K1440" t="inlineStr">
        <is>
          <t>Unilever Indonesia Official Shop</t>
        </is>
      </c>
      <c r="L1440" t="inlineStr">
        <is>
          <t>KOTA BEKASI</t>
        </is>
      </c>
      <c r="M1440" t="n">
        <v>17484561594</v>
      </c>
      <c r="N1440" t="n">
        <v>14318452</v>
      </c>
      <c r="O1440">
        <f>HYPERLINK("https://shopee.co.id/api/v4/item/get?itemid=17484561594&amp;shopid=14318452", "[Ponds Glow Up Stage Bundle] Ponds Age Miracle Complete Set Anti-Aging Retinol &amp; Niacinamide Free Eye Cream")</f>
        <v/>
      </c>
      <c r="P1440" t="n">
        <v>433</v>
      </c>
      <c r="Q1440" t="n">
        <v>144</v>
      </c>
      <c r="R1440" t="n">
        <v>4.945720250521921</v>
      </c>
      <c r="S1440" t="n">
        <v>0</v>
      </c>
      <c r="T1440" t="n">
        <v>1</v>
      </c>
      <c r="U1440" t="n">
        <v>2</v>
      </c>
      <c r="V1440" t="n">
        <v>19</v>
      </c>
      <c r="W1440" t="n">
        <v>457</v>
      </c>
    </row>
    <row r="1441">
      <c r="A1441" t="inlineStr">
        <is>
          <t>Buy Sunlight Jeruk Nipis 650ml Get 2 Sunlight Korean Strawberry 80ml</t>
        </is>
      </c>
      <c r="B1441" t="inlineStr"/>
      <c r="C1441" t="inlineStr">
        <is>
          <t>28%</t>
        </is>
      </c>
      <c r="D1441" t="n">
        <v>15200</v>
      </c>
      <c r="E1441" t="n">
        <v>21000</v>
      </c>
      <c r="F1441" t="n">
        <v>15200</v>
      </c>
      <c r="G1441" t="n">
        <v>21000</v>
      </c>
      <c r="H1441" t="n">
        <v>15200</v>
      </c>
      <c r="I1441" t="n">
        <v>21000</v>
      </c>
      <c r="J1441" t="b">
        <v>0</v>
      </c>
      <c r="K1441" t="inlineStr">
        <is>
          <t>Unilever Indonesia Official Shop</t>
        </is>
      </c>
      <c r="L1441" t="inlineStr">
        <is>
          <t>KOTA BEKASI</t>
        </is>
      </c>
      <c r="M1441" t="n">
        <v>22007172267</v>
      </c>
      <c r="N1441" t="n">
        <v>14318452</v>
      </c>
      <c r="O1441">
        <f>HYPERLINK("https://shopee.co.id/api/v4/item/get?itemid=22007172267&amp;shopid=14318452", "Buy Sunlight Jeruk Nipis 650ml Get 2 Sunlight Korean Strawberry 80ml")</f>
        <v/>
      </c>
      <c r="P1441" t="n">
        <v>413</v>
      </c>
      <c r="Q1441" t="n">
        <v>3336</v>
      </c>
      <c r="R1441" t="n">
        <v>4.896774193548387</v>
      </c>
      <c r="S1441" t="n">
        <v>0</v>
      </c>
      <c r="T1441" t="n">
        <v>0</v>
      </c>
      <c r="U1441" t="n">
        <v>2</v>
      </c>
      <c r="V1441" t="n">
        <v>12</v>
      </c>
      <c r="W1441" t="n">
        <v>141</v>
      </c>
    </row>
    <row r="1442">
      <c r="A1442" t="inlineStr">
        <is>
          <t>[Buy 2 Get 1 Free] GLOW &amp; LOVELY Multi Vitamin FACIAL FOAM 100G</t>
        </is>
      </c>
      <c r="B1442" t="inlineStr"/>
      <c r="C1442" t="inlineStr">
        <is>
          <t>44%</t>
        </is>
      </c>
      <c r="D1442" t="n">
        <v>50700</v>
      </c>
      <c r="E1442" t="n">
        <v>89850</v>
      </c>
      <c r="F1442" t="n">
        <v>50700</v>
      </c>
      <c r="G1442" t="n">
        <v>89850</v>
      </c>
      <c r="H1442" t="n">
        <v>50700</v>
      </c>
      <c r="I1442" t="n">
        <v>89850</v>
      </c>
      <c r="J1442" t="b">
        <v>0</v>
      </c>
      <c r="K1442" t="inlineStr">
        <is>
          <t>Unilever Indonesia Official Shop</t>
        </is>
      </c>
      <c r="L1442" t="inlineStr">
        <is>
          <t>KOTA PEKANBARU</t>
        </is>
      </c>
      <c r="M1442" t="n">
        <v>23809908442</v>
      </c>
      <c r="N1442" t="n">
        <v>14318452</v>
      </c>
      <c r="O1442">
        <f>HYPERLINK("https://shopee.co.id/api/v4/item/get?itemid=23809908442&amp;shopid=14318452", "[Buy 2 Get 1 Free] GLOW &amp; LOVELY Multi Vitamin FACIAL FOAM 100G")</f>
        <v/>
      </c>
      <c r="P1442" t="n">
        <v>410</v>
      </c>
      <c r="Q1442" t="n">
        <v>2</v>
      </c>
      <c r="R1442" t="n">
        <v>4.884615384615385</v>
      </c>
      <c r="S1442" t="n">
        <v>0</v>
      </c>
      <c r="T1442" t="n">
        <v>0</v>
      </c>
      <c r="U1442" t="n">
        <v>1</v>
      </c>
      <c r="V1442" t="n">
        <v>4</v>
      </c>
      <c r="W1442" t="n">
        <v>47</v>
      </c>
    </row>
    <row r="1443">
      <c r="A1443" t="inlineStr">
        <is>
          <t>Beli 2 Dove Super Shampoo 3-in-1 FREE Dove Super Conditoner Damage Repair 70ml</t>
        </is>
      </c>
      <c r="B1443" t="inlineStr"/>
      <c r="C1443" t="inlineStr">
        <is>
          <t>15%</t>
        </is>
      </c>
      <c r="D1443" t="n">
        <v>34100</v>
      </c>
      <c r="E1443" t="n">
        <v>40350</v>
      </c>
      <c r="F1443" t="n">
        <v>34100</v>
      </c>
      <c r="G1443" t="n">
        <v>40350</v>
      </c>
      <c r="H1443" t="n">
        <v>34100</v>
      </c>
      <c r="I1443" t="n">
        <v>40350</v>
      </c>
      <c r="J1443" t="b">
        <v>0</v>
      </c>
      <c r="K1443" t="inlineStr">
        <is>
          <t>Unilever Indonesia Official Shop</t>
        </is>
      </c>
      <c r="L1443" t="inlineStr">
        <is>
          <t>KOTA BEKASI</t>
        </is>
      </c>
      <c r="M1443" t="n">
        <v>23913283294</v>
      </c>
      <c r="N1443" t="n">
        <v>14318452</v>
      </c>
      <c r="O1443">
        <f>HYPERLINK("https://shopee.co.id/api/v4/item/get?itemid=23913283294&amp;shopid=14318452", "Beli 2 Dove Super Shampoo 3-in-1 FREE Dove Super Conditoner Damage Repair 70ml")</f>
        <v/>
      </c>
      <c r="P1443" t="n">
        <v>409</v>
      </c>
      <c r="Q1443" t="n">
        <v>733</v>
      </c>
      <c r="R1443" t="n">
        <v>4.902857142857143</v>
      </c>
      <c r="S1443" t="n">
        <v>2</v>
      </c>
      <c r="T1443" t="n">
        <v>0</v>
      </c>
      <c r="U1443" t="n">
        <v>1</v>
      </c>
      <c r="V1443" t="n">
        <v>7</v>
      </c>
      <c r="W1443" t="n">
        <v>165</v>
      </c>
    </row>
    <row r="1444">
      <c r="A1444" t="inlineStr">
        <is>
          <t>REXONA MEN MOTIONSENSE ANTI-PERSPIRANT INVISIBLE BLACK + WHITE 200ML</t>
        </is>
      </c>
      <c r="B1444" t="inlineStr"/>
      <c r="C1444" t="inlineStr">
        <is>
          <t>6%</t>
        </is>
      </c>
      <c r="D1444" t="n">
        <v>47300</v>
      </c>
      <c r="E1444" t="n">
        <v>50500</v>
      </c>
      <c r="F1444" t="n">
        <v>47300</v>
      </c>
      <c r="G1444" t="n">
        <v>50500</v>
      </c>
      <c r="H1444" t="n">
        <v>47300</v>
      </c>
      <c r="I1444" t="n">
        <v>50500</v>
      </c>
      <c r="J1444" t="b">
        <v>0</v>
      </c>
      <c r="K1444" t="inlineStr">
        <is>
          <t>Unilever Indonesia Official Shop</t>
        </is>
      </c>
      <c r="L1444" t="inlineStr">
        <is>
          <t>KOTA BEKASI</t>
        </is>
      </c>
      <c r="M1444" t="n">
        <v>20633818159</v>
      </c>
      <c r="N1444" t="n">
        <v>14318452</v>
      </c>
      <c r="O1444">
        <f>HYPERLINK("https://shopee.co.id/api/v4/item/get?itemid=20633818159&amp;shopid=14318452", "REXONA MEN MOTIONSENSE ANTI-PERSPIRANT INVISIBLE BLACK + WHITE 200ML")</f>
        <v/>
      </c>
      <c r="P1444" t="n">
        <v>407</v>
      </c>
      <c r="Q1444" t="n">
        <v>268</v>
      </c>
      <c r="R1444" t="n">
        <v>4.912149532710281</v>
      </c>
      <c r="S1444" t="n">
        <v>2</v>
      </c>
      <c r="T1444" t="n">
        <v>1</v>
      </c>
      <c r="U1444" t="n">
        <v>3</v>
      </c>
      <c r="V1444" t="n">
        <v>30</v>
      </c>
      <c r="W1444" t="n">
        <v>499</v>
      </c>
    </row>
    <row r="1445">
      <c r="A1445" t="inlineStr">
        <is>
          <t>Buy 2 Pepsodent Sensitive Mineral Exp Original FREE Food Canister</t>
        </is>
      </c>
      <c r="B1445" t="inlineStr"/>
      <c r="C1445" t="inlineStr">
        <is>
          <t>8%</t>
        </is>
      </c>
      <c r="D1445" t="n">
        <v>68600</v>
      </c>
      <c r="E1445" t="n">
        <v>74550</v>
      </c>
      <c r="F1445" t="n">
        <v>68600</v>
      </c>
      <c r="G1445" t="n">
        <v>74550</v>
      </c>
      <c r="H1445" t="n">
        <v>68600</v>
      </c>
      <c r="I1445" t="n">
        <v>74550</v>
      </c>
      <c r="J1445" t="b">
        <v>0</v>
      </c>
      <c r="K1445" t="inlineStr">
        <is>
          <t>Unilever Indonesia Official Shop</t>
        </is>
      </c>
      <c r="L1445" t="inlineStr">
        <is>
          <t>KOTA BEKASI</t>
        </is>
      </c>
      <c r="M1445" t="n">
        <v>20434567110</v>
      </c>
      <c r="N1445" t="n">
        <v>14318452</v>
      </c>
      <c r="O1445">
        <f>HYPERLINK("https://shopee.co.id/api/v4/item/get?itemid=20434567110&amp;shopid=14318452", "Buy 2 Pepsodent Sensitive Mineral Exp Original FREE Food Canister")</f>
        <v/>
      </c>
      <c r="P1445" t="n">
        <v>398</v>
      </c>
      <c r="Q1445" t="n">
        <v>8</v>
      </c>
      <c r="R1445" t="n">
        <v>4.930120481927711</v>
      </c>
      <c r="S1445" t="n">
        <v>1</v>
      </c>
      <c r="T1445" t="n">
        <v>1</v>
      </c>
      <c r="U1445" t="n">
        <v>3</v>
      </c>
      <c r="V1445" t="n">
        <v>16</v>
      </c>
      <c r="W1445" t="n">
        <v>394</v>
      </c>
    </row>
    <row r="1446">
      <c r="A1446" t="inlineStr">
        <is>
          <t>Ponds Men Ultra Bright Oil Fighter Facial Foam 100G</t>
        </is>
      </c>
      <c r="B1446" t="inlineStr"/>
      <c r="C1446" t="inlineStr">
        <is>
          <t>29%</t>
        </is>
      </c>
      <c r="D1446" t="n">
        <v>27600</v>
      </c>
      <c r="E1446" t="n">
        <v>39000</v>
      </c>
      <c r="F1446" t="n">
        <v>27600</v>
      </c>
      <c r="G1446" t="n">
        <v>39000</v>
      </c>
      <c r="H1446" t="n">
        <v>27600</v>
      </c>
      <c r="I1446" t="n">
        <v>39000</v>
      </c>
      <c r="J1446" t="b">
        <v>0</v>
      </c>
      <c r="K1446" t="inlineStr">
        <is>
          <t>Unilever Indonesia Official Shop</t>
        </is>
      </c>
      <c r="L1446" t="inlineStr">
        <is>
          <t>KOTA SURABAYA</t>
        </is>
      </c>
      <c r="M1446" t="n">
        <v>16487373414</v>
      </c>
      <c r="N1446" t="n">
        <v>14318452</v>
      </c>
      <c r="O1446">
        <f>HYPERLINK("https://shopee.co.id/api/v4/item/get?itemid=16487373414&amp;shopid=14318452", "Ponds Men Ultra Bright Oil Fighter Facial Foam 100G")</f>
        <v/>
      </c>
      <c r="P1446" t="n">
        <v>397</v>
      </c>
      <c r="Q1446" t="n">
        <v>18</v>
      </c>
      <c r="R1446" t="n">
        <v>4.88622754491018</v>
      </c>
      <c r="S1446" t="n">
        <v>1</v>
      </c>
      <c r="T1446" t="n">
        <v>1</v>
      </c>
      <c r="U1446" t="n">
        <v>5</v>
      </c>
      <c r="V1446" t="n">
        <v>21</v>
      </c>
      <c r="W1446" t="n">
        <v>306</v>
      </c>
    </row>
    <row r="1447">
      <c r="A1447" t="inlineStr">
        <is>
          <t>[GIFT] Nice Tissue Wajah Soft 2 x 200 sheets</t>
        </is>
      </c>
      <c r="B1447" t="inlineStr"/>
      <c r="C1447" t="inlineStr">
        <is>
          <t>1%</t>
        </is>
      </c>
      <c r="D1447" t="n">
        <v>990000</v>
      </c>
      <c r="E1447" t="n">
        <v>1000000</v>
      </c>
      <c r="F1447" t="n">
        <v>990000</v>
      </c>
      <c r="G1447" t="n">
        <v>1000000</v>
      </c>
      <c r="H1447" t="n">
        <v>990000</v>
      </c>
      <c r="I1447" t="n">
        <v>1000000</v>
      </c>
      <c r="J1447" t="b">
        <v>0</v>
      </c>
      <c r="K1447" t="inlineStr">
        <is>
          <t>Unilever Indonesia Official Shop</t>
        </is>
      </c>
      <c r="L1447" t="inlineStr">
        <is>
          <t>KOTA BEKASI</t>
        </is>
      </c>
      <c r="M1447" t="n">
        <v>21759591239</v>
      </c>
      <c r="N1447" t="n">
        <v>14318452</v>
      </c>
      <c r="O1447">
        <f>HYPERLINK("https://shopee.co.id/api/v4/item/get?itemid=21759591239&amp;shopid=14318452", "[GIFT] Nice Tissue Wajah Soft 2 x 200 sheets")</f>
        <v/>
      </c>
      <c r="P1447" t="n">
        <v>396</v>
      </c>
      <c r="Q1447" t="n">
        <v>9</v>
      </c>
      <c r="R1447" t="n">
        <v>4.903768115942029</v>
      </c>
      <c r="S1447" t="n">
        <v>16</v>
      </c>
      <c r="T1447" t="n">
        <v>3</v>
      </c>
      <c r="U1447" t="n">
        <v>12</v>
      </c>
      <c r="V1447" t="n">
        <v>69</v>
      </c>
      <c r="W1447" t="n">
        <v>1625</v>
      </c>
    </row>
    <row r="1448">
      <c r="A1448" t="inlineStr">
        <is>
          <t>Pond's Berry Glow Facial Foam 90G</t>
        </is>
      </c>
      <c r="B1448" t="inlineStr"/>
      <c r="C1448" t="inlineStr">
        <is>
          <t>3%</t>
        </is>
      </c>
      <c r="D1448" t="n">
        <v>30300</v>
      </c>
      <c r="E1448" t="n">
        <v>31100</v>
      </c>
      <c r="F1448" t="n">
        <v>30300</v>
      </c>
      <c r="G1448" t="n">
        <v>31100</v>
      </c>
      <c r="H1448" t="n">
        <v>30300</v>
      </c>
      <c r="I1448" t="n">
        <v>31100</v>
      </c>
      <c r="J1448" t="b">
        <v>0</v>
      </c>
      <c r="K1448" t="inlineStr">
        <is>
          <t>Unilever Indonesia Official Shop</t>
        </is>
      </c>
      <c r="L1448" t="inlineStr">
        <is>
          <t>KOTA SURABAYA</t>
        </is>
      </c>
      <c r="M1448" t="n">
        <v>21905830813</v>
      </c>
      <c r="N1448" t="n">
        <v>14318452</v>
      </c>
      <c r="O1448">
        <f>HYPERLINK("https://shopee.co.id/api/v4/item/get?itemid=21905830813&amp;shopid=14318452", "Pond's Berry Glow Facial Foam 90G")</f>
        <v/>
      </c>
      <c r="P1448" t="n">
        <v>390</v>
      </c>
      <c r="Q1448" t="n">
        <v>186</v>
      </c>
      <c r="R1448" t="n">
        <v>4.912568306010929</v>
      </c>
      <c r="S1448" t="n">
        <v>1</v>
      </c>
      <c r="T1448" t="n">
        <v>0</v>
      </c>
      <c r="U1448" t="n">
        <v>2</v>
      </c>
      <c r="V1448" t="n">
        <v>24</v>
      </c>
      <c r="W1448" t="n">
        <v>339</v>
      </c>
    </row>
    <row r="1449">
      <c r="A1449" t="inlineStr">
        <is>
          <t>Clear Shampo Anti Ketombe COMPLETE SOFT CARE Bersih total dengan Vitamin 1200ML</t>
        </is>
      </c>
      <c r="B1449" t="inlineStr"/>
      <c r="C1449" t="inlineStr">
        <is>
          <t>16%</t>
        </is>
      </c>
      <c r="D1449" t="n">
        <v>109200</v>
      </c>
      <c r="E1449" t="n">
        <v>130000</v>
      </c>
      <c r="F1449" t="n">
        <v>109200</v>
      </c>
      <c r="G1449" t="n">
        <v>130000</v>
      </c>
      <c r="H1449" t="n">
        <v>109200</v>
      </c>
      <c r="I1449" t="n">
        <v>130000</v>
      </c>
      <c r="J1449" t="b">
        <v>0</v>
      </c>
      <c r="K1449" t="inlineStr">
        <is>
          <t>Unilever Indonesia Official Shop</t>
        </is>
      </c>
      <c r="L1449" t="inlineStr">
        <is>
          <t>KOTA BEKASI</t>
        </is>
      </c>
      <c r="M1449" t="n">
        <v>14577915966</v>
      </c>
      <c r="N1449" t="n">
        <v>14318452</v>
      </c>
      <c r="O1449">
        <f>HYPERLINK("https://shopee.co.id/api/v4/item/get?itemid=14577915966&amp;shopid=14318452", "Clear Shampo Anti Ketombe COMPLETE SOFT CARE Bersih total dengan Vitamin 1200ML")</f>
        <v/>
      </c>
      <c r="P1449" t="n">
        <v>383</v>
      </c>
      <c r="Q1449" t="n">
        <v>91</v>
      </c>
      <c r="R1449" t="n">
        <v>4.921641791044777</v>
      </c>
      <c r="S1449" t="n">
        <v>2</v>
      </c>
      <c r="T1449" t="n">
        <v>2</v>
      </c>
      <c r="U1449" t="n">
        <v>1</v>
      </c>
      <c r="V1449" t="n">
        <v>26</v>
      </c>
      <c r="W1449" t="n">
        <v>505</v>
      </c>
    </row>
    <row r="1450">
      <c r="A1450" t="inlineStr">
        <is>
          <t>Vixal Professional Pembersih Kamar Mandi &amp; Porselen 2 L Jerigen</t>
        </is>
      </c>
      <c r="B1450" t="inlineStr"/>
      <c r="C1450" t="inlineStr">
        <is>
          <t>4%</t>
        </is>
      </c>
      <c r="D1450" t="n">
        <v>44200</v>
      </c>
      <c r="E1450" t="n">
        <v>46000</v>
      </c>
      <c r="F1450" t="n">
        <v>44200</v>
      </c>
      <c r="G1450" t="n">
        <v>46000</v>
      </c>
      <c r="H1450" t="n">
        <v>44200</v>
      </c>
      <c r="I1450" t="n">
        <v>46000</v>
      </c>
      <c r="J1450" t="b">
        <v>0</v>
      </c>
      <c r="K1450" t="inlineStr">
        <is>
          <t>Unilever Indonesia Official Shop</t>
        </is>
      </c>
      <c r="L1450" t="inlineStr">
        <is>
          <t>KOTA BEKASI</t>
        </is>
      </c>
      <c r="M1450" t="n">
        <v>16465128240</v>
      </c>
      <c r="N1450" t="n">
        <v>14318452</v>
      </c>
      <c r="O1450">
        <f>HYPERLINK("https://shopee.co.id/api/v4/item/get?itemid=16465128240&amp;shopid=14318452", "Vixal Professional Pembersih Kamar Mandi &amp; Porselen 2 L Jerigen")</f>
        <v/>
      </c>
      <c r="P1450" t="n">
        <v>376</v>
      </c>
      <c r="Q1450" t="n">
        <v>213</v>
      </c>
      <c r="R1450" t="n">
        <v>4.83756345177665</v>
      </c>
      <c r="S1450" t="n">
        <v>8</v>
      </c>
      <c r="T1450" t="n">
        <v>3</v>
      </c>
      <c r="U1450" t="n">
        <v>5</v>
      </c>
      <c r="V1450" t="n">
        <v>45</v>
      </c>
      <c r="W1450" t="n">
        <v>530</v>
      </c>
    </row>
    <row r="1451">
      <c r="A1451" t="inlineStr">
        <is>
          <t>Lux Body Wash Hijab Series Olive Honey 400ml</t>
        </is>
      </c>
      <c r="B1451" t="inlineStr"/>
      <c r="C1451" t="inlineStr"/>
      <c r="D1451" t="n">
        <v>31000</v>
      </c>
      <c r="E1451" t="n">
        <v>0</v>
      </c>
      <c r="F1451" t="n">
        <v>31000</v>
      </c>
      <c r="G1451" t="n">
        <v>-1e-05</v>
      </c>
      <c r="H1451" t="n">
        <v>31000</v>
      </c>
      <c r="I1451" t="n">
        <v>-1e-05</v>
      </c>
      <c r="J1451" t="b">
        <v>0</v>
      </c>
      <c r="K1451" t="inlineStr">
        <is>
          <t>Unilever Indonesia Official Shop</t>
        </is>
      </c>
      <c r="L1451" t="inlineStr">
        <is>
          <t>KOTA BEKASI</t>
        </is>
      </c>
      <c r="M1451" t="n">
        <v>13683020913</v>
      </c>
      <c r="N1451" t="n">
        <v>14318452</v>
      </c>
      <c r="O1451">
        <f>HYPERLINK("https://shopee.co.id/api/v4/item/get?itemid=13683020913&amp;shopid=14318452", "Lux Body Wash Hijab Series Olive Honey 400ml")</f>
        <v/>
      </c>
      <c r="P1451" t="n">
        <v>355</v>
      </c>
      <c r="Q1451" t="n">
        <v>355</v>
      </c>
      <c r="R1451" t="n">
        <v>4.901330376940133</v>
      </c>
      <c r="S1451" t="n">
        <v>6</v>
      </c>
      <c r="T1451" t="n">
        <v>1</v>
      </c>
      <c r="U1451" t="n">
        <v>9</v>
      </c>
      <c r="V1451" t="n">
        <v>44</v>
      </c>
      <c r="W1451" t="n">
        <v>842</v>
      </c>
    </row>
    <row r="1452">
      <c r="A1452" t="inlineStr">
        <is>
          <t>Twin Pack Citra Bengkoang 380ml FREE Citra Bengkoang 230ml</t>
        </is>
      </c>
      <c r="B1452" t="inlineStr"/>
      <c r="C1452" t="inlineStr">
        <is>
          <t>25%</t>
        </is>
      </c>
      <c r="D1452" t="n">
        <v>85500</v>
      </c>
      <c r="E1452" t="n">
        <v>113900</v>
      </c>
      <c r="F1452" t="n">
        <v>85500</v>
      </c>
      <c r="G1452" t="n">
        <v>113900</v>
      </c>
      <c r="H1452" t="n">
        <v>85500</v>
      </c>
      <c r="I1452" t="n">
        <v>113900</v>
      </c>
      <c r="J1452" t="b">
        <v>0</v>
      </c>
      <c r="K1452" t="inlineStr">
        <is>
          <t>Unilever Indonesia Official Shop</t>
        </is>
      </c>
      <c r="L1452" t="inlineStr">
        <is>
          <t>KOTA BEKASI</t>
        </is>
      </c>
      <c r="M1452" t="n">
        <v>19204605673</v>
      </c>
      <c r="N1452" t="n">
        <v>14318452</v>
      </c>
      <c r="O1452">
        <f>HYPERLINK("https://shopee.co.id/api/v4/item/get?itemid=19204605673&amp;shopid=14318452", "Twin Pack Citra Bengkoang 380ml FREE Citra Bengkoang 230ml")</f>
        <v/>
      </c>
      <c r="P1452" t="n">
        <v>349</v>
      </c>
      <c r="Q1452" t="n">
        <v>65</v>
      </c>
      <c r="R1452" t="n">
        <v>4.883299798792756</v>
      </c>
      <c r="S1452" t="n">
        <v>3</v>
      </c>
      <c r="T1452" t="n">
        <v>1</v>
      </c>
      <c r="U1452" t="n">
        <v>7</v>
      </c>
      <c r="V1452" t="n">
        <v>33</v>
      </c>
      <c r="W1452" t="n">
        <v>454</v>
      </c>
    </row>
    <row r="1453">
      <c r="A1453" t="inlineStr">
        <is>
          <t>Dove Deodorant Dry Serum Regenerate Care Collagen With Niacinamide 50ml Twin Pack</t>
        </is>
      </c>
      <c r="B1453" t="inlineStr"/>
      <c r="C1453" t="inlineStr">
        <is>
          <t>22%</t>
        </is>
      </c>
      <c r="D1453" t="n">
        <v>32900</v>
      </c>
      <c r="E1453" t="n">
        <v>42000</v>
      </c>
      <c r="F1453" t="n">
        <v>32900</v>
      </c>
      <c r="G1453" t="n">
        <v>42000</v>
      </c>
      <c r="H1453" t="n">
        <v>32900</v>
      </c>
      <c r="I1453" t="n">
        <v>42000</v>
      </c>
      <c r="J1453" t="b">
        <v>0</v>
      </c>
      <c r="K1453" t="inlineStr">
        <is>
          <t>Unilever Indonesia Official Shop</t>
        </is>
      </c>
      <c r="L1453" t="inlineStr">
        <is>
          <t>KOTA BEKASI</t>
        </is>
      </c>
      <c r="M1453" t="n">
        <v>19862469324</v>
      </c>
      <c r="N1453" t="n">
        <v>14318452</v>
      </c>
      <c r="O1453">
        <f>HYPERLINK("https://shopee.co.id/api/v4/item/get?itemid=19862469324&amp;shopid=14318452", "Dove Deodorant Dry Serum Regenerate Care Collagen With Niacinamide 50ml Twin Pack")</f>
        <v/>
      </c>
      <c r="P1453" t="n">
        <v>347</v>
      </c>
      <c r="Q1453" t="n">
        <v>1713</v>
      </c>
      <c r="R1453" t="n">
        <v>4.790322580645161</v>
      </c>
      <c r="S1453" t="n">
        <v>2</v>
      </c>
      <c r="T1453" t="n">
        <v>3</v>
      </c>
      <c r="U1453" t="n">
        <v>6</v>
      </c>
      <c r="V1453" t="n">
        <v>10</v>
      </c>
      <c r="W1453" t="n">
        <v>165</v>
      </c>
    </row>
    <row r="1454">
      <c r="A1454" t="inlineStr">
        <is>
          <t>Tresemme Keratin Smooth Shampoo Refill Pouch 900ml</t>
        </is>
      </c>
      <c r="B1454" t="inlineStr"/>
      <c r="C1454" t="inlineStr">
        <is>
          <t>25%</t>
        </is>
      </c>
      <c r="D1454" t="n">
        <v>86600</v>
      </c>
      <c r="E1454" t="n">
        <v>115000</v>
      </c>
      <c r="F1454" t="n">
        <v>86600</v>
      </c>
      <c r="G1454" t="n">
        <v>115000</v>
      </c>
      <c r="H1454" t="n">
        <v>86600</v>
      </c>
      <c r="I1454" t="n">
        <v>115000</v>
      </c>
      <c r="J1454" t="b">
        <v>0</v>
      </c>
      <c r="K1454" t="inlineStr">
        <is>
          <t>Unilever Indonesia Official Shop</t>
        </is>
      </c>
      <c r="L1454" t="inlineStr">
        <is>
          <t>KOTA BEKASI</t>
        </is>
      </c>
      <c r="M1454" t="n">
        <v>21753652483</v>
      </c>
      <c r="N1454" t="n">
        <v>14318452</v>
      </c>
      <c r="O1454">
        <f>HYPERLINK("https://shopee.co.id/api/v4/item/get?itemid=21753652483&amp;shopid=14318452", "Tresemme Keratin Smooth Shampoo Refill Pouch 900ml")</f>
        <v/>
      </c>
      <c r="P1454" t="n">
        <v>341</v>
      </c>
      <c r="Q1454" t="n">
        <v>510</v>
      </c>
      <c r="R1454" t="n">
        <v>4.890756302521009</v>
      </c>
      <c r="S1454" t="n">
        <v>2</v>
      </c>
      <c r="T1454" t="n">
        <v>2</v>
      </c>
      <c r="U1454" t="n">
        <v>1</v>
      </c>
      <c r="V1454" t="n">
        <v>10</v>
      </c>
      <c r="W1454" t="n">
        <v>223</v>
      </c>
    </row>
    <row r="1455">
      <c r="A1455" t="inlineStr">
        <is>
          <t>Sunlight Professional Sabun Cuci Piring Cair Jeruk Nipis 4.5 L Jerigen</t>
        </is>
      </c>
      <c r="B1455" t="inlineStr"/>
      <c r="C1455" t="inlineStr">
        <is>
          <t>20%</t>
        </is>
      </c>
      <c r="D1455" t="n">
        <v>94600</v>
      </c>
      <c r="E1455" t="n">
        <v>117900</v>
      </c>
      <c r="F1455" t="n">
        <v>94600</v>
      </c>
      <c r="G1455" t="n">
        <v>117900</v>
      </c>
      <c r="H1455" t="n">
        <v>94600</v>
      </c>
      <c r="I1455" t="n">
        <v>117900</v>
      </c>
      <c r="J1455" t="b">
        <v>0</v>
      </c>
      <c r="K1455" t="inlineStr">
        <is>
          <t>Unilever Indonesia Official Shop</t>
        </is>
      </c>
      <c r="L1455" t="inlineStr">
        <is>
          <t>KOTA BEKASI</t>
        </is>
      </c>
      <c r="M1455" t="n">
        <v>15282903504</v>
      </c>
      <c r="N1455" t="n">
        <v>14318452</v>
      </c>
      <c r="O1455">
        <f>HYPERLINK("https://shopee.co.id/api/v4/item/get?itemid=15282903504&amp;shopid=14318452", "Sunlight Professional Sabun Cuci Piring Cair Jeruk Nipis 4.5 L Jerigen")</f>
        <v/>
      </c>
      <c r="P1455" t="n">
        <v>333</v>
      </c>
      <c r="Q1455" t="n">
        <v>201</v>
      </c>
      <c r="R1455" t="n">
        <v>4.924335378323108</v>
      </c>
      <c r="S1455" t="n">
        <v>2</v>
      </c>
      <c r="T1455" t="n">
        <v>1</v>
      </c>
      <c r="U1455" t="n">
        <v>4</v>
      </c>
      <c r="V1455" t="n">
        <v>18</v>
      </c>
      <c r="W1455" t="n">
        <v>464</v>
      </c>
    </row>
    <row r="1456">
      <c r="A1456" t="inlineStr">
        <is>
          <t xml:space="preserve">Twin Pack Molto Korean Strawberry 680ml </t>
        </is>
      </c>
      <c r="B1456" t="inlineStr"/>
      <c r="C1456" t="inlineStr">
        <is>
          <t>23%</t>
        </is>
      </c>
      <c r="D1456" t="n">
        <v>39500</v>
      </c>
      <c r="E1456" t="n">
        <v>51300</v>
      </c>
      <c r="F1456" t="n">
        <v>39500</v>
      </c>
      <c r="G1456" t="n">
        <v>51300</v>
      </c>
      <c r="H1456" t="n">
        <v>39500</v>
      </c>
      <c r="I1456" t="n">
        <v>51300</v>
      </c>
      <c r="J1456" t="b">
        <v>0</v>
      </c>
      <c r="K1456" t="inlineStr">
        <is>
          <t>Unilever Indonesia Official Shop</t>
        </is>
      </c>
      <c r="L1456" t="inlineStr">
        <is>
          <t>KOTA BEKASI</t>
        </is>
      </c>
      <c r="M1456" t="n">
        <v>15974260837</v>
      </c>
      <c r="N1456" t="n">
        <v>14318452</v>
      </c>
      <c r="O1456">
        <f>HYPERLINK("https://shopee.co.id/api/v4/item/get?itemid=15974260837&amp;shopid=14318452", "Twin Pack Molto Korean Strawberry 680ml ")</f>
        <v/>
      </c>
      <c r="P1456" t="n">
        <v>331</v>
      </c>
      <c r="Q1456" t="n">
        <v>3202</v>
      </c>
      <c r="R1456" t="n">
        <v>4.928807339449541</v>
      </c>
      <c r="S1456" t="n">
        <v>7</v>
      </c>
      <c r="T1456" t="n">
        <v>5</v>
      </c>
      <c r="U1456" t="n">
        <v>22</v>
      </c>
      <c r="V1456" t="n">
        <v>107</v>
      </c>
      <c r="W1456" t="n">
        <v>2584</v>
      </c>
    </row>
    <row r="1457">
      <c r="A1457" t="inlineStr">
        <is>
          <t>Buy 2 Rexona Teens Glowing FREE Popsocket</t>
        </is>
      </c>
      <c r="B1457" t="inlineStr"/>
      <c r="C1457" t="inlineStr">
        <is>
          <t>39%</t>
        </is>
      </c>
      <c r="D1457" t="n">
        <v>32300</v>
      </c>
      <c r="E1457" t="n">
        <v>52900</v>
      </c>
      <c r="F1457" t="n">
        <v>32300</v>
      </c>
      <c r="G1457" t="n">
        <v>52900</v>
      </c>
      <c r="H1457" t="n">
        <v>32300</v>
      </c>
      <c r="I1457" t="n">
        <v>52900</v>
      </c>
      <c r="J1457" t="b">
        <v>0</v>
      </c>
      <c r="K1457" t="inlineStr">
        <is>
          <t>Unilever Indonesia Official Shop</t>
        </is>
      </c>
      <c r="L1457" t="inlineStr">
        <is>
          <t>KOTA BEKASI</t>
        </is>
      </c>
      <c r="M1457" t="n">
        <v>21806724786</v>
      </c>
      <c r="N1457" t="n">
        <v>14318452</v>
      </c>
      <c r="O1457">
        <f>HYPERLINK("https://shopee.co.id/api/v4/item/get?itemid=21806724786&amp;shopid=14318452", "Buy 2 Rexona Teens Glowing FREE Popsocket")</f>
        <v/>
      </c>
      <c r="P1457" t="n">
        <v>304</v>
      </c>
      <c r="Q1457" t="n">
        <v>2207</v>
      </c>
      <c r="R1457" t="n">
        <v>4.912398921832884</v>
      </c>
      <c r="S1457" t="n">
        <v>2</v>
      </c>
      <c r="T1457" t="n">
        <v>2</v>
      </c>
      <c r="U1457" t="n">
        <v>5</v>
      </c>
      <c r="V1457" t="n">
        <v>41</v>
      </c>
      <c r="W1457" t="n">
        <v>692</v>
      </c>
    </row>
    <row r="1458">
      <c r="A1458" t="inlineStr">
        <is>
          <t>Molto Pelembut dan Pewangi Parfum Boost Japanese Peach 650ml</t>
        </is>
      </c>
      <c r="B1458" t="inlineStr"/>
      <c r="C1458" t="inlineStr">
        <is>
          <t>21%</t>
        </is>
      </c>
      <c r="D1458" t="n">
        <v>19700</v>
      </c>
      <c r="E1458" t="n">
        <v>25000</v>
      </c>
      <c r="F1458" t="n">
        <v>19700</v>
      </c>
      <c r="G1458" t="n">
        <v>25000</v>
      </c>
      <c r="H1458" t="n">
        <v>19700</v>
      </c>
      <c r="I1458" t="n">
        <v>25000</v>
      </c>
      <c r="J1458" t="b">
        <v>0</v>
      </c>
      <c r="K1458" t="inlineStr">
        <is>
          <t>Unilever Indonesia Official Shop</t>
        </is>
      </c>
      <c r="L1458" t="inlineStr">
        <is>
          <t>KOTA BEKASI</t>
        </is>
      </c>
      <c r="M1458" t="n">
        <v>23605916214</v>
      </c>
      <c r="N1458" t="n">
        <v>14318452</v>
      </c>
      <c r="O1458">
        <f>HYPERLINK("https://shopee.co.id/api/v4/item/get?itemid=23605916214&amp;shopid=14318452", "Molto Pelembut dan Pewangi Parfum Boost Japanese Peach 650ml")</f>
        <v/>
      </c>
      <c r="P1458" t="n">
        <v>296</v>
      </c>
      <c r="Q1458" t="n">
        <v>61</v>
      </c>
      <c r="R1458" t="n">
        <v>4.902439024390244</v>
      </c>
      <c r="S1458" t="n">
        <v>1</v>
      </c>
      <c r="T1458" t="n">
        <v>0</v>
      </c>
      <c r="U1458" t="n">
        <v>0</v>
      </c>
      <c r="V1458" t="n">
        <v>4</v>
      </c>
      <c r="W1458" t="n">
        <v>77</v>
      </c>
    </row>
    <row r="1459">
      <c r="A1459" t="inlineStr">
        <is>
          <t>Buy Pepsodent Nanosoft Charcoal MP2 + Nanosoft Himalayan Salt SP FREE Lunchbox Lock n Lock</t>
        </is>
      </c>
      <c r="B1459" t="inlineStr"/>
      <c r="C1459" t="inlineStr">
        <is>
          <t>7%</t>
        </is>
      </c>
      <c r="D1459" t="n">
        <v>40800</v>
      </c>
      <c r="E1459" t="n">
        <v>43875</v>
      </c>
      <c r="F1459" t="n">
        <v>40800</v>
      </c>
      <c r="G1459" t="n">
        <v>43875</v>
      </c>
      <c r="H1459" t="n">
        <v>40800</v>
      </c>
      <c r="I1459" t="n">
        <v>43875</v>
      </c>
      <c r="J1459" t="b">
        <v>0</v>
      </c>
      <c r="K1459" t="inlineStr">
        <is>
          <t>Unilever Indonesia Official Shop</t>
        </is>
      </c>
      <c r="L1459" t="inlineStr">
        <is>
          <t>KOTA BEKASI</t>
        </is>
      </c>
      <c r="M1459" t="n">
        <v>16685150555</v>
      </c>
      <c r="N1459" t="n">
        <v>14318452</v>
      </c>
      <c r="O1459">
        <f>HYPERLINK("https://shopee.co.id/api/v4/item/get?itemid=16685150555&amp;shopid=14318452", "Buy Pepsodent Nanosoft Charcoal MP2 + Nanosoft Himalayan Salt SP FREE Lunchbox Lock n Lock")</f>
        <v/>
      </c>
      <c r="P1459" t="n">
        <v>287</v>
      </c>
      <c r="Q1459" t="n">
        <v>308</v>
      </c>
      <c r="R1459" t="n">
        <v>4.899253731343284</v>
      </c>
      <c r="S1459" t="n">
        <v>1</v>
      </c>
      <c r="T1459" t="n">
        <v>0</v>
      </c>
      <c r="U1459" t="n">
        <v>3</v>
      </c>
      <c r="V1459" t="n">
        <v>17</v>
      </c>
      <c r="W1459" t="n">
        <v>247</v>
      </c>
    </row>
    <row r="1460">
      <c r="A1460" t="inlineStr">
        <is>
          <t>Sunlight Professional Pembersih Kaca Higienis 450 Ml Pouch</t>
        </is>
      </c>
      <c r="B1460" t="inlineStr"/>
      <c r="C1460" t="inlineStr">
        <is>
          <t>4%</t>
        </is>
      </c>
      <c r="D1460" t="n">
        <v>5300</v>
      </c>
      <c r="E1460" t="n">
        <v>5500</v>
      </c>
      <c r="F1460" t="n">
        <v>5300</v>
      </c>
      <c r="G1460" t="n">
        <v>5500</v>
      </c>
      <c r="H1460" t="n">
        <v>5300</v>
      </c>
      <c r="I1460" t="n">
        <v>5500</v>
      </c>
      <c r="J1460" t="b">
        <v>0</v>
      </c>
      <c r="K1460" t="inlineStr">
        <is>
          <t>Unilever Indonesia Official Shop</t>
        </is>
      </c>
      <c r="L1460" t="inlineStr">
        <is>
          <t>KOTA BEKASI</t>
        </is>
      </c>
      <c r="M1460" t="n">
        <v>17765128104</v>
      </c>
      <c r="N1460" t="n">
        <v>14318452</v>
      </c>
      <c r="O1460">
        <f>HYPERLINK("https://shopee.co.id/api/v4/item/get?itemid=17765128104&amp;shopid=14318452", "Sunlight Professional Pembersih Kaca Higienis 450 Ml Pouch")</f>
        <v/>
      </c>
      <c r="P1460" t="n">
        <v>286</v>
      </c>
      <c r="Q1460" t="n">
        <v>233</v>
      </c>
      <c r="R1460" t="n">
        <v>4.93859649122807</v>
      </c>
      <c r="S1460" t="n">
        <v>1</v>
      </c>
      <c r="T1460" t="n">
        <v>0</v>
      </c>
      <c r="U1460" t="n">
        <v>1</v>
      </c>
      <c r="V1460" t="n">
        <v>15</v>
      </c>
      <c r="W1460" t="n">
        <v>325</v>
      </c>
    </row>
    <row r="1461">
      <c r="A1461" t="inlineStr">
        <is>
          <t>Lux Botanicals Body Wash Refill Velvet Jasmine Kulit Halus 825ml Twin Pack</t>
        </is>
      </c>
      <c r="B1461" t="inlineStr"/>
      <c r="C1461" t="inlineStr">
        <is>
          <t>35%</t>
        </is>
      </c>
      <c r="D1461" t="n">
        <v>75200</v>
      </c>
      <c r="E1461" t="n">
        <v>115100</v>
      </c>
      <c r="F1461" t="n">
        <v>75200</v>
      </c>
      <c r="G1461" t="n">
        <v>115100</v>
      </c>
      <c r="H1461" t="n">
        <v>75200</v>
      </c>
      <c r="I1461" t="n">
        <v>115100</v>
      </c>
      <c r="J1461" t="b">
        <v>0</v>
      </c>
      <c r="K1461" t="inlineStr">
        <is>
          <t>Unilever Indonesia Official Shop</t>
        </is>
      </c>
      <c r="L1461" t="inlineStr">
        <is>
          <t>KOTA BEKASI</t>
        </is>
      </c>
      <c r="M1461" t="n">
        <v>16225119639</v>
      </c>
      <c r="N1461" t="n">
        <v>14318452</v>
      </c>
      <c r="O1461">
        <f>HYPERLINK("https://shopee.co.id/api/v4/item/get?itemid=16225119639&amp;shopid=14318452", "Lux Botanicals Body Wash Refill Velvet Jasmine Kulit Halus 825ml Twin Pack")</f>
        <v/>
      </c>
      <c r="P1461" t="n">
        <v>267</v>
      </c>
      <c r="Q1461" t="n">
        <v>154</v>
      </c>
      <c r="R1461" t="n">
        <v>4.872509960159363</v>
      </c>
      <c r="S1461" t="n">
        <v>7</v>
      </c>
      <c r="T1461" t="n">
        <v>5</v>
      </c>
      <c r="U1461" t="n">
        <v>5</v>
      </c>
      <c r="V1461" t="n">
        <v>14</v>
      </c>
      <c r="W1461" t="n">
        <v>472</v>
      </c>
    </row>
    <row r="1462">
      <c r="A1462" t="inlineStr">
        <is>
          <t>Dove Micellar Shampoo Deep Cleanse Nourishment Perawatan Rambut Kering 430Ml</t>
        </is>
      </c>
      <c r="B1462" t="inlineStr"/>
      <c r="C1462" t="inlineStr">
        <is>
          <t>2%</t>
        </is>
      </c>
      <c r="D1462" t="n">
        <v>70700</v>
      </c>
      <c r="E1462" t="n">
        <v>72500</v>
      </c>
      <c r="F1462" t="n">
        <v>70700</v>
      </c>
      <c r="G1462" t="n">
        <v>72500</v>
      </c>
      <c r="H1462" t="n">
        <v>70700</v>
      </c>
      <c r="I1462" t="n">
        <v>72500</v>
      </c>
      <c r="J1462" t="b">
        <v>0</v>
      </c>
      <c r="K1462" t="inlineStr">
        <is>
          <t>Unilever Indonesia Official Shop</t>
        </is>
      </c>
      <c r="L1462" t="inlineStr">
        <is>
          <t>KOTA BEKASI</t>
        </is>
      </c>
      <c r="M1462" t="n">
        <v>20814215148</v>
      </c>
      <c r="N1462" t="n">
        <v>14318452</v>
      </c>
      <c r="O1462">
        <f>HYPERLINK("https://shopee.co.id/api/v4/item/get?itemid=20814215148&amp;shopid=14318452", "Dove Micellar Shampoo Deep Cleanse Nourishment Perawatan Rambut Kering 430Ml")</f>
        <v/>
      </c>
      <c r="P1462" t="n">
        <v>265</v>
      </c>
      <c r="Q1462" t="n">
        <v>652</v>
      </c>
      <c r="R1462" t="n">
        <v>4.736011477761837</v>
      </c>
      <c r="S1462" t="n">
        <v>16</v>
      </c>
      <c r="T1462" t="n">
        <v>6</v>
      </c>
      <c r="U1462" t="n">
        <v>26</v>
      </c>
      <c r="V1462" t="n">
        <v>50</v>
      </c>
      <c r="W1462" t="n">
        <v>599</v>
      </c>
    </row>
    <row r="1463">
      <c r="A1463" t="inlineStr">
        <is>
          <t>Buy Lifebuoy Shower Bundle (Shiso &amp; Sandalwood 825ml FREE Lifebuoy Shampoo Strong &amp; Shiny 170ml)</t>
        </is>
      </c>
      <c r="B1463" t="inlineStr"/>
      <c r="C1463" t="inlineStr">
        <is>
          <t>43%</t>
        </is>
      </c>
      <c r="D1463" t="n">
        <v>44900</v>
      </c>
      <c r="E1463" t="n">
        <v>79200</v>
      </c>
      <c r="F1463" t="n">
        <v>44900</v>
      </c>
      <c r="G1463" t="n">
        <v>79200</v>
      </c>
      <c r="H1463" t="n">
        <v>44900</v>
      </c>
      <c r="I1463" t="n">
        <v>79200</v>
      </c>
      <c r="J1463" t="b">
        <v>0</v>
      </c>
      <c r="K1463" t="inlineStr">
        <is>
          <t>Unilever Indonesia Official Shop</t>
        </is>
      </c>
      <c r="L1463" t="inlineStr">
        <is>
          <t>KOTA BEKASI</t>
        </is>
      </c>
      <c r="M1463" t="n">
        <v>18967322602</v>
      </c>
      <c r="N1463" t="n">
        <v>14318452</v>
      </c>
      <c r="O1463">
        <f>HYPERLINK("https://shopee.co.id/api/v4/item/get?itemid=18967322602&amp;shopid=14318452", "Buy Lifebuoy Shower Bundle (Shiso &amp; Sandalwood 825ml FREE Lifebuoy Shampoo Strong &amp; Shiny 170ml)")</f>
        <v/>
      </c>
      <c r="P1463" t="n">
        <v>263</v>
      </c>
      <c r="Q1463" t="n">
        <v>551</v>
      </c>
      <c r="R1463" t="n">
        <v>4.958904109589041</v>
      </c>
      <c r="S1463" t="n">
        <v>0</v>
      </c>
      <c r="T1463" t="n">
        <v>0</v>
      </c>
      <c r="U1463" t="n">
        <v>0</v>
      </c>
      <c r="V1463" t="n">
        <v>3</v>
      </c>
      <c r="W1463" t="n">
        <v>70</v>
      </c>
    </row>
    <row r="1464">
      <c r="A1464" t="inlineStr">
        <is>
          <t>REXONA MEN MOTIONSENSE ANTI-PERSPIRANT AEROSOL ICE COOL 200ML</t>
        </is>
      </c>
      <c r="B1464" t="inlineStr"/>
      <c r="C1464" t="inlineStr">
        <is>
          <t>9%</t>
        </is>
      </c>
      <c r="D1464" t="n">
        <v>46200</v>
      </c>
      <c r="E1464" t="n">
        <v>50500</v>
      </c>
      <c r="F1464" t="n">
        <v>46200</v>
      </c>
      <c r="G1464" t="n">
        <v>50500</v>
      </c>
      <c r="H1464" t="n">
        <v>46200</v>
      </c>
      <c r="I1464" t="n">
        <v>50500</v>
      </c>
      <c r="J1464" t="b">
        <v>0</v>
      </c>
      <c r="K1464" t="inlineStr">
        <is>
          <t>Unilever Indonesia Official Shop</t>
        </is>
      </c>
      <c r="L1464" t="inlineStr">
        <is>
          <t>KOTA BEKASI</t>
        </is>
      </c>
      <c r="M1464" t="n">
        <v>18433816908</v>
      </c>
      <c r="N1464" t="n">
        <v>14318452</v>
      </c>
      <c r="O1464">
        <f>HYPERLINK("https://shopee.co.id/api/v4/item/get?itemid=18433816908&amp;shopid=14318452", "REXONA MEN MOTIONSENSE ANTI-PERSPIRANT AEROSOL ICE COOL 200ML")</f>
        <v/>
      </c>
      <c r="P1464" t="n">
        <v>263</v>
      </c>
      <c r="Q1464" t="n">
        <v>118</v>
      </c>
      <c r="R1464" t="n">
        <v>4.934659090909091</v>
      </c>
      <c r="S1464" t="n">
        <v>0</v>
      </c>
      <c r="T1464" t="n">
        <v>0</v>
      </c>
      <c r="U1464" t="n">
        <v>2</v>
      </c>
      <c r="V1464" t="n">
        <v>19</v>
      </c>
      <c r="W1464" t="n">
        <v>331</v>
      </c>
    </row>
    <row r="1465">
      <c r="A1465" t="inlineStr">
        <is>
          <t>Lifebuoy Body Wash Refill Fresh Coconut Water &amp; Mint 400ml</t>
        </is>
      </c>
      <c r="B1465" t="inlineStr"/>
      <c r="C1465" t="inlineStr">
        <is>
          <t>24%</t>
        </is>
      </c>
      <c r="D1465" t="n">
        <v>22500</v>
      </c>
      <c r="E1465" t="n">
        <v>29500</v>
      </c>
      <c r="F1465" t="n">
        <v>22500</v>
      </c>
      <c r="G1465" t="n">
        <v>29500</v>
      </c>
      <c r="H1465" t="n">
        <v>22500</v>
      </c>
      <c r="I1465" t="n">
        <v>29500</v>
      </c>
      <c r="J1465" t="b">
        <v>0</v>
      </c>
      <c r="K1465" t="inlineStr">
        <is>
          <t>Unilever Indonesia Official Shop</t>
        </is>
      </c>
      <c r="L1465" t="inlineStr">
        <is>
          <t>KOTA BEKASI</t>
        </is>
      </c>
      <c r="M1465" t="n">
        <v>15655097349</v>
      </c>
      <c r="N1465" t="n">
        <v>14318452</v>
      </c>
      <c r="O1465">
        <f>HYPERLINK("https://shopee.co.id/api/v4/item/get?itemid=15655097349&amp;shopid=14318452", "Lifebuoy Body Wash Refill Fresh Coconut Water &amp; Mint 400ml")</f>
        <v/>
      </c>
      <c r="P1465" t="n">
        <v>253</v>
      </c>
      <c r="Q1465" t="n">
        <v>5</v>
      </c>
      <c r="R1465" t="n">
        <v>4.887242268041237</v>
      </c>
      <c r="S1465" t="n">
        <v>12</v>
      </c>
      <c r="T1465" t="n">
        <v>7</v>
      </c>
      <c r="U1465" t="n">
        <v>11</v>
      </c>
      <c r="V1465" t="n">
        <v>84</v>
      </c>
      <c r="W1465" t="n">
        <v>1438</v>
      </c>
    </row>
    <row r="1466">
      <c r="A1466" t="inlineStr">
        <is>
          <t>Pepsodent Nanosoft Silver Charcoal Multipack Isi 2</t>
        </is>
      </c>
      <c r="B1466" t="inlineStr"/>
      <c r="C1466" t="inlineStr">
        <is>
          <t>20%</t>
        </is>
      </c>
      <c r="D1466" t="n">
        <v>21100</v>
      </c>
      <c r="E1466" t="n">
        <v>26500</v>
      </c>
      <c r="F1466" t="n">
        <v>21100</v>
      </c>
      <c r="G1466" t="n">
        <v>26500</v>
      </c>
      <c r="H1466" t="n">
        <v>21100</v>
      </c>
      <c r="I1466" t="n">
        <v>26500</v>
      </c>
      <c r="J1466" t="b">
        <v>0</v>
      </c>
      <c r="K1466" t="inlineStr">
        <is>
          <t>Unilever Indonesia Official Shop</t>
        </is>
      </c>
      <c r="L1466" t="inlineStr">
        <is>
          <t>KOTA BEKASI</t>
        </is>
      </c>
      <c r="M1466" t="n">
        <v>20108814135</v>
      </c>
      <c r="N1466" t="n">
        <v>14318452</v>
      </c>
      <c r="O1466">
        <f>HYPERLINK("https://shopee.co.id/api/v4/item/get?itemid=20108814135&amp;shopid=14318452", "Pepsodent Nanosoft Silver Charcoal Multipack Isi 2")</f>
        <v/>
      </c>
      <c r="P1466" t="n">
        <v>249</v>
      </c>
      <c r="Q1466" t="n">
        <v>364</v>
      </c>
      <c r="R1466" t="n">
        <v>4.897163120567376</v>
      </c>
      <c r="S1466" t="n">
        <v>5</v>
      </c>
      <c r="T1466" t="n">
        <v>0</v>
      </c>
      <c r="U1466" t="n">
        <v>1</v>
      </c>
      <c r="V1466" t="n">
        <v>7</v>
      </c>
      <c r="W1466" t="n">
        <v>269</v>
      </c>
    </row>
    <row r="1467">
      <c r="A1467" t="inlineStr">
        <is>
          <t>Buy Sunsilk Super Shampoo Bye-Bye Rambut Rontok 300ml FREE Scrunchie Lilac</t>
        </is>
      </c>
      <c r="B1467" t="inlineStr"/>
      <c r="C1467" t="inlineStr">
        <is>
          <t>25%</t>
        </is>
      </c>
      <c r="D1467" t="n">
        <v>47600</v>
      </c>
      <c r="E1467" t="n">
        <v>63250</v>
      </c>
      <c r="F1467" t="n">
        <v>47600</v>
      </c>
      <c r="G1467" t="n">
        <v>63250</v>
      </c>
      <c r="H1467" t="n">
        <v>47600</v>
      </c>
      <c r="I1467" t="n">
        <v>63250</v>
      </c>
      <c r="J1467" t="b">
        <v>0</v>
      </c>
      <c r="K1467" t="inlineStr">
        <is>
          <t>Unilever Indonesia Official Shop</t>
        </is>
      </c>
      <c r="L1467" t="inlineStr">
        <is>
          <t>KOTA BEKASI</t>
        </is>
      </c>
      <c r="M1467" t="n">
        <v>19052076034</v>
      </c>
      <c r="N1467" t="n">
        <v>14318452</v>
      </c>
      <c r="O1467">
        <f>HYPERLINK("https://shopee.co.id/api/v4/item/get?itemid=19052076034&amp;shopid=14318452", "Buy Sunsilk Super Shampoo Bye-Bye Rambut Rontok 300ml FREE Scrunchie Lilac")</f>
        <v/>
      </c>
      <c r="P1467" t="n">
        <v>247</v>
      </c>
      <c r="Q1467" t="n">
        <v>1163</v>
      </c>
      <c r="R1467" t="n">
        <v>4.849498327759197</v>
      </c>
      <c r="S1467" t="n">
        <v>5</v>
      </c>
      <c r="T1467" t="n">
        <v>1</v>
      </c>
      <c r="U1467" t="n">
        <v>4</v>
      </c>
      <c r="V1467" t="n">
        <v>14</v>
      </c>
      <c r="W1467" t="n">
        <v>275</v>
      </c>
    </row>
    <row r="1468">
      <c r="A1468" t="inlineStr">
        <is>
          <t>[BUY 2 GET 1] Buy 2 Rinso Molto Rose Fresh 1.65L FREE Rinso Perfume Essence 700ml</t>
        </is>
      </c>
      <c r="B1468" t="inlineStr"/>
      <c r="C1468" t="inlineStr">
        <is>
          <t>13%</t>
        </is>
      </c>
      <c r="D1468" t="n">
        <v>92100</v>
      </c>
      <c r="E1468" t="n">
        <v>106400</v>
      </c>
      <c r="F1468" t="n">
        <v>92100</v>
      </c>
      <c r="G1468" t="n">
        <v>106400</v>
      </c>
      <c r="H1468" t="n">
        <v>92100</v>
      </c>
      <c r="I1468" t="n">
        <v>106400</v>
      </c>
      <c r="J1468" t="b">
        <v>0</v>
      </c>
      <c r="K1468" t="inlineStr">
        <is>
          <t>Unilever Indonesia Official Shop</t>
        </is>
      </c>
      <c r="L1468" t="inlineStr">
        <is>
          <t>KOTA BEKASI</t>
        </is>
      </c>
      <c r="M1468" t="n">
        <v>19957169227</v>
      </c>
      <c r="N1468" t="n">
        <v>14318452</v>
      </c>
      <c r="O1468">
        <f>HYPERLINK("https://shopee.co.id/api/v4/item/get?itemid=19957169227&amp;shopid=14318452", "[BUY 2 GET 1] Buy 2 Rinso Molto Rose Fresh 1.65L FREE Rinso Perfume Essence 700ml")</f>
        <v/>
      </c>
      <c r="P1468" t="n">
        <v>244</v>
      </c>
      <c r="Q1468" t="n">
        <v>119</v>
      </c>
      <c r="R1468" t="n">
        <v>4.959770114942529</v>
      </c>
      <c r="S1468" t="n">
        <v>1</v>
      </c>
      <c r="T1468" t="n">
        <v>0</v>
      </c>
      <c r="U1468" t="n">
        <v>1</v>
      </c>
      <c r="V1468" t="n">
        <v>1</v>
      </c>
      <c r="W1468" t="n">
        <v>173</v>
      </c>
    </row>
    <row r="1469">
      <c r="A1469" t="inlineStr">
        <is>
          <t>Buy 2 Dove Dry Serum Vitamin B3 FREE Exclusive Merchandise Smitten by Pattern - Card Holder</t>
        </is>
      </c>
      <c r="B1469" t="inlineStr"/>
      <c r="C1469" t="inlineStr">
        <is>
          <t>61%</t>
        </is>
      </c>
      <c r="D1469" t="n">
        <v>40900</v>
      </c>
      <c r="E1469" t="n">
        <v>104300</v>
      </c>
      <c r="F1469" t="n">
        <v>40900</v>
      </c>
      <c r="G1469" t="n">
        <v>104300</v>
      </c>
      <c r="H1469" t="n">
        <v>40900</v>
      </c>
      <c r="I1469" t="n">
        <v>104300</v>
      </c>
      <c r="J1469" t="b">
        <v>0</v>
      </c>
      <c r="K1469" t="inlineStr">
        <is>
          <t>Unilever Indonesia Official Shop</t>
        </is>
      </c>
      <c r="L1469" t="inlineStr">
        <is>
          <t>KOTA BEKASI</t>
        </is>
      </c>
      <c r="M1469" t="n">
        <v>21467476799</v>
      </c>
      <c r="N1469" t="n">
        <v>14318452</v>
      </c>
      <c r="O1469">
        <f>HYPERLINK("https://shopee.co.id/api/v4/item/get?itemid=21467476799&amp;shopid=14318452", "Buy 2 Dove Dry Serum Vitamin B3 FREE Exclusive Merchandise Smitten by Pattern - Card Holder")</f>
        <v/>
      </c>
      <c r="P1469" t="n">
        <v>232</v>
      </c>
      <c r="Q1469" t="n">
        <v>631</v>
      </c>
      <c r="R1469" t="n">
        <v>4.9</v>
      </c>
      <c r="S1469" t="n">
        <v>1</v>
      </c>
      <c r="T1469" t="n">
        <v>0</v>
      </c>
      <c r="U1469" t="n">
        <v>0</v>
      </c>
      <c r="V1469" t="n">
        <v>5</v>
      </c>
      <c r="W1469" t="n">
        <v>84</v>
      </c>
    </row>
    <row r="1470">
      <c r="A1470" t="inlineStr">
        <is>
          <t>Buy 2 Lifebuoy Hand Wash Total 10 180ml Free Juara Cuci Tangan Kit</t>
        </is>
      </c>
      <c r="B1470" t="inlineStr"/>
      <c r="C1470" t="inlineStr">
        <is>
          <t>30%</t>
        </is>
      </c>
      <c r="D1470" t="n">
        <v>24600</v>
      </c>
      <c r="E1470" t="n">
        <v>35000</v>
      </c>
      <c r="F1470" t="n">
        <v>24600</v>
      </c>
      <c r="G1470" t="n">
        <v>35000</v>
      </c>
      <c r="H1470" t="n">
        <v>24600</v>
      </c>
      <c r="I1470" t="n">
        <v>35000</v>
      </c>
      <c r="J1470" t="b">
        <v>0</v>
      </c>
      <c r="K1470" t="inlineStr">
        <is>
          <t>Unilever Indonesia Official Shop</t>
        </is>
      </c>
      <c r="L1470" t="inlineStr">
        <is>
          <t>KOTA BEKASI</t>
        </is>
      </c>
      <c r="M1470" t="n">
        <v>20855578339</v>
      </c>
      <c r="N1470" t="n">
        <v>14318452</v>
      </c>
      <c r="O1470">
        <f>HYPERLINK("https://shopee.co.id/api/v4/item/get?itemid=20855578339&amp;shopid=14318452", "Buy 2 Lifebuoy Hand Wash Total 10 180ml Free Juara Cuci Tangan Kit")</f>
        <v/>
      </c>
      <c r="P1470" t="n">
        <v>229</v>
      </c>
      <c r="Q1470" t="n">
        <v>154</v>
      </c>
      <c r="R1470" t="n">
        <v>4.948051948051948</v>
      </c>
      <c r="S1470" t="n">
        <v>0</v>
      </c>
      <c r="T1470" t="n">
        <v>0</v>
      </c>
      <c r="U1470" t="n">
        <v>0</v>
      </c>
      <c r="V1470" t="n">
        <v>8</v>
      </c>
      <c r="W1470" t="n">
        <v>146</v>
      </c>
    </row>
    <row r="1471">
      <c r="A1471" t="inlineStr">
        <is>
          <t>Pond's Matcha Clear Facial Foam 90G</t>
        </is>
      </c>
      <c r="B1471" t="inlineStr"/>
      <c r="C1471" t="inlineStr">
        <is>
          <t>3%</t>
        </is>
      </c>
      <c r="D1471" t="n">
        <v>30300</v>
      </c>
      <c r="E1471" t="n">
        <v>31100</v>
      </c>
      <c r="F1471" t="n">
        <v>30300</v>
      </c>
      <c r="G1471" t="n">
        <v>31100</v>
      </c>
      <c r="H1471" t="n">
        <v>30300</v>
      </c>
      <c r="I1471" t="n">
        <v>31100</v>
      </c>
      <c r="J1471" t="b">
        <v>0</v>
      </c>
      <c r="K1471" t="inlineStr">
        <is>
          <t>Unilever Indonesia Official Shop</t>
        </is>
      </c>
      <c r="L1471" t="inlineStr">
        <is>
          <t>KOTA BEKASI</t>
        </is>
      </c>
      <c r="M1471" t="n">
        <v>17470985090</v>
      </c>
      <c r="N1471" t="n">
        <v>14318452</v>
      </c>
      <c r="O1471">
        <f>HYPERLINK("https://shopee.co.id/api/v4/item/get?itemid=17470985090&amp;shopid=14318452", "Pond's Matcha Clear Facial Foam 90G")</f>
        <v/>
      </c>
      <c r="P1471" t="n">
        <v>227</v>
      </c>
      <c r="Q1471" t="n">
        <v>76</v>
      </c>
      <c r="R1471" t="n">
        <v>4.906666666666666</v>
      </c>
      <c r="S1471" t="n">
        <v>2</v>
      </c>
      <c r="T1471" t="n">
        <v>0</v>
      </c>
      <c r="U1471" t="n">
        <v>1</v>
      </c>
      <c r="V1471" t="n">
        <v>18</v>
      </c>
      <c r="W1471" t="n">
        <v>279</v>
      </c>
    </row>
    <row r="1472">
      <c r="A1472" t="inlineStr">
        <is>
          <t>Buy Sunsilk Black Shine Shampoo 650ml + Sunsilk Black Shine Condi 160ml FREE Herbaay Anti Tangle Brush</t>
        </is>
      </c>
      <c r="B1472" t="inlineStr"/>
      <c r="C1472" t="inlineStr">
        <is>
          <t>5%</t>
        </is>
      </c>
      <c r="D1472" t="n">
        <v>96900</v>
      </c>
      <c r="E1472" t="n">
        <v>102000</v>
      </c>
      <c r="F1472" t="n">
        <v>96900</v>
      </c>
      <c r="G1472" t="n">
        <v>102000</v>
      </c>
      <c r="H1472" t="n">
        <v>96900</v>
      </c>
      <c r="I1472" t="n">
        <v>102000</v>
      </c>
      <c r="J1472" t="b">
        <v>0</v>
      </c>
      <c r="K1472" t="inlineStr">
        <is>
          <t>Unilever Indonesia Official Shop</t>
        </is>
      </c>
      <c r="L1472" t="inlineStr">
        <is>
          <t>KOTA BEKASI</t>
        </is>
      </c>
      <c r="M1472" t="n">
        <v>19152075477</v>
      </c>
      <c r="N1472" t="n">
        <v>14318452</v>
      </c>
      <c r="O1472">
        <f>HYPERLINK("https://shopee.co.id/api/v4/item/get?itemid=19152075477&amp;shopid=14318452", "Buy Sunsilk Black Shine Shampoo 650ml + Sunsilk Black Shine Condi 160ml FREE Herbaay Anti Tangle Brush")</f>
        <v/>
      </c>
      <c r="P1472" t="n">
        <v>221</v>
      </c>
      <c r="Q1472" t="n">
        <v>51</v>
      </c>
      <c r="R1472" t="n">
        <v>4.867549668874172</v>
      </c>
      <c r="S1472" t="n">
        <v>0</v>
      </c>
      <c r="T1472" t="n">
        <v>1</v>
      </c>
      <c r="U1472" t="n">
        <v>3</v>
      </c>
      <c r="V1472" t="n">
        <v>11</v>
      </c>
      <c r="W1472" t="n">
        <v>136</v>
      </c>
    </row>
    <row r="1473">
      <c r="A1473" t="inlineStr">
        <is>
          <t>Buy 2 Rexona Teens Dreamy Bright FREE Popsocket</t>
        </is>
      </c>
      <c r="B1473" t="inlineStr"/>
      <c r="C1473" t="inlineStr">
        <is>
          <t>38%</t>
        </is>
      </c>
      <c r="D1473" t="n">
        <v>32300</v>
      </c>
      <c r="E1473" t="n">
        <v>51800</v>
      </c>
      <c r="F1473" t="n">
        <v>32300</v>
      </c>
      <c r="G1473" t="n">
        <v>51800</v>
      </c>
      <c r="H1473" t="n">
        <v>32300</v>
      </c>
      <c r="I1473" t="n">
        <v>51800</v>
      </c>
      <c r="J1473" t="b">
        <v>0</v>
      </c>
      <c r="K1473" t="inlineStr">
        <is>
          <t>Unilever Indonesia Official Shop</t>
        </is>
      </c>
      <c r="L1473" t="inlineStr">
        <is>
          <t>KOTA BEKASI</t>
        </is>
      </c>
      <c r="M1473" t="n">
        <v>21706724869</v>
      </c>
      <c r="N1473" t="n">
        <v>14318452</v>
      </c>
      <c r="O1473">
        <f>HYPERLINK("https://shopee.co.id/api/v4/item/get?itemid=21706724869&amp;shopid=14318452", "Buy 2 Rexona Teens Dreamy Bright FREE Popsocket")</f>
        <v/>
      </c>
      <c r="P1473" t="n">
        <v>220</v>
      </c>
      <c r="Q1473" t="n">
        <v>1875</v>
      </c>
      <c r="R1473" t="n">
        <v>4.901408450704225</v>
      </c>
      <c r="S1473" t="n">
        <v>2</v>
      </c>
      <c r="T1473" t="n">
        <v>0</v>
      </c>
      <c r="U1473" t="n">
        <v>5</v>
      </c>
      <c r="V1473" t="n">
        <v>17</v>
      </c>
      <c r="W1473" t="n">
        <v>331</v>
      </c>
    </row>
    <row r="1474">
      <c r="A1474" t="inlineStr">
        <is>
          <t>Zwitsal Baby Face &amp; Body Care Cream 50Gr - Krim Bayi - Multipack</t>
        </is>
      </c>
      <c r="B1474" t="inlineStr"/>
      <c r="C1474" t="inlineStr">
        <is>
          <t>20%</t>
        </is>
      </c>
      <c r="D1474" t="n">
        <v>45000</v>
      </c>
      <c r="E1474" t="n">
        <v>55950</v>
      </c>
      <c r="F1474" t="n">
        <v>45000</v>
      </c>
      <c r="G1474" t="n">
        <v>55950</v>
      </c>
      <c r="H1474" t="n">
        <v>45000</v>
      </c>
      <c r="I1474" t="n">
        <v>55950</v>
      </c>
      <c r="J1474" t="b">
        <v>0</v>
      </c>
      <c r="K1474" t="inlineStr">
        <is>
          <t>Unilever Indonesia Official Shop</t>
        </is>
      </c>
      <c r="L1474" t="inlineStr">
        <is>
          <t>KOTA BEKASI</t>
        </is>
      </c>
      <c r="M1474" t="n">
        <v>21911558679</v>
      </c>
      <c r="N1474" t="n">
        <v>14318452</v>
      </c>
      <c r="O1474">
        <f>HYPERLINK("https://shopee.co.id/api/v4/item/get?itemid=21911558679&amp;shopid=14318452", "Zwitsal Baby Face &amp; Body Care Cream 50Gr - Krim Bayi - Multipack")</f>
        <v/>
      </c>
      <c r="P1474" t="n">
        <v>218</v>
      </c>
      <c r="Q1474" t="n">
        <v>934</v>
      </c>
      <c r="R1474" t="n">
        <v>4.888888888888889</v>
      </c>
      <c r="S1474" t="n">
        <v>2</v>
      </c>
      <c r="T1474" t="n">
        <v>0</v>
      </c>
      <c r="U1474" t="n">
        <v>4</v>
      </c>
      <c r="V1474" t="n">
        <v>18</v>
      </c>
      <c r="W1474" t="n">
        <v>282</v>
      </c>
    </row>
    <row r="1475">
      <c r="A1475" t="inlineStr">
        <is>
          <t>REXONA DEODORANT ROLL ON GLOWING WHITE FOR GIRLS 40ML Twinpack</t>
        </is>
      </c>
      <c r="B1475" t="inlineStr"/>
      <c r="C1475" t="inlineStr">
        <is>
          <t>2%</t>
        </is>
      </c>
      <c r="D1475" t="n">
        <v>32300</v>
      </c>
      <c r="E1475" t="n">
        <v>32850</v>
      </c>
      <c r="F1475" t="n">
        <v>32300</v>
      </c>
      <c r="G1475" t="n">
        <v>32850</v>
      </c>
      <c r="H1475" t="n">
        <v>32300</v>
      </c>
      <c r="I1475" t="n">
        <v>32850</v>
      </c>
      <c r="J1475" t="b">
        <v>0</v>
      </c>
      <c r="K1475" t="inlineStr">
        <is>
          <t>Unilever Indonesia Official Shop</t>
        </is>
      </c>
      <c r="L1475" t="inlineStr">
        <is>
          <t>KOTA BEKASI</t>
        </is>
      </c>
      <c r="M1475" t="n">
        <v>11388765637</v>
      </c>
      <c r="N1475" t="n">
        <v>14318452</v>
      </c>
      <c r="O1475">
        <f>HYPERLINK("https://shopee.co.id/api/v4/item/get?itemid=11388765637&amp;shopid=14318452", "REXONA DEODORANT ROLL ON GLOWING WHITE FOR GIRLS 40ML Twinpack")</f>
        <v/>
      </c>
      <c r="P1475" t="n">
        <v>212</v>
      </c>
      <c r="Q1475" t="n">
        <v>4800</v>
      </c>
      <c r="R1475" t="n">
        <v>4.892993630573248</v>
      </c>
      <c r="S1475" t="n">
        <v>5</v>
      </c>
      <c r="T1475" t="n">
        <v>5</v>
      </c>
      <c r="U1475" t="n">
        <v>8</v>
      </c>
      <c r="V1475" t="n">
        <v>33</v>
      </c>
      <c r="W1475" t="n">
        <v>734</v>
      </c>
    </row>
    <row r="1476">
      <c r="A1476" t="inlineStr">
        <is>
          <t>Dove Deodorant Dry Serum Regenerate Care Collagen With Niacinamide 50ml Multi Pack</t>
        </is>
      </c>
      <c r="B1476" t="inlineStr"/>
      <c r="C1476" t="inlineStr">
        <is>
          <t>28%</t>
        </is>
      </c>
      <c r="D1476" t="n">
        <v>45300</v>
      </c>
      <c r="E1476" t="n">
        <v>63000</v>
      </c>
      <c r="F1476" t="n">
        <v>45300</v>
      </c>
      <c r="G1476" t="n">
        <v>63000</v>
      </c>
      <c r="H1476" t="n">
        <v>45300</v>
      </c>
      <c r="I1476" t="n">
        <v>63000</v>
      </c>
      <c r="J1476" t="b">
        <v>0</v>
      </c>
      <c r="K1476" t="inlineStr">
        <is>
          <t>Unilever Indonesia Official Shop</t>
        </is>
      </c>
      <c r="L1476" t="inlineStr">
        <is>
          <t>KOTA BEKASI</t>
        </is>
      </c>
      <c r="M1476" t="n">
        <v>14294884954</v>
      </c>
      <c r="N1476" t="n">
        <v>14318452</v>
      </c>
      <c r="O1476">
        <f>HYPERLINK("https://shopee.co.id/api/v4/item/get?itemid=14294884954&amp;shopid=14318452", "Dove Deodorant Dry Serum Regenerate Care Collagen With Niacinamide 50ml Multi Pack")</f>
        <v/>
      </c>
      <c r="P1476" t="n">
        <v>208</v>
      </c>
      <c r="Q1476" t="n">
        <v>1140</v>
      </c>
      <c r="R1476" t="n">
        <v>4.841269841269841</v>
      </c>
      <c r="S1476" t="n">
        <v>2</v>
      </c>
      <c r="T1476" t="n">
        <v>0</v>
      </c>
      <c r="U1476" t="n">
        <v>0</v>
      </c>
      <c r="V1476" t="n">
        <v>2</v>
      </c>
      <c r="W1476" t="n">
        <v>59</v>
      </c>
    </row>
    <row r="1477">
      <c r="A1477" t="inlineStr">
        <is>
          <t>[GIFT] Puffy Laptop Case Smitten By Pattern</t>
        </is>
      </c>
      <c r="B1477" t="inlineStr"/>
      <c r="C1477" t="inlineStr"/>
      <c r="D1477" t="n">
        <v>1000000</v>
      </c>
      <c r="E1477" t="n">
        <v>0</v>
      </c>
      <c r="F1477" t="n">
        <v>1000000</v>
      </c>
      <c r="G1477" t="n">
        <v>-1e-05</v>
      </c>
      <c r="H1477" t="n">
        <v>1000000</v>
      </c>
      <c r="I1477" t="n">
        <v>-1e-05</v>
      </c>
      <c r="J1477" t="b">
        <v>0</v>
      </c>
      <c r="K1477" t="inlineStr">
        <is>
          <t>Unilever Indonesia Official Shop</t>
        </is>
      </c>
      <c r="L1477" t="inlineStr">
        <is>
          <t>KOTA BEKASI</t>
        </is>
      </c>
      <c r="M1477" t="n">
        <v>19966826254</v>
      </c>
      <c r="N1477" t="n">
        <v>14318452</v>
      </c>
      <c r="O1477">
        <f>HYPERLINK("https://shopee.co.id/api/v4/item/get?itemid=19966826254&amp;shopid=14318452", "[GIFT] Puffy Laptop Case Smitten By Pattern")</f>
        <v/>
      </c>
      <c r="P1477" t="n">
        <v>206</v>
      </c>
      <c r="Q1477" t="n">
        <v>767</v>
      </c>
      <c r="R1477" t="n">
        <v>4.984375</v>
      </c>
      <c r="S1477" t="n">
        <v>0</v>
      </c>
      <c r="T1477" t="n">
        <v>0</v>
      </c>
      <c r="U1477" t="n">
        <v>0</v>
      </c>
      <c r="V1477" t="n">
        <v>1</v>
      </c>
      <c r="W1477" t="n">
        <v>63</v>
      </c>
    </row>
    <row r="1478">
      <c r="A1478" t="inlineStr">
        <is>
          <t>Pepsodent Nanosoft Korean Bamboo Salt Gum Care+ Isi 1</t>
        </is>
      </c>
      <c r="B1478" t="inlineStr"/>
      <c r="C1478" t="inlineStr">
        <is>
          <t>18%</t>
        </is>
      </c>
      <c r="D1478" t="n">
        <v>14500</v>
      </c>
      <c r="E1478" t="n">
        <v>17700</v>
      </c>
      <c r="F1478" t="n">
        <v>14500</v>
      </c>
      <c r="G1478" t="n">
        <v>17700</v>
      </c>
      <c r="H1478" t="n">
        <v>14500</v>
      </c>
      <c r="I1478" t="n">
        <v>17700</v>
      </c>
      <c r="J1478" t="b">
        <v>0</v>
      </c>
      <c r="K1478" t="inlineStr">
        <is>
          <t>Unilever Indonesia Official Shop</t>
        </is>
      </c>
      <c r="L1478" t="inlineStr">
        <is>
          <t>KOTA BEKASI</t>
        </is>
      </c>
      <c r="M1478" t="n">
        <v>16273003564</v>
      </c>
      <c r="N1478" t="n">
        <v>14318452</v>
      </c>
      <c r="O1478">
        <f>HYPERLINK("https://shopee.co.id/api/v4/item/get?itemid=16273003564&amp;shopid=14318452", "Pepsodent Nanosoft Korean Bamboo Salt Gum Care+ Isi 1")</f>
        <v/>
      </c>
      <c r="P1478" t="n">
        <v>201</v>
      </c>
      <c r="Q1478" t="n">
        <v>288</v>
      </c>
      <c r="R1478" t="n">
        <v>4.946745562130178</v>
      </c>
      <c r="S1478" t="n">
        <v>0</v>
      </c>
      <c r="T1478" t="n">
        <v>0</v>
      </c>
      <c r="U1478" t="n">
        <v>1</v>
      </c>
      <c r="V1478" t="n">
        <v>7</v>
      </c>
      <c r="W1478" t="n">
        <v>161</v>
      </c>
    </row>
    <row r="1479">
      <c r="A1479" t="inlineStr">
        <is>
          <t>Buy 1 Ponds Age Miracle Vit. C &amp; Niacinamide Ultimate Glow Essence 50ml Free Sheet Mask</t>
        </is>
      </c>
      <c r="B1479" t="inlineStr"/>
      <c r="C1479" t="inlineStr">
        <is>
          <t>35%</t>
        </is>
      </c>
      <c r="D1479" t="n">
        <v>86300</v>
      </c>
      <c r="E1479" t="n">
        <v>131850</v>
      </c>
      <c r="F1479" t="n">
        <v>86300</v>
      </c>
      <c r="G1479" t="n">
        <v>131850</v>
      </c>
      <c r="H1479" t="n">
        <v>86300</v>
      </c>
      <c r="I1479" t="n">
        <v>131850</v>
      </c>
      <c r="J1479" t="b">
        <v>0</v>
      </c>
      <c r="K1479" t="inlineStr">
        <is>
          <t>Unilever Indonesia Official Shop</t>
        </is>
      </c>
      <c r="L1479" t="inlineStr">
        <is>
          <t>KOTA BEKASI</t>
        </is>
      </c>
      <c r="M1479" t="n">
        <v>20947679004</v>
      </c>
      <c r="N1479" t="n">
        <v>14318452</v>
      </c>
      <c r="O1479">
        <f>HYPERLINK("https://shopee.co.id/api/v4/item/get?itemid=20947679004&amp;shopid=14318452", "Buy 1 Ponds Age Miracle Vit. C &amp; Niacinamide Ultimate Glow Essence 50ml Free Sheet Mask")</f>
        <v/>
      </c>
      <c r="P1479" t="n">
        <v>200</v>
      </c>
      <c r="Q1479" t="n">
        <v>124</v>
      </c>
      <c r="R1479" t="n">
        <v>4.895988112927192</v>
      </c>
      <c r="S1479" t="n">
        <v>2</v>
      </c>
      <c r="T1479" t="n">
        <v>1</v>
      </c>
      <c r="U1479" t="n">
        <v>2</v>
      </c>
      <c r="V1479" t="n">
        <v>55</v>
      </c>
      <c r="W1479" t="n">
        <v>613</v>
      </c>
    </row>
    <row r="1480">
      <c r="A1480" t="inlineStr">
        <is>
          <t>Buy Dove Deeply Nourish 550ml Free Dove Deeply Nourish 400ml</t>
        </is>
      </c>
      <c r="B1480" t="inlineStr"/>
      <c r="C1480" t="inlineStr">
        <is>
          <t>42%</t>
        </is>
      </c>
      <c r="D1480" t="n">
        <v>79400</v>
      </c>
      <c r="E1480" t="n">
        <v>135750</v>
      </c>
      <c r="F1480" t="n">
        <v>79400</v>
      </c>
      <c r="G1480" t="n">
        <v>135750</v>
      </c>
      <c r="H1480" t="n">
        <v>79400</v>
      </c>
      <c r="I1480" t="n">
        <v>135750</v>
      </c>
      <c r="J1480" t="b">
        <v>0</v>
      </c>
      <c r="K1480" t="inlineStr">
        <is>
          <t>Unilever Indonesia Official Shop</t>
        </is>
      </c>
      <c r="L1480" t="inlineStr">
        <is>
          <t>KOTA BEKASI</t>
        </is>
      </c>
      <c r="M1480" t="n">
        <v>23106758703</v>
      </c>
      <c r="N1480" t="n">
        <v>14318452</v>
      </c>
      <c r="O1480">
        <f>HYPERLINK("https://shopee.co.id/api/v4/item/get?itemid=23106758703&amp;shopid=14318452", "Buy Dove Deeply Nourish 550ml Free Dove Deeply Nourish 400ml")</f>
        <v/>
      </c>
      <c r="P1480" t="n">
        <v>197</v>
      </c>
      <c r="Q1480" t="n">
        <v>157</v>
      </c>
      <c r="R1480" t="n">
        <v>4.787234042553192</v>
      </c>
      <c r="S1480" t="n">
        <v>1</v>
      </c>
      <c r="T1480" t="n">
        <v>0</v>
      </c>
      <c r="U1480" t="n">
        <v>4</v>
      </c>
      <c r="V1480" t="n">
        <v>8</v>
      </c>
      <c r="W1480" t="n">
        <v>81</v>
      </c>
    </row>
    <row r="1481">
      <c r="A1481" t="inlineStr">
        <is>
          <t>Buy 2 Vaseline Repairing Foot Mask get 1 Vaseline Repairing Hand Mask</t>
        </is>
      </c>
      <c r="B1481" t="inlineStr"/>
      <c r="C1481" t="inlineStr">
        <is>
          <t>4%</t>
        </is>
      </c>
      <c r="D1481" t="n">
        <v>83300</v>
      </c>
      <c r="E1481" t="n">
        <v>86900</v>
      </c>
      <c r="F1481" t="n">
        <v>83300</v>
      </c>
      <c r="G1481" t="n">
        <v>86900</v>
      </c>
      <c r="H1481" t="n">
        <v>83300</v>
      </c>
      <c r="I1481" t="n">
        <v>86900</v>
      </c>
      <c r="J1481" t="b">
        <v>0</v>
      </c>
      <c r="K1481" t="inlineStr">
        <is>
          <t>Unilever Indonesia Official Shop</t>
        </is>
      </c>
      <c r="L1481" t="inlineStr">
        <is>
          <t>KOTA BEKASI</t>
        </is>
      </c>
      <c r="M1481" t="n">
        <v>16345335028</v>
      </c>
      <c r="N1481" t="n">
        <v>14318452</v>
      </c>
      <c r="O1481">
        <f>HYPERLINK("https://shopee.co.id/api/v4/item/get?itemid=16345335028&amp;shopid=14318452", "Buy 2 Vaseline Repairing Foot Mask get 1 Vaseline Repairing Hand Mask")</f>
        <v/>
      </c>
      <c r="P1481" t="n">
        <v>197</v>
      </c>
      <c r="Q1481" t="n">
        <v>247</v>
      </c>
      <c r="R1481" t="n">
        <v>4.927710843373494</v>
      </c>
      <c r="S1481" t="n">
        <v>0</v>
      </c>
      <c r="T1481" t="n">
        <v>2</v>
      </c>
      <c r="U1481" t="n">
        <v>0</v>
      </c>
      <c r="V1481" t="n">
        <v>18</v>
      </c>
      <c r="W1481" t="n">
        <v>312</v>
      </c>
    </row>
    <row r="1482">
      <c r="A1482" t="inlineStr">
        <is>
          <t>Ponds Age Miracle Hya-Retinol Ultimate Glow Essence with Vit. C &amp; Niacinamide 110Ml</t>
        </is>
      </c>
      <c r="B1482" t="inlineStr"/>
      <c r="C1482" t="inlineStr">
        <is>
          <t>31%</t>
        </is>
      </c>
      <c r="D1482" t="n">
        <v>137100</v>
      </c>
      <c r="E1482" t="n">
        <v>199000</v>
      </c>
      <c r="F1482" t="n">
        <v>137100</v>
      </c>
      <c r="G1482" t="n">
        <v>199000</v>
      </c>
      <c r="H1482" t="n">
        <v>137100</v>
      </c>
      <c r="I1482" t="n">
        <v>199000</v>
      </c>
      <c r="J1482" t="b">
        <v>0</v>
      </c>
      <c r="K1482" t="inlineStr">
        <is>
          <t>Unilever Indonesia Official Shop</t>
        </is>
      </c>
      <c r="L1482" t="inlineStr">
        <is>
          <t>KOTA BEKASI</t>
        </is>
      </c>
      <c r="M1482" t="n">
        <v>11297929437</v>
      </c>
      <c r="N1482" t="n">
        <v>14318452</v>
      </c>
      <c r="O1482">
        <f>HYPERLINK("https://shopee.co.id/api/v4/item/get?itemid=11297929437&amp;shopid=14318452", "Ponds Age Miracle Hya-Retinol Ultimate Glow Essence with Vit. C &amp; Niacinamide 110Ml")</f>
        <v/>
      </c>
      <c r="P1482" t="n">
        <v>197</v>
      </c>
      <c r="Q1482" t="n">
        <v>1649</v>
      </c>
      <c r="R1482" t="n">
        <v>4.817073170731708</v>
      </c>
      <c r="S1482" t="n">
        <v>2</v>
      </c>
      <c r="T1482" t="n">
        <v>1</v>
      </c>
      <c r="U1482" t="n">
        <v>5</v>
      </c>
      <c r="V1482" t="n">
        <v>24</v>
      </c>
      <c r="W1482" t="n">
        <v>214</v>
      </c>
    </row>
    <row r="1483">
      <c r="A1483" t="inlineStr">
        <is>
          <t>Buy 1 Ponds Age Miracle Day Cream Whip 50gr Get 3 Ponds Ultimate Youth Serum</t>
        </is>
      </c>
      <c r="B1483" t="inlineStr"/>
      <c r="C1483" t="inlineStr">
        <is>
          <t>5%</t>
        </is>
      </c>
      <c r="D1483" t="n">
        <v>176900</v>
      </c>
      <c r="E1483" t="n">
        <v>185950</v>
      </c>
      <c r="F1483" t="n">
        <v>176900</v>
      </c>
      <c r="G1483" t="n">
        <v>185950</v>
      </c>
      <c r="H1483" t="n">
        <v>176900</v>
      </c>
      <c r="I1483" t="n">
        <v>185950</v>
      </c>
      <c r="J1483" t="b">
        <v>0</v>
      </c>
      <c r="K1483" t="inlineStr">
        <is>
          <t>Unilever Indonesia Official Shop</t>
        </is>
      </c>
      <c r="L1483" t="inlineStr">
        <is>
          <t>KOTA BEKASI</t>
        </is>
      </c>
      <c r="M1483" t="n">
        <v>20547554141</v>
      </c>
      <c r="N1483" t="n">
        <v>14318452</v>
      </c>
      <c r="O1483">
        <f>HYPERLINK("https://shopee.co.id/api/v4/item/get?itemid=20547554141&amp;shopid=14318452", "Buy 1 Ponds Age Miracle Day Cream Whip 50gr Get 3 Ponds Ultimate Youth Serum")</f>
        <v/>
      </c>
      <c r="P1483" t="n">
        <v>192</v>
      </c>
      <c r="Q1483" t="n">
        <v>189</v>
      </c>
      <c r="R1483" t="n">
        <v>4.854545454545454</v>
      </c>
      <c r="S1483" t="n">
        <v>0</v>
      </c>
      <c r="T1483" t="n">
        <v>1</v>
      </c>
      <c r="U1483" t="n">
        <v>0</v>
      </c>
      <c r="V1483" t="n">
        <v>5</v>
      </c>
      <c r="W1483" t="n">
        <v>49</v>
      </c>
    </row>
    <row r="1484">
      <c r="A1484" t="inlineStr">
        <is>
          <t>Dove Micellar Shampoo Deep Cleanse Nourishment Perawatan Rambut Kering 190Ml</t>
        </is>
      </c>
      <c r="B1484" t="inlineStr"/>
      <c r="C1484" t="inlineStr">
        <is>
          <t>2%</t>
        </is>
      </c>
      <c r="D1484" t="n">
        <v>40000</v>
      </c>
      <c r="E1484" t="n">
        <v>41000</v>
      </c>
      <c r="F1484" t="n">
        <v>40000</v>
      </c>
      <c r="G1484" t="n">
        <v>41000</v>
      </c>
      <c r="H1484" t="n">
        <v>40000</v>
      </c>
      <c r="I1484" t="n">
        <v>41000</v>
      </c>
      <c r="J1484" t="b">
        <v>0</v>
      </c>
      <c r="K1484" t="inlineStr">
        <is>
          <t>Unilever Indonesia Official Shop</t>
        </is>
      </c>
      <c r="L1484" t="inlineStr">
        <is>
          <t>KOTA BEKASI</t>
        </is>
      </c>
      <c r="M1484" t="n">
        <v>16476653798</v>
      </c>
      <c r="N1484" t="n">
        <v>14318452</v>
      </c>
      <c r="O1484">
        <f>HYPERLINK("https://shopee.co.id/api/v4/item/get?itemid=16476653798&amp;shopid=14318452", "Dove Micellar Shampoo Deep Cleanse Nourishment Perawatan Rambut Kering 190Ml")</f>
        <v/>
      </c>
      <c r="P1484" t="n">
        <v>190</v>
      </c>
      <c r="Q1484" t="n">
        <v>326</v>
      </c>
      <c r="R1484" t="n">
        <v>4.936170212765957</v>
      </c>
      <c r="S1484" t="n">
        <v>0</v>
      </c>
      <c r="T1484" t="n">
        <v>0</v>
      </c>
      <c r="U1484" t="n">
        <v>2</v>
      </c>
      <c r="V1484" t="n">
        <v>32</v>
      </c>
      <c r="W1484" t="n">
        <v>530</v>
      </c>
    </row>
    <row r="1485">
      <c r="A1485" t="inlineStr">
        <is>
          <t>SUNLIGHT SABUN CUCI PIRING KOREAN STRAWBERRY 560ML x 2 pack</t>
        </is>
      </c>
      <c r="B1485" t="inlineStr"/>
      <c r="C1485" t="inlineStr">
        <is>
          <t>17%</t>
        </is>
      </c>
      <c r="D1485" t="n">
        <v>22300</v>
      </c>
      <c r="E1485" t="n">
        <v>27000</v>
      </c>
      <c r="F1485" t="n">
        <v>22300</v>
      </c>
      <c r="G1485" t="n">
        <v>27000</v>
      </c>
      <c r="H1485" t="n">
        <v>22300</v>
      </c>
      <c r="I1485" t="n">
        <v>27000</v>
      </c>
      <c r="J1485" t="b">
        <v>0</v>
      </c>
      <c r="K1485" t="inlineStr">
        <is>
          <t>Unilever Indonesia Official Shop</t>
        </is>
      </c>
      <c r="L1485" t="inlineStr">
        <is>
          <t>KOTA BEKASI</t>
        </is>
      </c>
      <c r="M1485" t="n">
        <v>23509277009</v>
      </c>
      <c r="N1485" t="n">
        <v>14318452</v>
      </c>
      <c r="O1485">
        <f>HYPERLINK("https://shopee.co.id/api/v4/item/get?itemid=23509277009&amp;shopid=14318452", "SUNLIGHT SABUN CUCI PIRING KOREAN STRAWBERRY 560ML x 2 pack")</f>
        <v/>
      </c>
      <c r="P1485" t="n">
        <v>189</v>
      </c>
      <c r="Q1485" t="n">
        <v>3384</v>
      </c>
      <c r="R1485" t="n">
        <v>4.858974358974359</v>
      </c>
      <c r="S1485" t="n">
        <v>1</v>
      </c>
      <c r="T1485" t="n">
        <v>0</v>
      </c>
      <c r="U1485" t="n">
        <v>2</v>
      </c>
      <c r="V1485" t="n">
        <v>3</v>
      </c>
      <c r="W1485" t="n">
        <v>72</v>
      </c>
    </row>
    <row r="1486">
      <c r="A1486" t="inlineStr">
        <is>
          <t>Buy 2 Lux Hijab 825ml FREE Lux Hijab Scrub 100ml</t>
        </is>
      </c>
      <c r="B1486" t="inlineStr"/>
      <c r="C1486" t="inlineStr">
        <is>
          <t>21%</t>
        </is>
      </c>
      <c r="D1486" t="n">
        <v>82500</v>
      </c>
      <c r="E1486" t="n">
        <v>104000</v>
      </c>
      <c r="F1486" t="n">
        <v>82500</v>
      </c>
      <c r="G1486" t="n">
        <v>104000</v>
      </c>
      <c r="H1486" t="n">
        <v>82500</v>
      </c>
      <c r="I1486" t="n">
        <v>104000</v>
      </c>
      <c r="J1486" t="b">
        <v>0</v>
      </c>
      <c r="K1486" t="inlineStr">
        <is>
          <t>Unilever Indonesia Official Shop</t>
        </is>
      </c>
      <c r="L1486" t="inlineStr">
        <is>
          <t>KOTA BEKASI</t>
        </is>
      </c>
      <c r="M1486" t="n">
        <v>21847574061</v>
      </c>
      <c r="N1486" t="n">
        <v>14318452</v>
      </c>
      <c r="O1486">
        <f>HYPERLINK("https://shopee.co.id/api/v4/item/get?itemid=21847574061&amp;shopid=14318452", "Buy 2 Lux Hijab 825ml FREE Lux Hijab Scrub 100ml")</f>
        <v/>
      </c>
      <c r="P1486" t="n">
        <v>188</v>
      </c>
      <c r="Q1486" t="n">
        <v>458</v>
      </c>
      <c r="R1486" t="n">
        <v>4.859649122807017</v>
      </c>
      <c r="S1486" t="n">
        <v>3</v>
      </c>
      <c r="T1486" t="n">
        <v>0</v>
      </c>
      <c r="U1486" t="n">
        <v>1</v>
      </c>
      <c r="V1486" t="n">
        <v>2</v>
      </c>
      <c r="W1486" t="n">
        <v>108</v>
      </c>
    </row>
    <row r="1487">
      <c r="A1487" t="inlineStr">
        <is>
          <t>Wipol Professional Disinfektan Bkc Pembersih Lantai Sereh Jeruk 4.5L Jerigen</t>
        </is>
      </c>
      <c r="B1487" t="inlineStr"/>
      <c r="C1487" t="inlineStr">
        <is>
          <t>5%</t>
        </is>
      </c>
      <c r="D1487" t="n">
        <v>97900</v>
      </c>
      <c r="E1487" t="n">
        <v>103000</v>
      </c>
      <c r="F1487" t="n">
        <v>97900</v>
      </c>
      <c r="G1487" t="n">
        <v>103000</v>
      </c>
      <c r="H1487" t="n">
        <v>97900</v>
      </c>
      <c r="I1487" t="n">
        <v>103000</v>
      </c>
      <c r="J1487" t="b">
        <v>0</v>
      </c>
      <c r="K1487" t="inlineStr">
        <is>
          <t>Unilever Indonesia Official Shop</t>
        </is>
      </c>
      <c r="L1487" t="inlineStr">
        <is>
          <t>KOTA BEKASI</t>
        </is>
      </c>
      <c r="M1487" t="n">
        <v>10995224946</v>
      </c>
      <c r="N1487" t="n">
        <v>14318452</v>
      </c>
      <c r="O1487">
        <f>HYPERLINK("https://shopee.co.id/api/v4/item/get?itemid=10995224946&amp;shopid=14318452", "Wipol Professional Disinfektan Bkc Pembersih Lantai Sereh Jeruk 4.5L Jerigen")</f>
        <v/>
      </c>
      <c r="P1487" t="n">
        <v>187</v>
      </c>
      <c r="Q1487" t="n">
        <v>122</v>
      </c>
      <c r="R1487" t="n">
        <v>4.896995708154506</v>
      </c>
      <c r="S1487" t="n">
        <v>1</v>
      </c>
      <c r="T1487" t="n">
        <v>1</v>
      </c>
      <c r="U1487" t="n">
        <v>4</v>
      </c>
      <c r="V1487" t="n">
        <v>9</v>
      </c>
      <c r="W1487" t="n">
        <v>218</v>
      </c>
    </row>
    <row r="1488">
      <c r="A1488" t="inlineStr">
        <is>
          <t>JAWARA SAUS SAMBAL BAWANG GORENG EXTRA HOT POUCH 250ML Twinpack</t>
        </is>
      </c>
      <c r="B1488" t="inlineStr"/>
      <c r="C1488" t="inlineStr">
        <is>
          <t>13%</t>
        </is>
      </c>
      <c r="D1488" t="n">
        <v>24000</v>
      </c>
      <c r="E1488" t="n">
        <v>27700</v>
      </c>
      <c r="F1488" t="n">
        <v>24000</v>
      </c>
      <c r="G1488" t="n">
        <v>27700</v>
      </c>
      <c r="H1488" t="n">
        <v>24000</v>
      </c>
      <c r="I1488" t="n">
        <v>27700</v>
      </c>
      <c r="J1488" t="b">
        <v>0</v>
      </c>
      <c r="K1488" t="inlineStr">
        <is>
          <t>Unilever Indonesia Official Shop</t>
        </is>
      </c>
      <c r="L1488" t="inlineStr">
        <is>
          <t>KOTA BEKASI</t>
        </is>
      </c>
      <c r="M1488" t="n">
        <v>10189950709</v>
      </c>
      <c r="N1488" t="n">
        <v>14318452</v>
      </c>
      <c r="O1488">
        <f>HYPERLINK("https://shopee.co.id/api/v4/item/get?itemid=10189950709&amp;shopid=14318452", "JAWARA SAUS SAMBAL BAWANG GORENG EXTRA HOT POUCH 250ML Twinpack")</f>
        <v/>
      </c>
      <c r="P1488" t="n">
        <v>186</v>
      </c>
      <c r="Q1488" t="n">
        <v>229</v>
      </c>
      <c r="R1488" t="n">
        <v>4.920454545454546</v>
      </c>
      <c r="S1488" t="n">
        <v>1</v>
      </c>
      <c r="T1488" t="n">
        <v>0</v>
      </c>
      <c r="U1488" t="n">
        <v>0</v>
      </c>
      <c r="V1488" t="n">
        <v>10</v>
      </c>
      <c r="W1488" t="n">
        <v>165</v>
      </c>
    </row>
    <row r="1489">
      <c r="A1489" t="inlineStr">
        <is>
          <t>Buy 1 Dove Dry Serum 50ml FREE Pink Razor</t>
        </is>
      </c>
      <c r="B1489" t="inlineStr"/>
      <c r="C1489" t="inlineStr">
        <is>
          <t>35%</t>
        </is>
      </c>
      <c r="D1489" t="n">
        <v>21300</v>
      </c>
      <c r="E1489" t="n">
        <v>32950</v>
      </c>
      <c r="F1489" t="n">
        <v>21300</v>
      </c>
      <c r="G1489" t="n">
        <v>32950</v>
      </c>
      <c r="H1489" t="n">
        <v>21300</v>
      </c>
      <c r="I1489" t="n">
        <v>32950</v>
      </c>
      <c r="J1489" t="b">
        <v>0</v>
      </c>
      <c r="K1489" t="inlineStr">
        <is>
          <t>Unilever Indonesia Official Shop</t>
        </is>
      </c>
      <c r="L1489" t="inlineStr">
        <is>
          <t>KOTA BEKASI</t>
        </is>
      </c>
      <c r="M1489" t="n">
        <v>20755326772</v>
      </c>
      <c r="N1489" t="n">
        <v>14318452</v>
      </c>
      <c r="O1489">
        <f>HYPERLINK("https://shopee.co.id/api/v4/item/get?itemid=20755326772&amp;shopid=14318452", "Buy 1 Dove Dry Serum 50ml FREE Pink Razor")</f>
        <v/>
      </c>
      <c r="P1489" t="n">
        <v>183</v>
      </c>
      <c r="Q1489" t="n">
        <v>1230</v>
      </c>
      <c r="R1489" t="n">
        <v>4.906976744186046</v>
      </c>
      <c r="S1489" t="n">
        <v>0</v>
      </c>
      <c r="T1489" t="n">
        <v>1</v>
      </c>
      <c r="U1489" t="n">
        <v>0</v>
      </c>
      <c r="V1489" t="n">
        <v>5</v>
      </c>
      <c r="W1489" t="n">
        <v>80</v>
      </c>
    </row>
    <row r="1490">
      <c r="A1490" t="inlineStr">
        <is>
          <t>Buy 2 Lifebuoy Hand Wash Lemon Fresh 180ml Free Juara Cuci Tangan Kit</t>
        </is>
      </c>
      <c r="B1490" t="inlineStr"/>
      <c r="C1490" t="inlineStr">
        <is>
          <t>28%</t>
        </is>
      </c>
      <c r="D1490" t="n">
        <v>25100</v>
      </c>
      <c r="E1490" t="n">
        <v>35000</v>
      </c>
      <c r="F1490" t="n">
        <v>25100</v>
      </c>
      <c r="G1490" t="n">
        <v>35000</v>
      </c>
      <c r="H1490" t="n">
        <v>25100</v>
      </c>
      <c r="I1490" t="n">
        <v>35000</v>
      </c>
      <c r="J1490" t="b">
        <v>0</v>
      </c>
      <c r="K1490" t="inlineStr">
        <is>
          <t>Unilever Indonesia Official Shop</t>
        </is>
      </c>
      <c r="L1490" t="inlineStr">
        <is>
          <t>KOTA BEKASI</t>
        </is>
      </c>
      <c r="M1490" t="n">
        <v>20955578172</v>
      </c>
      <c r="N1490" t="n">
        <v>14318452</v>
      </c>
      <c r="O1490">
        <f>HYPERLINK("https://shopee.co.id/api/v4/item/get?itemid=20955578172&amp;shopid=14318452", "Buy 2 Lifebuoy Hand Wash Lemon Fresh 180ml Free Juara Cuci Tangan Kit")</f>
        <v/>
      </c>
      <c r="P1490" t="n">
        <v>179</v>
      </c>
      <c r="Q1490" t="n">
        <v>130</v>
      </c>
      <c r="R1490" t="n">
        <v>4.832432432432433</v>
      </c>
      <c r="S1490" t="n">
        <v>2</v>
      </c>
      <c r="T1490" t="n">
        <v>1</v>
      </c>
      <c r="U1490" t="n">
        <v>2</v>
      </c>
      <c r="V1490" t="n">
        <v>16</v>
      </c>
      <c r="W1490" t="n">
        <v>164</v>
      </c>
    </row>
    <row r="1491">
      <c r="A1491" t="inlineStr">
        <is>
          <t>[Buy 2 Get 1 Free] Buy Vaseline Lip Care Rosy Tinted &amp; Original 10gr Get Soft Glow Serum 100ml</t>
        </is>
      </c>
      <c r="B1491" t="inlineStr"/>
      <c r="C1491" t="inlineStr">
        <is>
          <t>33%</t>
        </is>
      </c>
      <c r="D1491" t="n">
        <v>59900</v>
      </c>
      <c r="E1491" t="n">
        <v>89300</v>
      </c>
      <c r="F1491" t="n">
        <v>59900</v>
      </c>
      <c r="G1491" t="n">
        <v>89300</v>
      </c>
      <c r="H1491" t="n">
        <v>59900</v>
      </c>
      <c r="I1491" t="n">
        <v>89300</v>
      </c>
      <c r="J1491" t="b">
        <v>0</v>
      </c>
      <c r="K1491" t="inlineStr">
        <is>
          <t>Unilever Indonesia Official Shop</t>
        </is>
      </c>
      <c r="L1491" t="inlineStr">
        <is>
          <t>KOTA BEKASI</t>
        </is>
      </c>
      <c r="M1491" t="n">
        <v>20959336955</v>
      </c>
      <c r="N1491" t="n">
        <v>14318452</v>
      </c>
      <c r="O1491">
        <f>HYPERLINK("https://shopee.co.id/api/v4/item/get?itemid=20959336955&amp;shopid=14318452", "[Buy 2 Get 1 Free] Buy Vaseline Lip Care Rosy Tinted &amp; Original 10gr Get Soft Glow Serum 100ml")</f>
        <v/>
      </c>
      <c r="P1491" t="n">
        <v>178</v>
      </c>
      <c r="Q1491" t="n">
        <v>130</v>
      </c>
      <c r="R1491" t="n">
        <v>4.925531914893617</v>
      </c>
      <c r="S1491" t="n">
        <v>0</v>
      </c>
      <c r="T1491" t="n">
        <v>1</v>
      </c>
      <c r="U1491" t="n">
        <v>0</v>
      </c>
      <c r="V1491" t="n">
        <v>4</v>
      </c>
      <c r="W1491" t="n">
        <v>89</v>
      </c>
    </row>
    <row r="1492">
      <c r="A1492" t="inlineStr">
        <is>
          <t>Buy Citra Bengkoang Natural Glow UV Lotion 380ml Get 1 Retinol &amp; Niacinamide Anti Aging Serum 7G</t>
        </is>
      </c>
      <c r="B1492" t="inlineStr"/>
      <c r="C1492" t="inlineStr">
        <is>
          <t>1%</t>
        </is>
      </c>
      <c r="D1492" t="n">
        <v>39500</v>
      </c>
      <c r="E1492" t="n">
        <v>39850</v>
      </c>
      <c r="F1492" t="n">
        <v>39500</v>
      </c>
      <c r="G1492" t="n">
        <v>39850</v>
      </c>
      <c r="H1492" t="n">
        <v>39500</v>
      </c>
      <c r="I1492" t="n">
        <v>39850</v>
      </c>
      <c r="J1492" t="b">
        <v>0</v>
      </c>
      <c r="K1492" t="inlineStr">
        <is>
          <t>Unilever Indonesia Official Shop</t>
        </is>
      </c>
      <c r="L1492" t="inlineStr">
        <is>
          <t>KOTA BEKASI</t>
        </is>
      </c>
      <c r="M1492" t="n">
        <v>21237523204</v>
      </c>
      <c r="N1492" t="n">
        <v>14318452</v>
      </c>
      <c r="O1492">
        <f>HYPERLINK("https://shopee.co.id/api/v4/item/get?itemid=21237523204&amp;shopid=14318452", "Buy Citra Bengkoang Natural Glow UV Lotion 380ml Get 1 Retinol &amp; Niacinamide Anti Aging Serum 7G")</f>
        <v/>
      </c>
      <c r="P1492" t="n">
        <v>176</v>
      </c>
      <c r="Q1492" t="n">
        <v>306</v>
      </c>
      <c r="R1492" t="n">
        <v>4.849785407725322</v>
      </c>
      <c r="S1492" t="n">
        <v>1</v>
      </c>
      <c r="T1492" t="n">
        <v>2</v>
      </c>
      <c r="U1492" t="n">
        <v>6</v>
      </c>
      <c r="V1492" t="n">
        <v>13</v>
      </c>
      <c r="W1492" t="n">
        <v>211</v>
      </c>
    </row>
    <row r="1493">
      <c r="A1493" t="inlineStr">
        <is>
          <t>SUNLIGHT SABUN CUCI PIRING KOREAN STRAWBERRY 560ML x 3 pack</t>
        </is>
      </c>
      <c r="B1493" t="inlineStr"/>
      <c r="C1493" t="inlineStr">
        <is>
          <t>18%</t>
        </is>
      </c>
      <c r="D1493" t="n">
        <v>33100</v>
      </c>
      <c r="E1493" t="n">
        <v>40500</v>
      </c>
      <c r="F1493" t="n">
        <v>33100</v>
      </c>
      <c r="G1493" t="n">
        <v>40500</v>
      </c>
      <c r="H1493" t="n">
        <v>33100</v>
      </c>
      <c r="I1493" t="n">
        <v>40500</v>
      </c>
      <c r="J1493" t="b">
        <v>0</v>
      </c>
      <c r="K1493" t="inlineStr">
        <is>
          <t>Unilever Indonesia Official Shop</t>
        </is>
      </c>
      <c r="L1493" t="inlineStr">
        <is>
          <t>KOTA BEKASI</t>
        </is>
      </c>
      <c r="M1493" t="n">
        <v>18266995221</v>
      </c>
      <c r="N1493" t="n">
        <v>14318452</v>
      </c>
      <c r="O1493">
        <f>HYPERLINK("https://shopee.co.id/api/v4/item/get?itemid=18266995221&amp;shopid=14318452", "SUNLIGHT SABUN CUCI PIRING KOREAN STRAWBERRY 560ML x 3 pack")</f>
        <v/>
      </c>
      <c r="P1493" t="n">
        <v>168</v>
      </c>
      <c r="Q1493" t="n">
        <v>2254</v>
      </c>
      <c r="R1493" t="n">
        <v>4.983050847457627</v>
      </c>
      <c r="S1493" t="n">
        <v>0</v>
      </c>
      <c r="T1493" t="n">
        <v>0</v>
      </c>
      <c r="U1493" t="n">
        <v>0</v>
      </c>
      <c r="V1493" t="n">
        <v>1</v>
      </c>
      <c r="W1493" t="n">
        <v>58</v>
      </c>
    </row>
    <row r="1494">
      <c r="A1494" t="inlineStr">
        <is>
          <t>Buy 2 TRESemme Keratin Smooth 850ml FREE TRESemme Keratin Smooth Conditioner 340ml</t>
        </is>
      </c>
      <c r="B1494" t="inlineStr"/>
      <c r="C1494" t="inlineStr">
        <is>
          <t>40%</t>
        </is>
      </c>
      <c r="D1494" t="n">
        <v>179600</v>
      </c>
      <c r="E1494" t="n">
        <v>300200</v>
      </c>
      <c r="F1494" t="n">
        <v>179600</v>
      </c>
      <c r="G1494" t="n">
        <v>300200</v>
      </c>
      <c r="H1494" t="n">
        <v>179600</v>
      </c>
      <c r="I1494" t="n">
        <v>300200</v>
      </c>
      <c r="J1494" t="b">
        <v>0</v>
      </c>
      <c r="K1494" t="inlineStr">
        <is>
          <t>Unilever Indonesia Official Shop</t>
        </is>
      </c>
      <c r="L1494" t="inlineStr">
        <is>
          <t>KOTA BEKASI</t>
        </is>
      </c>
      <c r="M1494" t="n">
        <v>20464959053</v>
      </c>
      <c r="N1494" t="n">
        <v>14318452</v>
      </c>
      <c r="O1494">
        <f>HYPERLINK("https://shopee.co.id/api/v4/item/get?itemid=20464959053&amp;shopid=14318452", "Buy 2 TRESemme Keratin Smooth 850ml FREE TRESemme Keratin Smooth Conditioner 340ml")</f>
        <v/>
      </c>
      <c r="P1494" t="n">
        <v>161</v>
      </c>
      <c r="Q1494" t="n">
        <v>253</v>
      </c>
      <c r="R1494" t="n">
        <v>4.955882352941177</v>
      </c>
      <c r="S1494" t="n">
        <v>0</v>
      </c>
      <c r="T1494" t="n">
        <v>0</v>
      </c>
      <c r="U1494" t="n">
        <v>0</v>
      </c>
      <c r="V1494" t="n">
        <v>3</v>
      </c>
      <c r="W1494" t="n">
        <v>65</v>
      </c>
    </row>
    <row r="1495">
      <c r="A1495" t="inlineStr">
        <is>
          <t>Buy 1 Dove Micellar Shampoo Hair Boost Nourishment 430ml Free Scrunchie</t>
        </is>
      </c>
      <c r="B1495" t="inlineStr"/>
      <c r="C1495" t="inlineStr">
        <is>
          <t>10%</t>
        </is>
      </c>
      <c r="D1495" t="n">
        <v>70700</v>
      </c>
      <c r="E1495" t="n">
        <v>78900</v>
      </c>
      <c r="F1495" t="n">
        <v>70700</v>
      </c>
      <c r="G1495" t="n">
        <v>78900</v>
      </c>
      <c r="H1495" t="n">
        <v>70700</v>
      </c>
      <c r="I1495" t="n">
        <v>78900</v>
      </c>
      <c r="J1495" t="b">
        <v>0</v>
      </c>
      <c r="K1495" t="inlineStr">
        <is>
          <t>Unilever Indonesia Official Shop</t>
        </is>
      </c>
      <c r="L1495" t="inlineStr">
        <is>
          <t>KOTA BEKASI</t>
        </is>
      </c>
      <c r="M1495" t="n">
        <v>19220175933</v>
      </c>
      <c r="N1495" t="n">
        <v>14318452</v>
      </c>
      <c r="O1495">
        <f>HYPERLINK("https://shopee.co.id/api/v4/item/get?itemid=19220175933&amp;shopid=14318452", "Buy 1 Dove Micellar Shampoo Hair Boost Nourishment 430ml Free Scrunchie")</f>
        <v/>
      </c>
      <c r="P1495" t="n">
        <v>151</v>
      </c>
      <c r="Q1495" t="n">
        <v>73</v>
      </c>
      <c r="R1495" t="n">
        <v>4.624338624338624</v>
      </c>
      <c r="S1495" t="n">
        <v>19</v>
      </c>
      <c r="T1495" t="n">
        <v>7</v>
      </c>
      <c r="U1495" t="n">
        <v>15</v>
      </c>
      <c r="V1495" t="n">
        <v>23</v>
      </c>
      <c r="W1495" t="n">
        <v>316</v>
      </c>
    </row>
    <row r="1496">
      <c r="A1496" t="inlineStr">
        <is>
          <t>DOVE WOMEN ANTIPERSPIRANT AEROSOL GO FRESH PEAR &amp; ALOE VERA 150ML</t>
        </is>
      </c>
      <c r="B1496" t="inlineStr"/>
      <c r="C1496" t="inlineStr">
        <is>
          <t>8%</t>
        </is>
      </c>
      <c r="D1496" t="n">
        <v>37200</v>
      </c>
      <c r="E1496" t="n">
        <v>40250</v>
      </c>
      <c r="F1496" t="n">
        <v>37200</v>
      </c>
      <c r="G1496" t="n">
        <v>40250</v>
      </c>
      <c r="H1496" t="n">
        <v>37200</v>
      </c>
      <c r="I1496" t="n">
        <v>40250</v>
      </c>
      <c r="J1496" t="b">
        <v>0</v>
      </c>
      <c r="K1496" t="inlineStr">
        <is>
          <t>Unilever Indonesia Official Shop</t>
        </is>
      </c>
      <c r="L1496" t="inlineStr">
        <is>
          <t>KOTA BALIKPAPAN</t>
        </is>
      </c>
      <c r="M1496" t="n">
        <v>16624663813</v>
      </c>
      <c r="N1496" t="n">
        <v>14318452</v>
      </c>
      <c r="O1496">
        <f>HYPERLINK("https://shopee.co.id/api/v4/item/get?itemid=16624663813&amp;shopid=14318452", "DOVE WOMEN ANTIPERSPIRANT AEROSOL GO FRESH PEAR &amp; ALOE VERA 150ML")</f>
        <v/>
      </c>
      <c r="P1496" t="n">
        <v>150</v>
      </c>
      <c r="Q1496" t="n">
        <v>1</v>
      </c>
      <c r="R1496" t="n">
        <v>4.908496732026144</v>
      </c>
      <c r="S1496" t="n">
        <v>2</v>
      </c>
      <c r="T1496" t="n">
        <v>0</v>
      </c>
      <c r="U1496" t="n">
        <v>3</v>
      </c>
      <c r="V1496" t="n">
        <v>14</v>
      </c>
      <c r="W1496" t="n">
        <v>287</v>
      </c>
    </row>
    <row r="1497">
      <c r="A1497" t="inlineStr">
        <is>
          <t>Buy Ponds Age Miracle Double Action Serum 30ml Get Face Whip 20gr</t>
        </is>
      </c>
      <c r="B1497" t="inlineStr"/>
      <c r="C1497" t="inlineStr">
        <is>
          <t>39%</t>
        </is>
      </c>
      <c r="D1497" t="n">
        <v>192900</v>
      </c>
      <c r="E1497" t="n">
        <v>316000</v>
      </c>
      <c r="F1497" t="n">
        <v>192900</v>
      </c>
      <c r="G1497" t="n">
        <v>316000</v>
      </c>
      <c r="H1497" t="n">
        <v>192900</v>
      </c>
      <c r="I1497" t="n">
        <v>316000</v>
      </c>
      <c r="J1497" t="b">
        <v>0</v>
      </c>
      <c r="K1497" t="inlineStr">
        <is>
          <t>Unilever Indonesia Official Shop</t>
        </is>
      </c>
      <c r="L1497" t="inlineStr">
        <is>
          <t>KOTA BEKASI</t>
        </is>
      </c>
      <c r="M1497" t="n">
        <v>20911670334</v>
      </c>
      <c r="N1497" t="n">
        <v>14318452</v>
      </c>
      <c r="O1497">
        <f>HYPERLINK("https://shopee.co.id/api/v4/item/get?itemid=20911670334&amp;shopid=14318452", "Buy Ponds Age Miracle Double Action Serum 30ml Get Face Whip 20gr")</f>
        <v/>
      </c>
      <c r="P1497" t="n">
        <v>145</v>
      </c>
      <c r="Q1497" t="n">
        <v>460</v>
      </c>
      <c r="R1497" t="n">
        <v>4.938405797101449</v>
      </c>
      <c r="S1497" t="n">
        <v>0</v>
      </c>
      <c r="T1497" t="n">
        <v>1</v>
      </c>
      <c r="U1497" t="n">
        <v>0</v>
      </c>
      <c r="V1497" t="n">
        <v>14</v>
      </c>
      <c r="W1497" t="n">
        <v>262</v>
      </c>
    </row>
    <row r="1498">
      <c r="A1498" t="inlineStr">
        <is>
          <t>[Buy 2 Get 1 Free] GLOW &amp; LOVELY Multi Vitamin CREAM 46G</t>
        </is>
      </c>
      <c r="B1498" t="inlineStr"/>
      <c r="C1498" t="inlineStr">
        <is>
          <t>44%</t>
        </is>
      </c>
      <c r="D1498" t="n">
        <v>68800</v>
      </c>
      <c r="E1498" t="n">
        <v>122400</v>
      </c>
      <c r="F1498" t="n">
        <v>68800</v>
      </c>
      <c r="G1498" t="n">
        <v>122400</v>
      </c>
      <c r="H1498" t="n">
        <v>68800</v>
      </c>
      <c r="I1498" t="n">
        <v>122400</v>
      </c>
      <c r="J1498" t="b">
        <v>0</v>
      </c>
      <c r="K1498" t="inlineStr">
        <is>
          <t>Unilever Indonesia Official Shop</t>
        </is>
      </c>
      <c r="L1498" t="inlineStr">
        <is>
          <t>KOTA BEKASI</t>
        </is>
      </c>
      <c r="M1498" t="n">
        <v>23709908674</v>
      </c>
      <c r="N1498" t="n">
        <v>14318452</v>
      </c>
      <c r="O1498">
        <f>HYPERLINK("https://shopee.co.id/api/v4/item/get?itemid=23709908674&amp;shopid=14318452", "[Buy 2 Get 1 Free] GLOW &amp; LOVELY Multi Vitamin CREAM 46G")</f>
        <v/>
      </c>
      <c r="P1498" t="n">
        <v>142</v>
      </c>
      <c r="Q1498" t="n">
        <v>305</v>
      </c>
      <c r="R1498" t="n">
        <v>4.875</v>
      </c>
      <c r="S1498" t="n">
        <v>0</v>
      </c>
      <c r="T1498" t="n">
        <v>0</v>
      </c>
      <c r="U1498" t="n">
        <v>1</v>
      </c>
      <c r="V1498" t="n">
        <v>0</v>
      </c>
      <c r="W1498" t="n">
        <v>15</v>
      </c>
    </row>
    <row r="1499">
      <c r="A1499" t="inlineStr">
        <is>
          <t>Buy 1 Clear Complete Soft Care 1200ml FREE Clear Men Cool Sport Menthol 300ml</t>
        </is>
      </c>
      <c r="B1499" t="inlineStr"/>
      <c r="C1499" t="inlineStr">
        <is>
          <t>13%</t>
        </is>
      </c>
      <c r="D1499" t="n">
        <v>113300</v>
      </c>
      <c r="E1499" t="n">
        <v>130000</v>
      </c>
      <c r="F1499" t="n">
        <v>113300</v>
      </c>
      <c r="G1499" t="n">
        <v>130000</v>
      </c>
      <c r="H1499" t="n">
        <v>113300</v>
      </c>
      <c r="I1499" t="n">
        <v>130000</v>
      </c>
      <c r="J1499" t="b">
        <v>0</v>
      </c>
      <c r="K1499" t="inlineStr">
        <is>
          <t>Unilever Indonesia Official Shop</t>
        </is>
      </c>
      <c r="L1499" t="inlineStr">
        <is>
          <t>KOTA BEKASI</t>
        </is>
      </c>
      <c r="M1499" t="n">
        <v>19945135295</v>
      </c>
      <c r="N1499" t="n">
        <v>14318452</v>
      </c>
      <c r="O1499">
        <f>HYPERLINK("https://shopee.co.id/api/v4/item/get?itemid=19945135295&amp;shopid=14318452", "Buy 1 Clear Complete Soft Care 1200ml FREE Clear Men Cool Sport Menthol 300ml")</f>
        <v/>
      </c>
      <c r="P1499" t="n">
        <v>142</v>
      </c>
      <c r="Q1499" t="n">
        <v>13</v>
      </c>
      <c r="R1499" t="n">
        <v>4.850574712643678</v>
      </c>
      <c r="S1499" t="n">
        <v>1</v>
      </c>
      <c r="T1499" t="n">
        <v>1</v>
      </c>
      <c r="U1499" t="n">
        <v>2</v>
      </c>
      <c r="V1499" t="n">
        <v>2</v>
      </c>
      <c r="W1499" t="n">
        <v>81</v>
      </c>
    </row>
    <row r="1500">
      <c r="A1500" t="inlineStr">
        <is>
          <t>Lifebuoy Shampoo Anti Ketombe Dandruff shampoo Refresh &amp; Cool &amp; Anti Gatal 310ML</t>
        </is>
      </c>
      <c r="B1500" t="inlineStr"/>
      <c r="C1500" t="inlineStr">
        <is>
          <t>1%</t>
        </is>
      </c>
      <c r="D1500" t="n">
        <v>42200</v>
      </c>
      <c r="E1500" t="n">
        <v>42600</v>
      </c>
      <c r="F1500" t="n">
        <v>42200</v>
      </c>
      <c r="G1500" t="n">
        <v>42600</v>
      </c>
      <c r="H1500" t="n">
        <v>42200</v>
      </c>
      <c r="I1500" t="n">
        <v>42600</v>
      </c>
      <c r="J1500" t="b">
        <v>0</v>
      </c>
      <c r="K1500" t="inlineStr">
        <is>
          <t>Unilever Indonesia Official Shop</t>
        </is>
      </c>
      <c r="L1500" t="inlineStr">
        <is>
          <t>KOTA BEKASI</t>
        </is>
      </c>
      <c r="M1500" t="n">
        <v>17687373191</v>
      </c>
      <c r="N1500" t="n">
        <v>14318452</v>
      </c>
      <c r="O1500">
        <f>HYPERLINK("https://shopee.co.id/api/v4/item/get?itemid=17687373191&amp;shopid=14318452", "Lifebuoy Shampoo Anti Ketombe Dandruff shampoo Refresh &amp; Cool &amp; Anti Gatal 310ML")</f>
        <v/>
      </c>
      <c r="P1500" t="n">
        <v>142</v>
      </c>
      <c r="Q1500" t="n">
        <v>88</v>
      </c>
      <c r="R1500" t="n">
        <v>4.902777777777778</v>
      </c>
      <c r="S1500" t="n">
        <v>0</v>
      </c>
      <c r="T1500" t="n">
        <v>0</v>
      </c>
      <c r="U1500" t="n">
        <v>1</v>
      </c>
      <c r="V1500" t="n">
        <v>5</v>
      </c>
      <c r="W1500" t="n">
        <v>66</v>
      </c>
    </row>
    <row r="1501">
      <c r="A1501" t="inlineStr">
        <is>
          <t>Tresemme Volume Thickening Hair Spray untuk Rambut Lebih Tebal 193g</t>
        </is>
      </c>
      <c r="B1501" t="inlineStr"/>
      <c r="C1501" t="inlineStr">
        <is>
          <t>26%</t>
        </is>
      </c>
      <c r="D1501" t="n">
        <v>114100</v>
      </c>
      <c r="E1501" t="n">
        <v>155000</v>
      </c>
      <c r="F1501" t="n">
        <v>114100</v>
      </c>
      <c r="G1501" t="n">
        <v>155000</v>
      </c>
      <c r="H1501" t="n">
        <v>114100</v>
      </c>
      <c r="I1501" t="n">
        <v>155000</v>
      </c>
      <c r="J1501" t="b">
        <v>0</v>
      </c>
      <c r="K1501" t="inlineStr">
        <is>
          <t>Unilever Indonesia Official Shop</t>
        </is>
      </c>
      <c r="L1501" t="inlineStr">
        <is>
          <t>KOTA BEKASI</t>
        </is>
      </c>
      <c r="M1501" t="n">
        <v>19502844997</v>
      </c>
      <c r="N1501" t="n">
        <v>14318452</v>
      </c>
      <c r="O1501">
        <f>HYPERLINK("https://shopee.co.id/api/v4/item/get?itemid=19502844997&amp;shopid=14318452", "Tresemme Volume Thickening Hair Spray untuk Rambut Lebih Tebal 193g")</f>
        <v/>
      </c>
      <c r="P1501" t="n">
        <v>140</v>
      </c>
      <c r="Q1501" t="n">
        <v>57</v>
      </c>
      <c r="R1501" t="n">
        <v>4.838174273858921</v>
      </c>
      <c r="S1501" t="n">
        <v>2</v>
      </c>
      <c r="T1501" t="n">
        <v>1</v>
      </c>
      <c r="U1501" t="n">
        <v>4</v>
      </c>
      <c r="V1501" t="n">
        <v>20</v>
      </c>
      <c r="W1501" t="n">
        <v>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2023-01-10T14:53:36Z</dcterms:created>
  <dcterms:modified xmlns:dcterms="http://purl.org/dc/terms/" xmlns:xsi="http://www.w3.org/2001/XMLSchema-instance" xsi:type="dcterms:W3CDTF">2023-01-10T14:53:36Z</dcterms:modified>
</cp:coreProperties>
</file>