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Δείκτες_ρευστότητας" sheetId="1" r:id="rId1"/>
    <sheet name="Ταμειακός_κύκλος" sheetId="2" r:id="rId2"/>
    <sheet name="Μόχλευση" sheetId="3" r:id="rId3"/>
    <sheet name="Κεφαλαιακή_διάθρωση" sheetId="4" r:id="rId4"/>
    <sheet name="Έξοδα" sheetId="5" r:id="rId5"/>
    <sheet name="P&amp;L" sheetId="6" r:id="rId6"/>
    <sheet name="Κεφάλαιο_κίνησης" sheetId="7" r:id="rId7"/>
    <sheet name="Πίνακας_εσόδων" sheetId="8" r:id="rId8"/>
    <sheet name="Αναλυση δανειου" sheetId="9" r:id="rId9"/>
    <sheet name="Μ.Σ.Κ.Κ" sheetId="10" r:id="rId10"/>
  </sheets>
  <definedNames>
    <definedName name="Α2">Έξοδα!$A$1</definedName>
  </definedNames>
  <calcPr calcId="124519"/>
</workbook>
</file>

<file path=xl/calcChain.xml><?xml version="1.0" encoding="utf-8"?>
<calcChain xmlns="http://schemas.openxmlformats.org/spreadsheetml/2006/main">
  <c r="C12" i="7"/>
  <c r="H33" i="6"/>
  <c r="G33"/>
  <c r="F33"/>
  <c r="F35" s="1"/>
  <c r="E33"/>
  <c r="E35" s="1"/>
  <c r="D33"/>
  <c r="D35" s="1"/>
  <c r="B35"/>
  <c r="H35"/>
  <c r="G35"/>
  <c r="C33"/>
  <c r="H42"/>
  <c r="G42"/>
  <c r="F42"/>
  <c r="E42"/>
  <c r="B42"/>
  <c r="C42"/>
  <c r="D41"/>
  <c r="D44" s="1"/>
  <c r="D16"/>
  <c r="D39"/>
  <c r="D42" s="1"/>
  <c r="D43" s="1"/>
  <c r="D45" s="1"/>
  <c r="C35"/>
  <c r="D37"/>
  <c r="H16"/>
  <c r="G16"/>
  <c r="F16"/>
  <c r="E16"/>
  <c r="K3" i="9"/>
  <c r="D36" i="6" l="1"/>
  <c r="D38" s="1"/>
  <c r="H41"/>
  <c r="P10" i="8"/>
  <c r="P6"/>
  <c r="R10"/>
  <c r="Q10"/>
  <c r="O10"/>
  <c r="J8"/>
  <c r="I8"/>
  <c r="H8"/>
  <c r="G8"/>
  <c r="N6"/>
  <c r="N10" s="1"/>
  <c r="G10" i="7"/>
  <c r="F10"/>
  <c r="C10"/>
  <c r="G8"/>
  <c r="F8"/>
  <c r="E8"/>
  <c r="D8"/>
  <c r="G7"/>
  <c r="F7"/>
  <c r="E7"/>
  <c r="D7"/>
  <c r="G6"/>
  <c r="F6"/>
  <c r="E6"/>
  <c r="D6"/>
  <c r="C6"/>
  <c r="G2"/>
  <c r="F2"/>
  <c r="E2"/>
  <c r="E10" s="1"/>
  <c r="D2"/>
  <c r="D10" s="1"/>
  <c r="C2"/>
  <c r="H12" i="6"/>
  <c r="H23" s="1"/>
  <c r="H25" s="1"/>
  <c r="G12"/>
  <c r="G23" s="1"/>
  <c r="G25" s="1"/>
  <c r="F12"/>
  <c r="F23" s="1"/>
  <c r="F25" s="1"/>
  <c r="E12"/>
  <c r="E23" s="1"/>
  <c r="E25" s="1"/>
  <c r="D12"/>
  <c r="D23" s="1"/>
  <c r="D25" s="1"/>
  <c r="H6"/>
  <c r="H31" s="1"/>
  <c r="E6"/>
  <c r="E8" s="1"/>
  <c r="D6"/>
  <c r="D31" s="1"/>
  <c r="H4"/>
  <c r="G4"/>
  <c r="G6" s="1"/>
  <c r="F4"/>
  <c r="F6" s="1"/>
  <c r="E4"/>
  <c r="D4"/>
  <c r="B6" i="5"/>
  <c r="C5"/>
  <c r="C6" s="1"/>
  <c r="C4"/>
  <c r="D4" s="1"/>
  <c r="E4" s="1"/>
  <c r="F4" s="1"/>
  <c r="C3"/>
  <c r="D3" s="1"/>
  <c r="E3" s="1"/>
  <c r="F3" s="1"/>
  <c r="H8" i="6" l="1"/>
  <c r="H9" s="1"/>
  <c r="D8"/>
  <c r="D9" s="1"/>
  <c r="F8"/>
  <c r="F31"/>
  <c r="E9"/>
  <c r="E10" s="1"/>
  <c r="G8"/>
  <c r="G31"/>
  <c r="D5" i="5"/>
  <c r="D10" i="6"/>
  <c r="H10"/>
  <c r="E31"/>
  <c r="H32"/>
  <c r="G9" l="1"/>
  <c r="G10" s="1"/>
  <c r="F9"/>
  <c r="F10"/>
  <c r="E5" i="5"/>
  <c r="D6"/>
  <c r="F5" l="1"/>
  <c r="F6" s="1"/>
  <c r="E6"/>
</calcChain>
</file>

<file path=xl/sharedStrings.xml><?xml version="1.0" encoding="utf-8"?>
<sst xmlns="http://schemas.openxmlformats.org/spreadsheetml/2006/main" count="106" uniqueCount="98">
  <si>
    <t>Δείκτες Ρευστότητας</t>
  </si>
  <si>
    <t>Ανάλυση Ταμειακού κύκλου</t>
  </si>
  <si>
    <t>Μ.Η.Αποθ.</t>
  </si>
  <si>
    <t>Σύνολο Δανείων προς ιδια κεφάλαια</t>
  </si>
  <si>
    <t>Σύνολο Δανείων προς ενεργητικό</t>
  </si>
  <si>
    <t>Δείκτης Γεν.Ρευστότητας</t>
  </si>
  <si>
    <t>Δ.Κ.Χ.Δ</t>
  </si>
  <si>
    <t>Μ.Η.Απαιτ.</t>
  </si>
  <si>
    <t>Δείκτης Ειδ. Ρευστότητας</t>
  </si>
  <si>
    <t>Δ.Ε.Χ</t>
  </si>
  <si>
    <t>Μ.Η.Υπ.</t>
  </si>
  <si>
    <t>Δείκτης Αμ. Ρευστότητας</t>
  </si>
  <si>
    <t>Ταμειακός Κύκλος</t>
  </si>
  <si>
    <t>R.o.E</t>
  </si>
  <si>
    <t>R.o.A</t>
  </si>
  <si>
    <t>Μέσος δανεισμός ανα έτος</t>
  </si>
  <si>
    <t>Μέσο επιτόκιο δανεισμού</t>
  </si>
  <si>
    <t>Συνολικό μέσο επιτόκιο δαν.</t>
  </si>
  <si>
    <t>Κόστος πωλήσεων</t>
  </si>
  <si>
    <t>Έξοδα διοικητικής λειτουργίας</t>
  </si>
  <si>
    <t>Έξοδα λειτουργίας διάθεσης</t>
  </si>
  <si>
    <t>Σύνολο</t>
  </si>
  <si>
    <t xml:space="preserve">Έσοδα </t>
  </si>
  <si>
    <t>Λειτουργικά και διοικητικά</t>
  </si>
  <si>
    <t>Κ.Π.Τ.Φ.Α</t>
  </si>
  <si>
    <t>Αποσβέσεις</t>
  </si>
  <si>
    <t>Κ.Π.Τ.Φ.</t>
  </si>
  <si>
    <t>Τόκοι</t>
  </si>
  <si>
    <t>Κ.Π.Φ</t>
  </si>
  <si>
    <t>Φόροι</t>
  </si>
  <si>
    <t>Καθαρά Κέρδη</t>
  </si>
  <si>
    <t>Ταμειακές ροές από λειτουργικές δραστηριότητες</t>
  </si>
  <si>
    <t>Μεταβολές Κεφαλαίου Κίνησης</t>
  </si>
  <si>
    <t>Ταμειακές ροές από επενδυτικές δραστηριότητες</t>
  </si>
  <si>
    <t>Αγορές παγίων/επένδυση σε κεφ.κίνησης</t>
  </si>
  <si>
    <t>Πώληση παγίων</t>
  </si>
  <si>
    <t>Ταμειακές ροές από χρηματοδοτικές δραστηριότητες</t>
  </si>
  <si>
    <t>Αύξηση μετοχικού κεφαλαίου</t>
  </si>
  <si>
    <t>Αύξηση τραπεζικού δανεισμού</t>
  </si>
  <si>
    <t>Μείωση τραπεζικού δανεισμού</t>
  </si>
  <si>
    <t>Μεταβολές σε μετρητά</t>
  </si>
  <si>
    <t>Μετρητά αρχή περιόδου</t>
  </si>
  <si>
    <t>Μετρητά τέλος περιόδου</t>
  </si>
  <si>
    <t>ΑΝΑΛΥΣΗ ΑΠΟΔΟΤΙΚΟΤΗΤΑΣ ΜΕ ΤΗ ΜΕΘΟΔΟ ΤΗΣ ΚΠΑ</t>
  </si>
  <si>
    <t>Φορολογική εξοικονόμηση από τόκους</t>
  </si>
  <si>
    <t>Υπολλματική αξία τέλους του 2020</t>
  </si>
  <si>
    <t>Αδέσμευτες ταμειακές ροές επιχείρησης</t>
  </si>
  <si>
    <t>Μ.Σ.Κ.Κ</t>
  </si>
  <si>
    <t>Προεξοφλημένες Κ.Τ.Ρ επιχείρησης</t>
  </si>
  <si>
    <t>Κ.Π.Α</t>
  </si>
  <si>
    <t>Ε.Β.Α</t>
  </si>
  <si>
    <t>ΑΞΙΑ ΕΠΙΧΕΙΡΗΣΗΣ</t>
  </si>
  <si>
    <t>Αδέσμευτες ταμειακές ροές μετόχων</t>
  </si>
  <si>
    <t>Δάνειο τέλος του 2020</t>
  </si>
  <si>
    <t>Αδέσμευτες ταμειακές ροές μετόχων μείον δάνειο 2020</t>
  </si>
  <si>
    <t>Πίνακας Κεφ κιν.</t>
  </si>
  <si>
    <t>ΚΥΚΛ.ΕΝΕΡΓ.</t>
  </si>
  <si>
    <t>Αποθέματα</t>
  </si>
  <si>
    <t>Χρεώστες</t>
  </si>
  <si>
    <t>Διαθέσιμα</t>
  </si>
  <si>
    <t>ΒΡΑΧ.ΥΠ.</t>
  </si>
  <si>
    <t>Προμηθευτές και πιστωτές</t>
  </si>
  <si>
    <t>Βραχυπρόθεσμα Δάνεια</t>
  </si>
  <si>
    <t>Κεφάλαιο Κίνησης</t>
  </si>
  <si>
    <t>Πίνακας ανάλυσης εσόδων</t>
  </si>
  <si>
    <t>Σύνολο 2016</t>
  </si>
  <si>
    <t>Ιαν.</t>
  </si>
  <si>
    <t>Φεβρ.</t>
  </si>
  <si>
    <t>Μαρτ.</t>
  </si>
  <si>
    <t>Απρ.</t>
  </si>
  <si>
    <t>Μάϊος</t>
  </si>
  <si>
    <t>Ιουν.</t>
  </si>
  <si>
    <t>Ιουλ.</t>
  </si>
  <si>
    <t>Αυγ.</t>
  </si>
  <si>
    <t>Σεπτ.</t>
  </si>
  <si>
    <t>Οκτ.</t>
  </si>
  <si>
    <t>Νοε.</t>
  </si>
  <si>
    <t>Δεκ.</t>
  </si>
  <si>
    <t>Ποσοστό ετήσιας μεταβολής μακρ.μισθ.</t>
  </si>
  <si>
    <t>Έσοδα παροχής υπηρεσιών μακρ.μισθ.</t>
  </si>
  <si>
    <t>Ποσοστό ετήσιας μεταβολής βραχ.μισθ.</t>
  </si>
  <si>
    <t>Έσοδα παροχής υπηρεσιών βραχ.μισθ.</t>
  </si>
  <si>
    <t>Ποσοστό επι των πωλήσεων (%)</t>
  </si>
  <si>
    <t>Προεξοφλημένες Κ.Τ.Ρ Μετόχων</t>
  </si>
  <si>
    <t>Επιπλέον κέρδος μετοχικού κεφαλαίου</t>
  </si>
  <si>
    <t>Ε.Β.Α Μετόχων</t>
  </si>
  <si>
    <t>Αξία μετοχικού κεφαλαίου</t>
  </si>
  <si>
    <t>Αρχικό ποσό</t>
  </si>
  <si>
    <t>Δόση</t>
  </si>
  <si>
    <t>Τόκος</t>
  </si>
  <si>
    <t>Χρεωλύσιο</t>
  </si>
  <si>
    <t>Υπολ.Αρχ.Κεφ.</t>
  </si>
  <si>
    <t>ΚΟΣΤΟΣ Ι.Κ</t>
  </si>
  <si>
    <t>ΚΟΣΤΟΣ ΔΑΝΕΙΣΜΟΥ</t>
  </si>
  <si>
    <t>57110391,5</t>
  </si>
  <si>
    <t>0,037991</t>
  </si>
  <si>
    <t>Έσοδα από πωλήσεις αυτοκινήτων</t>
  </si>
  <si>
    <t xml:space="preserve">       43.62</t>
  </si>
</sst>
</file>

<file path=xl/styles.xml><?xml version="1.0" encoding="utf-8"?>
<styleSheet xmlns="http://schemas.openxmlformats.org/spreadsheetml/2006/main">
  <fonts count="5"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name val="Arial"/>
    </font>
    <font>
      <b/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10" fontId="0" fillId="0" borderId="0" xfId="0" applyNumberFormat="1" applyFont="1"/>
    <xf numFmtId="0" fontId="0" fillId="0" borderId="0" xfId="0" applyFont="1" applyAlignment="1">
      <alignment horizontal="left"/>
    </xf>
    <xf numFmtId="3" fontId="0" fillId="0" borderId="0" xfId="0" applyNumberFormat="1" applyFo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9" fontId="0" fillId="0" borderId="0" xfId="0" applyNumberFormat="1" applyFont="1" applyAlignment="1"/>
    <xf numFmtId="3" fontId="1" fillId="0" borderId="0" xfId="0" applyNumberFormat="1" applyFont="1"/>
    <xf numFmtId="9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0" fontId="0" fillId="0" borderId="0" xfId="0"/>
    <xf numFmtId="0" fontId="0" fillId="0" borderId="0" xfId="0" applyAlignment="1"/>
    <xf numFmtId="9" fontId="0" fillId="0" borderId="0" xfId="0" applyNumberFormat="1" applyFon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4" sqref="D4"/>
    </sheetView>
  </sheetViews>
  <sheetFormatPr defaultColWidth="15.125" defaultRowHeight="15" customHeight="1"/>
  <cols>
    <col min="1" max="1" width="20" customWidth="1"/>
    <col min="2" max="2" width="20.25" customWidth="1"/>
    <col min="3" max="3" width="11.25" customWidth="1"/>
    <col min="4" max="6" width="7.5" customWidth="1"/>
    <col min="7" max="26" width="8.625" customWidth="1"/>
  </cols>
  <sheetData>
    <row r="1" spans="1:26" ht="13.5" customHeight="1">
      <c r="A1" s="1" t="s">
        <v>0</v>
      </c>
      <c r="B1" s="1">
        <v>2013</v>
      </c>
      <c r="C1" s="1">
        <v>2014</v>
      </c>
      <c r="D1" s="1">
        <v>2015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5</v>
      </c>
      <c r="B2" s="1">
        <v>0.49</v>
      </c>
      <c r="C2" s="1">
        <v>0.82</v>
      </c>
      <c r="D2" s="1">
        <v>0.78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8</v>
      </c>
      <c r="B3" s="1">
        <v>0.49</v>
      </c>
      <c r="C3" s="1">
        <v>0.81</v>
      </c>
      <c r="D3" s="1">
        <v>0.69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11</v>
      </c>
      <c r="B4" s="1">
        <v>0.34</v>
      </c>
      <c r="C4" s="1">
        <v>0.2</v>
      </c>
      <c r="D4" s="1">
        <v>0.21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6" sqref="D6"/>
    </sheetView>
  </sheetViews>
  <sheetFormatPr defaultColWidth="15.125" defaultRowHeight="15" customHeight="1"/>
  <cols>
    <col min="1" max="1" width="21.875" customWidth="1"/>
    <col min="2" max="6" width="7.5" customWidth="1"/>
    <col min="7" max="26" width="8.625" customWidth="1"/>
  </cols>
  <sheetData>
    <row r="1" spans="1:26" ht="13.5" customHeight="1">
      <c r="A1" s="1" t="s">
        <v>1</v>
      </c>
      <c r="B1" s="1">
        <v>2013</v>
      </c>
      <c r="C1" s="1">
        <v>2014</v>
      </c>
      <c r="D1" s="1">
        <v>2015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</v>
      </c>
      <c r="B2" s="1">
        <v>0.28999999999999998</v>
      </c>
      <c r="C2" s="1">
        <v>0.97</v>
      </c>
      <c r="D2" s="1">
        <v>12.56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7</v>
      </c>
      <c r="B3" s="1">
        <v>47.56</v>
      </c>
      <c r="C3" s="1">
        <v>40.76</v>
      </c>
      <c r="D3" s="1" t="s">
        <v>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10</v>
      </c>
      <c r="B4" s="1">
        <v>108.01</v>
      </c>
      <c r="C4" s="1">
        <v>133.84</v>
      </c>
      <c r="D4" s="1">
        <v>153.80000000000001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12</v>
      </c>
      <c r="B5" s="1">
        <v>-60.16</v>
      </c>
      <c r="C5" s="1">
        <v>-92.11</v>
      </c>
      <c r="D5" s="1">
        <v>-97.62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6" sqref="D6"/>
    </sheetView>
  </sheetViews>
  <sheetFormatPr defaultColWidth="15.125" defaultRowHeight="15" customHeight="1"/>
  <cols>
    <col min="1" max="1" width="28.75" customWidth="1"/>
    <col min="2" max="6" width="7.5" customWidth="1"/>
    <col min="7" max="26" width="8.625" customWidth="1"/>
  </cols>
  <sheetData>
    <row r="1" spans="1:26" ht="13.5" customHeight="1">
      <c r="A1" s="1"/>
      <c r="B1" s="1">
        <v>2013</v>
      </c>
      <c r="C1" s="1">
        <v>2014</v>
      </c>
      <c r="D1" s="1">
        <v>2015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3</v>
      </c>
      <c r="B2" s="1">
        <v>1.26</v>
      </c>
      <c r="C2" s="1">
        <v>0.94</v>
      </c>
      <c r="D2" s="1">
        <v>1.41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4</v>
      </c>
      <c r="B3" s="1">
        <v>0.46</v>
      </c>
      <c r="C3" s="1">
        <v>0.39800000000000002</v>
      </c>
      <c r="D3" s="1">
        <v>0.47699999999999998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6</v>
      </c>
      <c r="B4" s="1">
        <v>2.7</v>
      </c>
      <c r="C4" s="1">
        <v>2.79</v>
      </c>
      <c r="D4" s="1">
        <v>3.17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9</v>
      </c>
      <c r="B5" s="1">
        <v>0.76900000000000002</v>
      </c>
      <c r="C5" s="1">
        <v>1.4970000000000001</v>
      </c>
      <c r="D5" s="1">
        <v>0.39100000000000001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4" sqref="D4"/>
    </sheetView>
  </sheetViews>
  <sheetFormatPr defaultColWidth="15.125" defaultRowHeight="15" customHeight="1"/>
  <cols>
    <col min="1" max="1" width="22.5" customWidth="1"/>
    <col min="2" max="2" width="11.75" customWidth="1"/>
    <col min="3" max="3" width="10.625" customWidth="1"/>
    <col min="4" max="4" width="10.375" customWidth="1"/>
    <col min="5" max="6" width="7.5" customWidth="1"/>
    <col min="7" max="26" width="8.625" customWidth="1"/>
  </cols>
  <sheetData>
    <row r="1" spans="1:26" ht="13.5" customHeight="1">
      <c r="A1" s="1"/>
      <c r="B1" s="1">
        <v>2013</v>
      </c>
      <c r="C1" s="1">
        <v>2014</v>
      </c>
      <c r="D1" s="1">
        <v>2015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13</v>
      </c>
      <c r="B2" s="1">
        <v>7.2999999999999995E-2</v>
      </c>
      <c r="C2" s="1">
        <v>8.6999999999999994E-2</v>
      </c>
      <c r="D2" s="1">
        <v>0.1552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14</v>
      </c>
      <c r="B3" s="1">
        <v>2.5999999999999999E-2</v>
      </c>
      <c r="C3" s="1">
        <v>3.6999999999999998E-2</v>
      </c>
      <c r="D3" s="1">
        <v>5.1999999999999998E-2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15</v>
      </c>
      <c r="B4" s="1">
        <v>183824666.59999999</v>
      </c>
      <c r="C4" s="1">
        <v>152131288.40000001</v>
      </c>
      <c r="D4" s="1">
        <v>180048698.90000001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16</v>
      </c>
      <c r="B5" s="1">
        <v>6.3849329999999996E-2</v>
      </c>
      <c r="C5" s="1">
        <v>6.3849332999999994E-2</v>
      </c>
      <c r="D5" s="1">
        <v>4.6348875999999997E-2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17</v>
      </c>
      <c r="B6" s="1"/>
      <c r="C6" s="1"/>
      <c r="D6" s="1"/>
      <c r="E6" s="1">
        <v>0.06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5.125" defaultRowHeight="15" customHeight="1"/>
  <cols>
    <col min="1" max="1" width="21.625" customWidth="1"/>
    <col min="2" max="2" width="13.625" customWidth="1"/>
    <col min="3" max="3" width="12.125" customWidth="1"/>
    <col min="4" max="4" width="12.625" customWidth="1"/>
    <col min="5" max="5" width="12.875" customWidth="1"/>
    <col min="6" max="6" width="12.625" customWidth="1"/>
    <col min="7" max="26" width="8.625" customWidth="1"/>
  </cols>
  <sheetData>
    <row r="1" spans="1:26" ht="14.25" customHeight="1">
      <c r="A1" s="2"/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/>
      <c r="B2" s="2"/>
      <c r="C2" s="3">
        <v>0.03</v>
      </c>
      <c r="D2" s="3">
        <v>0.08</v>
      </c>
      <c r="E2" s="3">
        <v>0.13</v>
      </c>
      <c r="F2" s="3">
        <v>0.18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4" t="s">
        <v>18</v>
      </c>
      <c r="B3" s="5">
        <v>68745444</v>
      </c>
      <c r="C3" s="5">
        <f t="shared" ref="C3:F3" si="0">(B3+B3*C2)</f>
        <v>70807807.319999993</v>
      </c>
      <c r="D3" s="5">
        <f t="shared" si="0"/>
        <v>76472431.905599996</v>
      </c>
      <c r="E3" s="5">
        <f t="shared" si="0"/>
        <v>86413848.053327993</v>
      </c>
      <c r="F3" s="5">
        <f t="shared" si="0"/>
        <v>101968340.70292702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 t="s">
        <v>19</v>
      </c>
      <c r="B4" s="5">
        <v>10334501</v>
      </c>
      <c r="C4" s="5">
        <f t="shared" ref="C4:F4" si="1">(B4+B4*C2)</f>
        <v>10644536.029999999</v>
      </c>
      <c r="D4" s="5">
        <f t="shared" si="1"/>
        <v>11496098.9124</v>
      </c>
      <c r="E4" s="5">
        <f t="shared" si="1"/>
        <v>12990591.771012001</v>
      </c>
      <c r="F4" s="5">
        <f t="shared" si="1"/>
        <v>15328898.289794162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20</v>
      </c>
      <c r="B5" s="5">
        <v>1685180</v>
      </c>
      <c r="C5" s="5">
        <f t="shared" ref="C5:F5" si="2">(B5+B5*C2)</f>
        <v>1735735.4</v>
      </c>
      <c r="D5" s="5">
        <f t="shared" si="2"/>
        <v>1874594.2319999998</v>
      </c>
      <c r="E5" s="5">
        <f t="shared" si="2"/>
        <v>2118291.4821599997</v>
      </c>
      <c r="F5" s="5">
        <f t="shared" si="2"/>
        <v>2499583.9489487996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21</v>
      </c>
      <c r="B6" s="5">
        <f>B5+B3+B4</f>
        <v>80765125</v>
      </c>
      <c r="C6" s="5">
        <f t="shared" ref="C6:F6" si="3">C5+C4+C3</f>
        <v>83188078.75</v>
      </c>
      <c r="D6" s="5">
        <f t="shared" si="3"/>
        <v>89843125.049999997</v>
      </c>
      <c r="E6" s="5">
        <f t="shared" si="3"/>
        <v>101522731.30649999</v>
      </c>
      <c r="F6" s="5">
        <f t="shared" si="3"/>
        <v>119796822.94166999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0"/>
  <sheetViews>
    <sheetView topLeftCell="A27" workbookViewId="0">
      <selection activeCell="D45" sqref="D45"/>
    </sheetView>
  </sheetViews>
  <sheetFormatPr defaultColWidth="15.125" defaultRowHeight="15" customHeight="1"/>
  <cols>
    <col min="1" max="1" width="51.5" customWidth="1"/>
    <col min="2" max="2" width="12.875" customWidth="1"/>
    <col min="4" max="4" width="13.875" customWidth="1"/>
    <col min="5" max="5" width="13.75" customWidth="1"/>
    <col min="6" max="6" width="13.5" customWidth="1"/>
    <col min="7" max="7" width="12.75" customWidth="1"/>
    <col min="8" max="8" width="12.25" customWidth="1"/>
    <col min="9" max="26" width="8.625" customWidth="1"/>
  </cols>
  <sheetData>
    <row r="1" spans="1:26" ht="14.25" customHeight="1">
      <c r="A1" s="2"/>
      <c r="B1" s="2"/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 t="s">
        <v>22</v>
      </c>
      <c r="B2" s="2"/>
      <c r="D2" s="1">
        <v>194027691</v>
      </c>
      <c r="E2" s="2">
        <v>171638931</v>
      </c>
      <c r="F2" s="2">
        <v>151296051</v>
      </c>
      <c r="G2" s="2">
        <v>187144661</v>
      </c>
      <c r="H2" s="2">
        <v>203143810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 t="s">
        <v>23</v>
      </c>
      <c r="B3" s="2"/>
      <c r="D3" s="2">
        <v>80765125</v>
      </c>
      <c r="E3" s="2">
        <v>83188078.75</v>
      </c>
      <c r="F3" s="2">
        <v>89843125.049999997</v>
      </c>
      <c r="G3" s="2">
        <v>101522731.3065</v>
      </c>
      <c r="H3" s="2">
        <v>119796822.94167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6" t="s">
        <v>24</v>
      </c>
      <c r="B4" s="2"/>
      <c r="D4" s="7">
        <f t="shared" ref="D4:H4" si="0">D2-D3</f>
        <v>113262566</v>
      </c>
      <c r="E4" s="2">
        <f t="shared" si="0"/>
        <v>88450852.25</v>
      </c>
      <c r="F4" s="2">
        <f t="shared" si="0"/>
        <v>61452925.950000003</v>
      </c>
      <c r="G4" s="2">
        <f t="shared" si="0"/>
        <v>85621929.693499997</v>
      </c>
      <c r="H4" s="2">
        <f t="shared" si="0"/>
        <v>83346987.058329999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25</v>
      </c>
      <c r="B5" s="2"/>
      <c r="D5" s="2">
        <v>40028821</v>
      </c>
      <c r="E5" s="2">
        <v>40028821</v>
      </c>
      <c r="F5" s="2">
        <v>40028821</v>
      </c>
      <c r="G5" s="2">
        <v>40028821</v>
      </c>
      <c r="H5" s="2">
        <v>40028821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6" t="s">
        <v>26</v>
      </c>
      <c r="B6" s="2"/>
      <c r="D6" s="7">
        <f t="shared" ref="D6:H6" si="1">D4-D5</f>
        <v>73233745</v>
      </c>
      <c r="E6" s="2">
        <f t="shared" si="1"/>
        <v>48422031.25</v>
      </c>
      <c r="F6" s="2">
        <f t="shared" si="1"/>
        <v>21424104.950000003</v>
      </c>
      <c r="G6" s="2">
        <f t="shared" si="1"/>
        <v>45593108.693499997</v>
      </c>
      <c r="H6" s="2">
        <f t="shared" si="1"/>
        <v>43318166.058329999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27</v>
      </c>
      <c r="B7" s="2"/>
      <c r="D7" s="7">
        <v>6849820</v>
      </c>
      <c r="E7" s="2">
        <v>6849820</v>
      </c>
      <c r="F7" s="2">
        <v>6849820</v>
      </c>
      <c r="G7" s="2">
        <v>6849820</v>
      </c>
      <c r="H7" s="2">
        <v>6849820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6" t="s">
        <v>28</v>
      </c>
      <c r="B8" s="2"/>
      <c r="D8" s="7">
        <f t="shared" ref="D8:H8" si="2">D6-D7</f>
        <v>66383925</v>
      </c>
      <c r="E8" s="2">
        <f t="shared" si="2"/>
        <v>41572211.25</v>
      </c>
      <c r="F8" s="2">
        <f t="shared" si="2"/>
        <v>14574284.950000003</v>
      </c>
      <c r="G8" s="2">
        <f t="shared" si="2"/>
        <v>38743288.693499997</v>
      </c>
      <c r="H8" s="2">
        <f t="shared" si="2"/>
        <v>36468346.058329999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 t="s">
        <v>29</v>
      </c>
      <c r="B9" s="2"/>
      <c r="D9" s="7">
        <f t="shared" ref="D9:H9" si="3">D8*0.25</f>
        <v>16595981.25</v>
      </c>
      <c r="E9" s="2">
        <f t="shared" si="3"/>
        <v>10393052.8125</v>
      </c>
      <c r="F9" s="2">
        <f t="shared" si="3"/>
        <v>3643571.2375000007</v>
      </c>
      <c r="G9" s="2">
        <f t="shared" si="3"/>
        <v>9685822.1733749993</v>
      </c>
      <c r="H9" s="2">
        <f t="shared" si="3"/>
        <v>9117086.5145824999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6" t="s">
        <v>30</v>
      </c>
      <c r="B10" s="2"/>
      <c r="D10" s="7">
        <f t="shared" ref="D10:H10" si="4">D8-D9</f>
        <v>49787943.75</v>
      </c>
      <c r="E10" s="2">
        <f t="shared" si="4"/>
        <v>31179158.4375</v>
      </c>
      <c r="F10" s="2">
        <f t="shared" si="4"/>
        <v>10930713.712500002</v>
      </c>
      <c r="G10" s="2">
        <f t="shared" si="4"/>
        <v>29057466.520124998</v>
      </c>
      <c r="H10" s="2">
        <f t="shared" si="4"/>
        <v>27351259.5437475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6" t="s">
        <v>31</v>
      </c>
      <c r="B12" s="2"/>
      <c r="D12" s="2">
        <f t="shared" ref="D12:H12" si="5">D13+D14-D15</f>
        <v>92516764.75</v>
      </c>
      <c r="E12" s="2">
        <f t="shared" si="5"/>
        <v>72601995.4375</v>
      </c>
      <c r="F12" s="2">
        <f t="shared" si="5"/>
        <v>52818221.712499999</v>
      </c>
      <c r="G12" s="2">
        <f t="shared" si="5"/>
        <v>72338990.520125002</v>
      </c>
      <c r="H12" s="2">
        <f t="shared" si="5"/>
        <v>70168112.5437475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 t="s">
        <v>30</v>
      </c>
      <c r="B13" s="2"/>
      <c r="D13" s="2">
        <v>49787943.75</v>
      </c>
      <c r="E13" s="2">
        <v>31179158.4375</v>
      </c>
      <c r="F13" s="2">
        <v>10930713.7125</v>
      </c>
      <c r="G13" s="2">
        <v>29057466.520125002</v>
      </c>
      <c r="H13" s="2">
        <v>27351259.5437475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 t="s">
        <v>25</v>
      </c>
      <c r="B14" s="2"/>
      <c r="D14" s="2">
        <v>40028821</v>
      </c>
      <c r="E14" s="2">
        <v>40028821</v>
      </c>
      <c r="F14" s="2">
        <v>40028821</v>
      </c>
      <c r="G14" s="2">
        <v>40028821</v>
      </c>
      <c r="H14" s="2">
        <v>40028821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 t="s">
        <v>32</v>
      </c>
      <c r="B15" s="2"/>
      <c r="D15" s="2">
        <v>-2700000</v>
      </c>
      <c r="E15" s="2">
        <v>-1394016</v>
      </c>
      <c r="F15" s="2">
        <v>-1858687</v>
      </c>
      <c r="G15" s="2">
        <v>-3252703</v>
      </c>
      <c r="H15" s="2">
        <v>-2788032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6" t="s">
        <v>33</v>
      </c>
      <c r="B16" s="10">
        <v>285551957.5</v>
      </c>
      <c r="D16" s="26">
        <f>-D18</f>
        <v>-52800000</v>
      </c>
      <c r="E16" s="8">
        <f>-E18</f>
        <v>-39380000</v>
      </c>
      <c r="F16" s="8">
        <f>-F18</f>
        <v>-19800000</v>
      </c>
      <c r="G16" s="8">
        <f>-G18</f>
        <v>-44000000</v>
      </c>
      <c r="H16" s="8">
        <f>-H18</f>
        <v>-39600000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 t="s">
        <v>34</v>
      </c>
      <c r="B17" s="10">
        <v>285551957.5</v>
      </c>
      <c r="D17" s="25">
        <v>0</v>
      </c>
      <c r="E17" s="8">
        <v>0</v>
      </c>
      <c r="F17" s="8">
        <v>0</v>
      </c>
      <c r="G17" s="8">
        <v>0</v>
      </c>
      <c r="H17" s="8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 t="s">
        <v>35</v>
      </c>
      <c r="B18" s="2"/>
      <c r="D18" s="24">
        <v>52800000</v>
      </c>
      <c r="E18" s="1">
        <v>39380000</v>
      </c>
      <c r="F18" s="1">
        <v>19800000</v>
      </c>
      <c r="G18" s="1">
        <v>44000000</v>
      </c>
      <c r="H18" s="1">
        <v>39600000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6" t="s">
        <v>36</v>
      </c>
      <c r="B19" s="2"/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 t="s">
        <v>37</v>
      </c>
      <c r="B20" s="21">
        <v>57110391.5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 t="s">
        <v>38</v>
      </c>
      <c r="B21" s="2">
        <v>288411566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 t="s">
        <v>39</v>
      </c>
      <c r="B22" s="2"/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 t="s">
        <v>40</v>
      </c>
      <c r="B23" s="2"/>
      <c r="C23" s="26"/>
      <c r="D23" s="25">
        <f>D12-D16</f>
        <v>145316764.75</v>
      </c>
      <c r="E23" s="2">
        <f>E12-E16</f>
        <v>111981995.4375</v>
      </c>
      <c r="F23" s="2">
        <f>F12-F16</f>
        <v>72618221.712500006</v>
      </c>
      <c r="G23" s="2">
        <f>G12-G16</f>
        <v>116338990.520125</v>
      </c>
      <c r="H23" s="10">
        <f>H12-H16</f>
        <v>109768112.5437475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 t="s">
        <v>41</v>
      </c>
      <c r="B24" s="2"/>
      <c r="D24" s="9">
        <v>17200000</v>
      </c>
      <c r="E24" s="10">
        <v>17716000</v>
      </c>
      <c r="F24" s="2">
        <v>18404000</v>
      </c>
      <c r="G24" s="2">
        <v>19608000</v>
      </c>
      <c r="H24" s="2">
        <v>20640000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 t="s">
        <v>42</v>
      </c>
      <c r="B25" s="2"/>
      <c r="D25" s="25">
        <f>D23+D24</f>
        <v>162516764.75</v>
      </c>
      <c r="E25" s="2">
        <f>E23+E24</f>
        <v>129697995.4375</v>
      </c>
      <c r="F25" s="2">
        <f>F23+F24</f>
        <v>91022221.712500006</v>
      </c>
      <c r="G25" s="2">
        <f>G23+G24</f>
        <v>135946990.520125</v>
      </c>
      <c r="H25" s="2">
        <f>H23+H24</f>
        <v>130408112.5437475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6" t="s">
        <v>43</v>
      </c>
      <c r="B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 t="s">
        <v>30</v>
      </c>
      <c r="B27" s="2"/>
      <c r="D27" s="2">
        <v>49787943.75</v>
      </c>
      <c r="E27" s="2">
        <v>31179158.4375</v>
      </c>
      <c r="F27" s="2">
        <v>10930713.7125</v>
      </c>
      <c r="G27" s="2">
        <v>29057466.520125002</v>
      </c>
      <c r="H27" s="2">
        <v>27351259.5437475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 t="s">
        <v>25</v>
      </c>
      <c r="B28" s="2"/>
      <c r="D28" s="2">
        <v>40028821</v>
      </c>
      <c r="E28" s="2">
        <v>40028821</v>
      </c>
      <c r="F28" s="2">
        <v>40028821</v>
      </c>
      <c r="G28" s="2">
        <v>40028821</v>
      </c>
      <c r="H28" s="2">
        <v>40028821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 t="s">
        <v>32</v>
      </c>
      <c r="B29" s="2"/>
      <c r="D29" s="2">
        <v>-2700000</v>
      </c>
      <c r="E29" s="2">
        <v>-1394016</v>
      </c>
      <c r="F29" s="2">
        <v>-1858687</v>
      </c>
      <c r="G29" s="2">
        <v>-3252703</v>
      </c>
      <c r="H29" s="2">
        <v>-2788032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 t="s">
        <v>33</v>
      </c>
      <c r="B30" s="2"/>
      <c r="D30" s="24">
        <v>-52800000</v>
      </c>
      <c r="E30" s="1">
        <v>-39380000</v>
      </c>
      <c r="F30" s="1">
        <v>-19800000</v>
      </c>
      <c r="G30" s="1">
        <v>-44000000</v>
      </c>
      <c r="H30" s="1">
        <v>-39600000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 t="s">
        <v>44</v>
      </c>
      <c r="B31" s="2"/>
      <c r="D31" s="2">
        <f t="shared" ref="D31:H31" si="6">D6*25%</f>
        <v>18308436.25</v>
      </c>
      <c r="E31" s="2">
        <f t="shared" si="6"/>
        <v>12105507.8125</v>
      </c>
      <c r="F31" s="8">
        <f t="shared" si="6"/>
        <v>5356026.2375000007</v>
      </c>
      <c r="G31" s="2">
        <f t="shared" si="6"/>
        <v>11398277.173374999</v>
      </c>
      <c r="H31" s="2">
        <f t="shared" si="6"/>
        <v>10829541.5145825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 t="s">
        <v>45</v>
      </c>
      <c r="B32" s="2"/>
      <c r="D32" s="2"/>
      <c r="E32" s="2"/>
      <c r="F32" s="2"/>
      <c r="G32" s="2"/>
      <c r="H32" s="2">
        <f>(F4+G4+H4)/12%</f>
        <v>1920182022.51525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 t="s">
        <v>46</v>
      </c>
      <c r="B33" s="8">
        <v>-285551957.50999999</v>
      </c>
      <c r="C33">
        <f>C35</f>
        <v>-57110391.5</v>
      </c>
      <c r="D33" s="2">
        <f>D27+D28-D29-D31+D7-D30</f>
        <v>133858148.5</v>
      </c>
      <c r="E33" s="2">
        <f>E27+E28-E29-E31+E7-E30</f>
        <v>106726307.625</v>
      </c>
      <c r="F33" s="2">
        <f>F27+F28-F29-F31+F7-F30</f>
        <v>74112015.474999994</v>
      </c>
      <c r="G33" s="2">
        <f>G27+G28-G29-G31+G7-G30</f>
        <v>111790533.34675001</v>
      </c>
      <c r="H33" s="2">
        <f>H27+H28-H29-H31+H7+H32-H30</f>
        <v>2025970413.544415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 t="s">
        <v>47</v>
      </c>
      <c r="B34" s="2"/>
      <c r="D34" s="23">
        <v>3.6999999999999998E-2</v>
      </c>
      <c r="E34" s="23">
        <v>3.6999999999999998E-2</v>
      </c>
      <c r="F34" s="23">
        <v>3.6999999999999998E-2</v>
      </c>
      <c r="G34" s="23">
        <v>3.6999999999999998E-2</v>
      </c>
      <c r="H34" s="23">
        <v>3.6999999999999998E-2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 t="s">
        <v>48</v>
      </c>
      <c r="B35" s="2">
        <f>B33/(1+2.9985%)</f>
        <v>-277238947.66428638</v>
      </c>
      <c r="C35">
        <f>-B20</f>
        <v>-57110391.5</v>
      </c>
      <c r="D35" s="2">
        <f>D33/(1+D34)^2</f>
        <v>124476480.6312996</v>
      </c>
      <c r="E35" s="2">
        <f>E33/(1+E34)^3</f>
        <v>95705129.528443471</v>
      </c>
      <c r="F35" s="2">
        <f>F33/(1+F34)^4</f>
        <v>64087539.55588524</v>
      </c>
      <c r="G35" s="2">
        <f>G33/(1+G34)^5</f>
        <v>93220460.979579851</v>
      </c>
      <c r="H35" s="2">
        <f>H33/(1+H34)^6</f>
        <v>1629148078.3204694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1" t="s">
        <v>49</v>
      </c>
      <c r="B36" s="2"/>
      <c r="D36" s="2">
        <f>SUM(B35:H35)</f>
        <v>1672288349.8513911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1" t="s">
        <v>50</v>
      </c>
      <c r="B37" s="2"/>
      <c r="D37" s="12">
        <f>IRR(B33:H33)</f>
        <v>0.47394307190783341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8" t="s">
        <v>51</v>
      </c>
      <c r="B38" s="2"/>
      <c r="D38" s="2">
        <f>D36-C35</f>
        <v>1729398741.3513911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8" t="s">
        <v>52</v>
      </c>
      <c r="B39" s="2"/>
      <c r="D39" s="2">
        <f>D33+D31-D7</f>
        <v>145316764.75</v>
      </c>
      <c r="E39" s="2">
        <v>69813963.4375</v>
      </c>
      <c r="F39" s="2">
        <v>49100847.712499999</v>
      </c>
      <c r="G39" s="2">
        <v>65833584.520125002</v>
      </c>
      <c r="H39" s="2">
        <v>64592048.5437475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8" t="s">
        <v>53</v>
      </c>
      <c r="B40" s="2"/>
      <c r="D40" s="2"/>
      <c r="E40" s="2"/>
      <c r="F40" s="2"/>
      <c r="G40" s="2"/>
      <c r="H40" s="8">
        <v>228441566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8" t="s">
        <v>54</v>
      </c>
      <c r="B41" s="2">
        <v>-57110391.5</v>
      </c>
      <c r="C41" s="10">
        <v>-43767188</v>
      </c>
      <c r="D41" s="10">
        <f>D33+D31-D7</f>
        <v>145316764.75</v>
      </c>
      <c r="E41" s="10">
        <v>69813963.4375</v>
      </c>
      <c r="F41" s="10">
        <v>49100847.712499999</v>
      </c>
      <c r="G41" s="10">
        <v>65833584.520125002</v>
      </c>
      <c r="H41" s="2">
        <f>H39-H40</f>
        <v>-163849517.45625252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8" t="s">
        <v>83</v>
      </c>
      <c r="B42" s="2">
        <f>B41</f>
        <v>-57110391.5</v>
      </c>
      <c r="C42">
        <f>C41/(1+10%)</f>
        <v>-39788352.727272727</v>
      </c>
      <c r="D42" s="2">
        <f>D39/(1+10%)^2</f>
        <v>120096499.79338841</v>
      </c>
      <c r="E42" s="2">
        <f>E39/(1+10%)^3</f>
        <v>52452264.040195324</v>
      </c>
      <c r="F42" s="2">
        <f>F39/(1+10%)^4</f>
        <v>33536539.657468744</v>
      </c>
      <c r="G42" s="2">
        <f>G39/(1+10%)^5</f>
        <v>40877476.40196272</v>
      </c>
      <c r="H42" s="2">
        <f>H41/(1+10%)^6</f>
        <v>-92488781.055945829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8" t="s">
        <v>84</v>
      </c>
      <c r="B43" s="2"/>
      <c r="D43" s="2">
        <f>SUM(B42:H42)</f>
        <v>57575254.609796658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8" t="s">
        <v>85</v>
      </c>
      <c r="B44" s="2"/>
      <c r="D44" s="19">
        <f>IRR(B41:H41)</f>
        <v>0.5289256528902645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8" t="s">
        <v>86</v>
      </c>
      <c r="B45" s="2"/>
      <c r="D45" s="2">
        <f>D43-B42</f>
        <v>114685646.10979666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2" sqref="C12"/>
    </sheetView>
  </sheetViews>
  <sheetFormatPr defaultColWidth="15.125" defaultRowHeight="15" customHeight="1"/>
  <cols>
    <col min="1" max="1" width="18.875" customWidth="1"/>
    <col min="2" max="7" width="9.875" customWidth="1"/>
    <col min="8" max="26" width="8.625" customWidth="1"/>
  </cols>
  <sheetData>
    <row r="1" spans="1:26" ht="14.25" customHeight="1">
      <c r="A1" s="2" t="s">
        <v>55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6" t="s">
        <v>56</v>
      </c>
      <c r="B2" s="2"/>
      <c r="C2" s="6">
        <f>C3+C4+C5</f>
        <v>35300000</v>
      </c>
      <c r="D2" s="6">
        <f>D5+D4+D3</f>
        <v>36359000</v>
      </c>
      <c r="E2" s="6">
        <f t="shared" ref="E2:G2" si="0">E3+E4+E5</f>
        <v>37771000</v>
      </c>
      <c r="F2" s="6">
        <f t="shared" si="0"/>
        <v>40242000</v>
      </c>
      <c r="G2" s="6">
        <f t="shared" si="0"/>
        <v>42360000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 t="s">
        <v>57</v>
      </c>
      <c r="B3" s="2"/>
      <c r="C3" s="2">
        <v>7000000</v>
      </c>
      <c r="D3" s="2">
        <v>7210000</v>
      </c>
      <c r="E3" s="2">
        <v>7490000</v>
      </c>
      <c r="F3" s="2">
        <v>7980000</v>
      </c>
      <c r="G3" s="2">
        <v>8400000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 t="s">
        <v>58</v>
      </c>
      <c r="B4" s="2"/>
      <c r="C4" s="2">
        <v>11100000</v>
      </c>
      <c r="D4" s="2">
        <v>11433000</v>
      </c>
      <c r="E4" s="2">
        <v>11877000</v>
      </c>
      <c r="F4" s="2">
        <v>12654000</v>
      </c>
      <c r="G4" s="2">
        <v>13320000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59</v>
      </c>
      <c r="B5" s="2"/>
      <c r="C5" s="2">
        <v>17200000</v>
      </c>
      <c r="D5" s="2">
        <v>17716000</v>
      </c>
      <c r="E5" s="2">
        <v>18404000</v>
      </c>
      <c r="F5" s="2">
        <v>19608000</v>
      </c>
      <c r="G5" s="2">
        <v>20640000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6" t="s">
        <v>60</v>
      </c>
      <c r="B6" s="2"/>
      <c r="C6" s="6">
        <f t="shared" ref="C6:G6" si="1">C7+C8</f>
        <v>81767188</v>
      </c>
      <c r="D6" s="6">
        <f t="shared" si="1"/>
        <v>84220203.640000001</v>
      </c>
      <c r="E6" s="6">
        <f t="shared" si="1"/>
        <v>87490891.159999996</v>
      </c>
      <c r="F6" s="6">
        <f t="shared" si="1"/>
        <v>93214594.319999993</v>
      </c>
      <c r="G6" s="6">
        <f t="shared" si="1"/>
        <v>98120625.599999994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61</v>
      </c>
      <c r="B7" s="2"/>
      <c r="C7" s="2">
        <v>54767188</v>
      </c>
      <c r="D7" s="2">
        <f t="shared" ref="D7:D8" si="2">(C7*3)/100+C7</f>
        <v>56410203.640000001</v>
      </c>
      <c r="E7" s="2">
        <f t="shared" ref="E7:E8" si="3">(C7*7)/100+C7</f>
        <v>58600891.159999996</v>
      </c>
      <c r="F7" s="2">
        <f t="shared" ref="F7:F8" si="4">(C7*14)/100+C7</f>
        <v>62434594.32</v>
      </c>
      <c r="G7" s="2">
        <f t="shared" ref="G7:G8" si="5">(C7*20)/100+C7</f>
        <v>65720625.600000001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62</v>
      </c>
      <c r="B8" s="2"/>
      <c r="C8" s="2">
        <v>27000000</v>
      </c>
      <c r="D8" s="2">
        <f t="shared" si="2"/>
        <v>27810000</v>
      </c>
      <c r="E8" s="2">
        <f t="shared" si="3"/>
        <v>28890000</v>
      </c>
      <c r="F8" s="2">
        <f t="shared" si="4"/>
        <v>30780000</v>
      </c>
      <c r="G8" s="2">
        <f t="shared" si="5"/>
        <v>32400000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 t="s">
        <v>63</v>
      </c>
      <c r="B10" s="2">
        <v>-43767188</v>
      </c>
      <c r="C10" s="2">
        <f t="shared" ref="C10:G10" si="6">C2-C6</f>
        <v>-46467188</v>
      </c>
      <c r="D10" s="2">
        <f t="shared" si="6"/>
        <v>-47861203.640000001</v>
      </c>
      <c r="E10" s="2">
        <f t="shared" si="6"/>
        <v>-49719891.159999996</v>
      </c>
      <c r="F10" s="2">
        <f t="shared" si="6"/>
        <v>-52972594.319999993</v>
      </c>
      <c r="G10" s="2">
        <f t="shared" si="6"/>
        <v>-55760625.599999994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>
        <f>D10-C10</f>
        <v>-1394015.6400000006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topLeftCell="E1" workbookViewId="0">
      <selection activeCell="N5" sqref="N5"/>
    </sheetView>
  </sheetViews>
  <sheetFormatPr defaultColWidth="15.125" defaultRowHeight="15" customHeight="1"/>
  <cols>
    <col min="1" max="1" width="31.125" customWidth="1"/>
    <col min="2" max="2" width="11.875" customWidth="1"/>
    <col min="3" max="3" width="12.625" customWidth="1"/>
    <col min="4" max="4" width="10.375" customWidth="1"/>
    <col min="5" max="5" width="10.25" customWidth="1"/>
    <col min="6" max="6" width="10.125" customWidth="1"/>
    <col min="7" max="7" width="10.25" customWidth="1"/>
    <col min="8" max="8" width="12.5" customWidth="1"/>
    <col min="9" max="9" width="11.375" customWidth="1"/>
    <col min="10" max="10" width="11.25" customWidth="1"/>
    <col min="11" max="11" width="10.875" customWidth="1"/>
    <col min="12" max="12" width="10.125" customWidth="1"/>
    <col min="13" max="14" width="11.375" customWidth="1"/>
    <col min="15" max="18" width="9.625" customWidth="1"/>
    <col min="19" max="26" width="8.625" customWidth="1"/>
  </cols>
  <sheetData>
    <row r="1" spans="1:26" ht="15.75" customHeight="1">
      <c r="A1" s="1" t="s">
        <v>64</v>
      </c>
      <c r="B1" s="1">
        <v>2016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65</v>
      </c>
      <c r="O1" s="1">
        <v>2017</v>
      </c>
      <c r="P1" s="1">
        <v>2018</v>
      </c>
      <c r="Q1" s="1">
        <v>2019</v>
      </c>
      <c r="R1" s="1">
        <v>2020</v>
      </c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96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4">
        <v>52800000</v>
      </c>
      <c r="O4" s="1">
        <v>39380000</v>
      </c>
      <c r="P4" s="1">
        <v>19800000</v>
      </c>
      <c r="Q4" s="1">
        <v>44000000</v>
      </c>
      <c r="R4" s="1">
        <v>39600000</v>
      </c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78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4">
        <v>-0.14000000000000001</v>
      </c>
      <c r="P5" s="14">
        <v>-7.0000000000000007E-2</v>
      </c>
      <c r="Q5" s="14">
        <v>0.03</v>
      </c>
      <c r="R5" s="14">
        <v>7.0000000000000007E-2</v>
      </c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79</v>
      </c>
      <c r="B6" s="15">
        <v>6473486</v>
      </c>
      <c r="C6" s="15">
        <v>6473486</v>
      </c>
      <c r="D6" s="15">
        <v>6473486</v>
      </c>
      <c r="E6" s="15">
        <v>6473486</v>
      </c>
      <c r="F6" s="15">
        <v>6473486</v>
      </c>
      <c r="G6" s="15">
        <v>6473486</v>
      </c>
      <c r="H6" s="15">
        <v>6473486</v>
      </c>
      <c r="I6" s="15">
        <v>6473486</v>
      </c>
      <c r="J6" s="15">
        <v>6473486</v>
      </c>
      <c r="K6" s="15">
        <v>6473486</v>
      </c>
      <c r="L6" s="15">
        <v>6473486</v>
      </c>
      <c r="M6" s="15">
        <v>6473486</v>
      </c>
      <c r="N6" s="1">
        <f>6473486*12</f>
        <v>77681832</v>
      </c>
      <c r="O6" s="13">
        <v>66806696</v>
      </c>
      <c r="P6" s="13">
        <f>O6-O6*7%</f>
        <v>62130227.280000001</v>
      </c>
      <c r="Q6" s="13">
        <v>63306025</v>
      </c>
      <c r="R6" s="13">
        <v>67737447</v>
      </c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80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4">
        <v>0.03</v>
      </c>
      <c r="P7" s="14">
        <v>7.0000000000000007E-2</v>
      </c>
      <c r="Q7" s="14">
        <v>0.14000000000000001</v>
      </c>
      <c r="R7" s="14">
        <v>0.2</v>
      </c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81</v>
      </c>
      <c r="B8" s="1">
        <v>1588646.48</v>
      </c>
      <c r="C8" s="1">
        <v>1588646.48</v>
      </c>
      <c r="D8" s="1">
        <v>1588646.48</v>
      </c>
      <c r="E8" s="1">
        <v>1588646.48</v>
      </c>
      <c r="F8" s="1">
        <v>3177292.95</v>
      </c>
      <c r="G8" s="1">
        <f>N8*G9</f>
        <v>9531878.8499999996</v>
      </c>
      <c r="H8" s="1">
        <f>H9*N8</f>
        <v>12709171.800000001</v>
      </c>
      <c r="I8" s="1">
        <f>I9*N8</f>
        <v>15886464.75</v>
      </c>
      <c r="J8" s="1">
        <f>J9*N8</f>
        <v>6354585.9000000004</v>
      </c>
      <c r="K8" s="1">
        <v>3177292.95</v>
      </c>
      <c r="L8" s="1">
        <v>1588646.48</v>
      </c>
      <c r="M8" s="1">
        <v>1588646.48</v>
      </c>
      <c r="N8" s="1">
        <v>63545859</v>
      </c>
      <c r="O8" s="13">
        <v>65452235</v>
      </c>
      <c r="P8" s="13">
        <v>70033891</v>
      </c>
      <c r="Q8" s="13">
        <v>79838636</v>
      </c>
      <c r="R8" s="13">
        <v>95806363</v>
      </c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82</v>
      </c>
      <c r="B9" s="16">
        <v>2.5000000000000001E-2</v>
      </c>
      <c r="C9" s="16">
        <v>2.5000000000000001E-2</v>
      </c>
      <c r="D9" s="16">
        <v>2.5000000000000001E-2</v>
      </c>
      <c r="E9" s="16">
        <v>2.5000000000000001E-2</v>
      </c>
      <c r="F9" s="14">
        <v>0.05</v>
      </c>
      <c r="G9" s="14">
        <v>0.15</v>
      </c>
      <c r="H9" s="14">
        <v>0.2</v>
      </c>
      <c r="I9" s="14">
        <v>0.25</v>
      </c>
      <c r="J9" s="14">
        <v>0.1</v>
      </c>
      <c r="K9" s="14">
        <v>0.05</v>
      </c>
      <c r="L9" s="16">
        <v>2.5000000000000001E-2</v>
      </c>
      <c r="M9" s="16">
        <v>2.5000000000000001E-2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3">
        <f t="shared" ref="N10:R10" si="0">N8+N6+N4</f>
        <v>194027691</v>
      </c>
      <c r="O10" s="13">
        <f t="shared" si="0"/>
        <v>171638931</v>
      </c>
      <c r="P10" s="13">
        <f>P8+P6+P4</f>
        <v>151964118.28</v>
      </c>
      <c r="Q10" s="13">
        <f t="shared" si="0"/>
        <v>187144661</v>
      </c>
      <c r="R10" s="13">
        <f t="shared" si="0"/>
        <v>203143810</v>
      </c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B7" sqref="B7"/>
    </sheetView>
  </sheetViews>
  <sheetFormatPr defaultRowHeight="14.25"/>
  <cols>
    <col min="1" max="1" width="13.125" customWidth="1"/>
    <col min="2" max="4" width="11.25" customWidth="1"/>
    <col min="5" max="5" width="11.125" customWidth="1"/>
    <col min="6" max="6" width="11.5" customWidth="1"/>
    <col min="7" max="7" width="10.75" customWidth="1"/>
    <col min="8" max="8" width="11.125" customWidth="1"/>
    <col min="9" max="9" width="11.5" customWidth="1"/>
    <col min="10" max="10" width="10.875" customWidth="1"/>
    <col min="11" max="11" width="11.75" customWidth="1"/>
  </cols>
  <sheetData>
    <row r="1" spans="1:11">
      <c r="A1" s="17"/>
      <c r="B1" s="17">
        <v>2016</v>
      </c>
      <c r="C1" s="17">
        <v>2017</v>
      </c>
      <c r="D1" s="17">
        <v>2018</v>
      </c>
      <c r="E1" s="17">
        <v>2019</v>
      </c>
      <c r="F1" s="17">
        <v>2020</v>
      </c>
      <c r="G1" s="17">
        <v>2021</v>
      </c>
      <c r="H1" s="17">
        <v>2022</v>
      </c>
      <c r="I1" s="17">
        <v>2023</v>
      </c>
      <c r="J1" s="17">
        <v>2024</v>
      </c>
      <c r="K1" s="17">
        <v>2025</v>
      </c>
    </row>
    <row r="2" spans="1:11">
      <c r="A2" s="17" t="s">
        <v>87</v>
      </c>
      <c r="B2" s="20">
        <v>228441566</v>
      </c>
      <c r="C2" s="20">
        <v>228441566</v>
      </c>
      <c r="D2" s="20">
        <v>228441566</v>
      </c>
      <c r="E2" s="20">
        <v>228441566</v>
      </c>
      <c r="F2" s="20">
        <v>228441566</v>
      </c>
      <c r="G2" s="20">
        <v>228441566</v>
      </c>
      <c r="H2" s="20">
        <v>228441566</v>
      </c>
      <c r="I2" s="20">
        <v>228441566</v>
      </c>
      <c r="J2" s="20">
        <v>228441566</v>
      </c>
      <c r="K2" s="20">
        <v>228441566</v>
      </c>
    </row>
    <row r="3" spans="1:11">
      <c r="A3" s="17" t="s">
        <v>88</v>
      </c>
      <c r="B3" s="20">
        <v>6849820</v>
      </c>
      <c r="C3" s="20">
        <v>6849820</v>
      </c>
      <c r="D3" s="20">
        <v>6849820</v>
      </c>
      <c r="E3" s="20">
        <v>6849820</v>
      </c>
      <c r="F3" s="20">
        <v>6849820</v>
      </c>
      <c r="G3" s="20">
        <v>6849820</v>
      </c>
      <c r="H3" s="20">
        <v>6849820</v>
      </c>
      <c r="I3" s="20">
        <v>6849820</v>
      </c>
      <c r="J3" s="20">
        <v>6849820</v>
      </c>
      <c r="K3" s="20">
        <f>K2+J3</f>
        <v>235291386</v>
      </c>
    </row>
    <row r="4" spans="1:11">
      <c r="A4" s="17" t="s">
        <v>89</v>
      </c>
      <c r="B4" s="20">
        <v>6849820</v>
      </c>
      <c r="C4" s="20">
        <v>6849820</v>
      </c>
      <c r="D4" s="20">
        <v>6849820</v>
      </c>
      <c r="E4" s="20">
        <v>6849820</v>
      </c>
      <c r="F4" s="20">
        <v>6849820</v>
      </c>
      <c r="G4" s="20">
        <v>6849820</v>
      </c>
      <c r="H4" s="20">
        <v>6849820</v>
      </c>
      <c r="I4" s="20">
        <v>6849820</v>
      </c>
      <c r="J4" s="20">
        <v>6849820</v>
      </c>
      <c r="K4" s="20">
        <v>6849820</v>
      </c>
    </row>
    <row r="5" spans="1:11">
      <c r="A5" s="17" t="s">
        <v>90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20">
        <v>228441566</v>
      </c>
    </row>
    <row r="6" spans="1:11">
      <c r="A6" s="17" t="s">
        <v>91</v>
      </c>
      <c r="B6" s="20">
        <v>228441566</v>
      </c>
      <c r="C6" s="20">
        <v>228441566</v>
      </c>
      <c r="D6" s="20">
        <v>228441566</v>
      </c>
      <c r="E6" s="20">
        <v>228441566</v>
      </c>
      <c r="F6" s="20">
        <v>228441566</v>
      </c>
      <c r="G6" s="20">
        <v>228441566</v>
      </c>
      <c r="H6" s="20">
        <v>228441566</v>
      </c>
      <c r="I6" s="20">
        <v>228441566</v>
      </c>
      <c r="J6" s="20">
        <v>228441566</v>
      </c>
      <c r="K6" s="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25"/>
  <cols>
    <col min="1" max="1" width="19" customWidth="1"/>
    <col min="4" max="4" width="11" customWidth="1"/>
  </cols>
  <sheetData>
    <row r="1" spans="1:4">
      <c r="A1" s="18" t="s">
        <v>92</v>
      </c>
      <c r="B1" s="12">
        <v>0.1</v>
      </c>
      <c r="C1" s="12">
        <v>0.2</v>
      </c>
      <c r="D1" s="21" t="s">
        <v>94</v>
      </c>
    </row>
    <row r="2" spans="1:4">
      <c r="A2" s="18" t="s">
        <v>93</v>
      </c>
      <c r="B2" s="12">
        <v>0.03</v>
      </c>
      <c r="C2" s="12">
        <v>0.8</v>
      </c>
      <c r="D2" s="22">
        <v>228441556</v>
      </c>
    </row>
    <row r="3" spans="1:4">
      <c r="A3" s="18" t="s">
        <v>47</v>
      </c>
      <c r="D3" s="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Φύλλα εργασίας</vt:lpstr>
      </vt:variant>
      <vt:variant>
        <vt:i4>10</vt:i4>
      </vt:variant>
      <vt:variant>
        <vt:lpstr>Περιοχές με ονόματα</vt:lpstr>
      </vt:variant>
      <vt:variant>
        <vt:i4>1</vt:i4>
      </vt:variant>
    </vt:vector>
  </HeadingPairs>
  <TitlesOfParts>
    <vt:vector size="11" baseType="lpstr">
      <vt:lpstr>Δείκτες_ρευστότητας</vt:lpstr>
      <vt:lpstr>Ταμειακός_κύκλος</vt:lpstr>
      <vt:lpstr>Μόχλευση</vt:lpstr>
      <vt:lpstr>Κεφαλαιακή_διάθρωση</vt:lpstr>
      <vt:lpstr>Έξοδα</vt:lpstr>
      <vt:lpstr>P&amp;L</vt:lpstr>
      <vt:lpstr>Κεφάλαιο_κίνησης</vt:lpstr>
      <vt:lpstr>Πίνακας_εσόδων</vt:lpstr>
      <vt:lpstr>Αναλυση δανειου</vt:lpstr>
      <vt:lpstr>Μ.Σ.Κ.Κ</vt:lpstr>
      <vt:lpstr>Α2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Pantazis</dc:creator>
  <cp:lastModifiedBy>anastasis ziakas</cp:lastModifiedBy>
  <dcterms:created xsi:type="dcterms:W3CDTF">2017-01-08T15:08:49Z</dcterms:created>
  <dcterms:modified xsi:type="dcterms:W3CDTF">2017-08-22T13:31:56Z</dcterms:modified>
</cp:coreProperties>
</file>